
<file path=[Content_Types].xml><?xml version="1.0" encoding="utf-8"?>
<Types xmlns="http://schemas.openxmlformats.org/package/2006/content-types"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13.xml" ContentType="application/vnd.openxmlformats-officedocument.spreadsheetml.worksheet+xml"/>
  <Override PartName="/xl/styles.xml" ContentType="application/vnd.openxmlformats-officedocument.spreadsheetml.styles+xml"/>
  <Override PartName="/xl/charts/chart4.xml" ContentType="application/vnd.openxmlformats-officedocument.drawingml.chart+xml"/>
  <Override PartName="/xl/drawings/drawing6.xml" ContentType="application/vnd.openxmlformats-officedocument.drawing+xml"/>
  <Override PartName="/xl/worksheets/sheet7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drawings/drawing17.xml" ContentType="application/vnd.openxmlformats-officedocument.drawing+xml"/>
  <Override PartName="/xl/drawings/drawing28.xml" ContentType="application/vnd.openxmlformats-officedocument.drawing+xml"/>
  <Default Extension="xml" ContentType="application/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15.xml" ContentType="application/vnd.openxmlformats-officedocument.drawing+xml"/>
  <Override PartName="/xl/drawings/drawing26.xml" ContentType="application/vnd.openxmlformats-officedocument.drawing+xml"/>
  <Override PartName="/xl/charts/chart29.xml" ContentType="application/vnd.openxmlformats-officedocument.drawingml.chart+xml"/>
  <Override PartName="/xl/worksheets/sheet3.xml" ContentType="application/vnd.openxmlformats-officedocument.spreadsheetml.worksheet+xml"/>
  <Override PartName="/xl/drawings/drawing13.xml" ContentType="application/vnd.openxmlformats-officedocument.drawing+xml"/>
  <Override PartName="/xl/charts/chart18.xml" ContentType="application/vnd.openxmlformats-officedocument.drawingml.chart+xml"/>
  <Override PartName="/xl/drawings/drawing22.xml" ContentType="application/vnd.openxmlformats-officedocument.drawing+xml"/>
  <Override PartName="/xl/drawings/drawing24.xml" ContentType="application/vnd.openxmlformats-officedocument.drawing+xml"/>
  <Override PartName="/xl/charts/chart27.xml" ContentType="application/vnd.openxmlformats-officedocument.drawingml.chart+xml"/>
  <Override PartName="/xl/worksheets/sheet1.xml" ContentType="application/vnd.openxmlformats-officedocument.spreadsheetml.worksheet+xml"/>
  <Override PartName="/xl/drawings/drawing11.xml" ContentType="application/vnd.openxmlformats-officedocument.drawing+xml"/>
  <Override PartName="/xl/charts/chart16.xml" ContentType="application/vnd.openxmlformats-officedocument.drawingml.chart+xml"/>
  <Override PartName="/xl/drawings/drawing20.xml" ContentType="application/vnd.openxmlformats-officedocument.drawing+xml"/>
  <Override PartName="/xl/charts/chart25.xml" ContentType="application/vnd.openxmlformats-officedocument.drawingml.char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sharedStrings.xml" ContentType="application/vnd.openxmlformats-officedocument.spreadsheetml.sharedStrings+xml"/>
  <Override PartName="/xl/charts/chart14.xml" ContentType="application/vnd.openxmlformats-officedocument.drawingml.chart+xml"/>
  <Override PartName="/xl/charts/chart23.xml" ContentType="application/vnd.openxmlformats-officedocument.drawingml.chart+xml"/>
  <Override PartName="/xl/worksheets/sheet18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charts/chart9.xml" ContentType="application/vnd.openxmlformats-officedocument.drawingml.chart+xml"/>
  <Override PartName="/xl/charts/chart12.xml" ContentType="application/vnd.openxmlformats-officedocument.drawingml.chart+xml"/>
  <Override PartName="/xl/charts/chart21.xml" ContentType="application/vnd.openxmlformats-officedocument.drawingml.chart+xml"/>
  <Override PartName="/xl/charts/chart30.xml" ContentType="application/vnd.openxmlformats-officedocument.drawingml.chart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Default Extension="bin" ContentType="application/vnd.openxmlformats-officedocument.spreadsheetml.printerSettings"/>
  <Override PartName="/xl/charts/chart7.xml" ContentType="application/vnd.openxmlformats-officedocument.drawingml.chart+xml"/>
  <Override PartName="/xl/drawings/drawing9.xml" ContentType="application/vnd.openxmlformats-officedocument.drawing+xml"/>
  <Override PartName="/xl/charts/chart10.xml" ContentType="application/vnd.openxmlformats-officedocument.drawingml.chart+xml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charts/chart5.xml" ContentType="application/vnd.openxmlformats-officedocument.drawingml.chart+xml"/>
  <Override PartName="/xl/drawings/drawing7.xml" ContentType="application/vnd.openxmlformats-officedocument.drawing+xml"/>
  <Override PartName="/xl/drawings/drawing29.xml" ContentType="application/vnd.openxmlformats-officedocument.drawing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charts/chart3.xml" ContentType="application/vnd.openxmlformats-officedocument.drawingml.chart+xml"/>
  <Override PartName="/xl/drawings/drawing5.xml" ContentType="application/vnd.openxmlformats-officedocument.drawing+xml"/>
  <Override PartName="/xl/drawings/drawing18.xml" ContentType="application/vnd.openxmlformats-officedocument.drawing+xml"/>
  <Override PartName="/xl/drawings/drawing27.xml" ContentType="application/vnd.openxmlformats-officedocument.drawing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xl/drawings/drawing16.xml" ContentType="application/vnd.openxmlformats-officedocument.drawing+xml"/>
  <Override PartName="/xl/drawings/drawing25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drawings/drawing14.xml" ContentType="application/vnd.openxmlformats-officedocument.drawing+xml"/>
  <Override PartName="/xl/charts/chart19.xml" ContentType="application/vnd.openxmlformats-officedocument.drawingml.chart+xml"/>
  <Override PartName="/xl/drawings/drawing23.xml" ContentType="application/vnd.openxmlformats-officedocument.drawing+xml"/>
  <Override PartName="/xl/charts/chart28.xml" ContentType="application/vnd.openxmlformats-officedocument.drawingml.chart+xml"/>
  <Override PartName="/xl/drawings/drawing12.xml" ContentType="application/vnd.openxmlformats-officedocument.drawing+xml"/>
  <Override PartName="/xl/charts/chart17.xml" ContentType="application/vnd.openxmlformats-officedocument.drawingml.chart+xml"/>
  <Override PartName="/xl/drawings/drawing21.xml" ContentType="application/vnd.openxmlformats-officedocument.drawing+xml"/>
  <Override PartName="/xl/charts/chart26.xml" ContentType="application/vnd.openxmlformats-officedocument.drawingml.chart+xml"/>
  <Override PartName="/xl/drawings/drawing30.xml" ContentType="application/vnd.openxmlformats-officedocument.drawing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39.xml" ContentType="application/vnd.openxmlformats-officedocument.spreadsheetml.worksheet+xml"/>
  <Override PartName="/xl/drawings/drawing10.xml" ContentType="application/vnd.openxmlformats-officedocument.drawing+xml"/>
  <Override PartName="/xl/charts/chart13.xml" ContentType="application/vnd.openxmlformats-officedocument.drawingml.chart+xml"/>
  <Override PartName="/xl/charts/chart15.xml" ContentType="application/vnd.openxmlformats-officedocument.drawingml.chart+xml"/>
  <Override PartName="/xl/charts/chart24.xml" ContentType="application/vnd.openxmlformats-officedocument.drawingml.chart+xml"/>
  <Override PartName="/xl/worksheets/sheet17.xml" ContentType="application/vnd.openxmlformats-officedocument.spreadsheetml.worksheet+xml"/>
  <Override PartName="/xl/worksheets/sheet26.xml" ContentType="application/vnd.openxmlformats-officedocument.spreadsheetml.worksheet+xml"/>
  <Override PartName="/xl/worksheets/sheet37.xml" ContentType="application/vnd.openxmlformats-officedocument.spreadsheetml.worksheet+xml"/>
  <Override PartName="/xl/charts/chart8.xml" ContentType="application/vnd.openxmlformats-officedocument.drawingml.chart+xml"/>
  <Override PartName="/xl/charts/chart11.xml" ContentType="application/vnd.openxmlformats-officedocument.drawingml.chart+xml"/>
  <Override PartName="/xl/charts/chart22.xml" ContentType="application/vnd.openxmlformats-officedocument.drawingml.chart+xml"/>
  <Override PartName="/docProps/core.xml" ContentType="application/vnd.openxmlformats-package.core-properties+xml"/>
  <Override PartName="/xl/worksheets/sheet15.xml" ContentType="application/vnd.openxmlformats-officedocument.spreadsheetml.worksheet+xml"/>
  <Override PartName="/xl/charts/chart6.xml" ContentType="application/vnd.openxmlformats-officedocument.drawingml.chart+xml"/>
  <Override PartName="/xl/charts/chart20.xml" ContentType="application/vnd.openxmlformats-officedocument.drawingml.chart+xml"/>
  <Override PartName="/xl/worksheets/sheet9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drawings/drawing8.xml" ContentType="application/vnd.openxmlformats-officedocument.drawing+xml"/>
  <Override PartName="/xl/drawings/drawing19.xml" ContentType="application/vnd.openxmlformats-officedocument.drawing+xml"/>
  <Override PartName="/xl/worksheets/sheet11.xml" ContentType="application/vnd.openxmlformats-officedocument.spreadsheetml.worksheet+xml"/>
  <Override PartName="/xl/worksheets/sheet40.xml" ContentType="application/vnd.openxmlformats-officedocument.spreadsheetml.worksheet+xml"/>
  <Override PartName="/xl/charts/chart2.xml" ContentType="application/vnd.openxmlformats-officedocument.drawingml.chart+xml"/>
  <Override PartName="/xl/drawings/drawing4.xml" ContentType="application/vnd.openxmlformats-officedocument.drawing+xml"/>
  <Default Extension="rels" ContentType="application/vnd.openxmlformats-package.relationship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codeName="ThisWorkbook" defaultThemeVersion="124226"/>
  <bookViews>
    <workbookView xWindow="12585" yWindow="-15" windowWidth="12660" windowHeight="12300" firstSheet="30" activeTab="30"/>
  </bookViews>
  <sheets>
    <sheet name="과거인구현황" sheetId="4" state="hidden" r:id="rId1"/>
    <sheet name="천곡동20년" sheetId="48" state="hidden" r:id="rId2"/>
    <sheet name="천곡동10" sheetId="78" state="hidden" r:id="rId3"/>
    <sheet name="송정동20년" sheetId="51" state="hidden" r:id="rId4"/>
    <sheet name="송정동10" sheetId="79" state="hidden" r:id="rId5"/>
    <sheet name="송정동5" sheetId="89" state="hidden" r:id="rId6"/>
    <sheet name="북삼동20년" sheetId="54" state="hidden" r:id="rId7"/>
    <sheet name="북삼동10" sheetId="80" state="hidden" r:id="rId8"/>
    <sheet name="북삼동5" sheetId="90" state="hidden" r:id="rId9"/>
    <sheet name="부곡동20년" sheetId="45" state="hidden" r:id="rId10"/>
    <sheet name="부곡동10" sheetId="81" state="hidden" r:id="rId11"/>
    <sheet name="부곡동5" sheetId="91" state="hidden" r:id="rId12"/>
    <sheet name="동호동20년" sheetId="57" state="hidden" r:id="rId13"/>
    <sheet name="동호동10" sheetId="82" state="hidden" r:id="rId14"/>
    <sheet name="동호동5" sheetId="92" state="hidden" r:id="rId15"/>
    <sheet name="발한동20년" sheetId="42" state="hidden" r:id="rId16"/>
    <sheet name="발한동10" sheetId="83" state="hidden" r:id="rId17"/>
    <sheet name="발한동5" sheetId="93" state="hidden" r:id="rId18"/>
    <sheet name="묵호동20년" sheetId="39" state="hidden" r:id="rId19"/>
    <sheet name="묵호동10" sheetId="84" state="hidden" r:id="rId20"/>
    <sheet name="묵호동5" sheetId="94" state="hidden" r:id="rId21"/>
    <sheet name="북평동20년" sheetId="60" state="hidden" r:id="rId22"/>
    <sheet name="북평동10" sheetId="85" state="hidden" r:id="rId23"/>
    <sheet name="북평동5" sheetId="95" state="hidden" r:id="rId24"/>
    <sheet name="망상동20년" sheetId="36" state="hidden" r:id="rId25"/>
    <sheet name="망상동10" sheetId="86" state="hidden" r:id="rId26"/>
    <sheet name="망상동5" sheetId="96" state="hidden" r:id="rId27"/>
    <sheet name="삼화동20년" sheetId="63" state="hidden" r:id="rId28"/>
    <sheet name="삼화동10" sheetId="87" state="hidden" r:id="rId29"/>
    <sheet name="삼화동5" sheetId="97" state="hidden" r:id="rId30"/>
    <sheet name="1.생잔모형법" sheetId="100" r:id="rId31"/>
    <sheet name="2.생잔모형인구" sheetId="121" r:id="rId32"/>
    <sheet name="급수계통별장래인구(출x)" sheetId="120" state="hidden" r:id="rId33"/>
    <sheet name="3.충청남도 인구(2013년)" sheetId="119" r:id="rId34"/>
    <sheet name="3.논산시 인구(2013년)" sheetId="101" r:id="rId35"/>
    <sheet name="생잔율" sheetId="102" r:id="rId36"/>
    <sheet name="2.출산률" sheetId="103" r:id="rId37"/>
    <sheet name="생명표" sheetId="104" r:id="rId38"/>
    <sheet name="1.3.4사회적유입인구산정(46.5외부)" sheetId="108" state="hidden" r:id="rId39"/>
    <sheet name="1.3.4사회적유입인구산정" sheetId="69" state="hidden" r:id="rId40"/>
    <sheet name="2.0계획인구결정" sheetId="70" state="hidden" r:id="rId41"/>
  </sheets>
  <definedNames>
    <definedName name="_xlnm._FilterDatabase" localSheetId="32" hidden="1">'급수계통별장래인구(출x)'!$A$4:$O$491</definedName>
    <definedName name="고대면">#REF!</definedName>
    <definedName name="당진읍">#REF!</definedName>
    <definedName name="대호지면">#REF!</definedName>
    <definedName name="면천면">#REF!</definedName>
    <definedName name="석문면">#REF!</definedName>
    <definedName name="송산면">#REF!</definedName>
    <definedName name="송악면">#REF!</definedName>
    <definedName name="순성면">#REF!</definedName>
    <definedName name="신평면">#REF!</definedName>
    <definedName name="우강면">#REF!</definedName>
    <definedName name="일배분량">#REF!</definedName>
    <definedName name="일수">#REF!</definedName>
    <definedName name="정미면">#REF!</definedName>
    <definedName name="중수도사용량">#REF!</definedName>
    <definedName name="지자체">#REF!</definedName>
    <definedName name="지자체박">#REF!</definedName>
    <definedName name="합덕읍">#REF!</definedName>
    <definedName name="_xlnm.Print_Area" localSheetId="39">'1.3.4사회적유입인구산정'!$A$1:$M$69</definedName>
    <definedName name="_xlnm.Print_Area" localSheetId="38">'1.3.4사회적유입인구산정(46.5외부)'!$A$1:$M$80</definedName>
    <definedName name="_xlnm.Print_Area" localSheetId="30">'1.생잔모형법'!$A$1:$K$27</definedName>
    <definedName name="_xlnm.Print_Area" localSheetId="40">'2.0계획인구결정'!$A$1:$G$99</definedName>
    <definedName name="_xlnm.Print_Area" localSheetId="36">'2.출산률'!$A$1:$H$34</definedName>
    <definedName name="_xlnm.Print_Area" localSheetId="34">'3.논산시 인구(2013년)'!$A$1:$N$235</definedName>
    <definedName name="_xlnm.Print_Area" localSheetId="33">'3.충청남도 인구(2013년)'!$A$1:$N$209</definedName>
    <definedName name="_xlnm.Print_Area" localSheetId="0">과거인구현황!$A$34:$V$61</definedName>
    <definedName name="_xlnm.Print_Area" localSheetId="32">'급수계통별장래인구(출x)'!$A$1:$J$491</definedName>
    <definedName name="_xlnm.Print_Area" localSheetId="13">동호동10!$A$158:$J$203</definedName>
    <definedName name="_xlnm.Print_Area" localSheetId="12">동호동20년!$A$203:$J$247</definedName>
    <definedName name="_xlnm.Print_Area" localSheetId="14">동호동5!$A$133:$J$178</definedName>
    <definedName name="_xlnm.Print_Area" localSheetId="25">망상동10!$A$158:$J$203</definedName>
    <definedName name="_xlnm.Print_Area" localSheetId="24">망상동20년!$A$203:$J$247</definedName>
    <definedName name="_xlnm.Print_Area" localSheetId="26">망상동5!$A$133:$J$178</definedName>
    <definedName name="_xlnm.Print_Area" localSheetId="19">묵호동10!$A$158:$J$203</definedName>
    <definedName name="_xlnm.Print_Area" localSheetId="18">묵호동20년!$A$203:$J$247</definedName>
    <definedName name="_xlnm.Print_Area" localSheetId="20">묵호동5!$A$133:$J$178</definedName>
    <definedName name="_xlnm.Print_Area" localSheetId="16">발한동10!$A$158:$J$203</definedName>
    <definedName name="_xlnm.Print_Area" localSheetId="15">발한동20년!$A$203:$J$247</definedName>
    <definedName name="_xlnm.Print_Area" localSheetId="17">발한동5!$A$133:$J$178</definedName>
    <definedName name="_xlnm.Print_Area" localSheetId="10">부곡동10!$A$158:$J$203</definedName>
    <definedName name="_xlnm.Print_Area" localSheetId="9">부곡동20년!$A$203:$J$247</definedName>
    <definedName name="_xlnm.Print_Area" localSheetId="11">부곡동5!$A$133:$J$178</definedName>
    <definedName name="_xlnm.Print_Area" localSheetId="7">북삼동10!$A$158:$J$203</definedName>
    <definedName name="_xlnm.Print_Area" localSheetId="6">북삼동20년!$A$203:$J$247</definedName>
    <definedName name="_xlnm.Print_Area" localSheetId="8">북삼동5!$A$133:$J$178</definedName>
    <definedName name="_xlnm.Print_Area" localSheetId="22">북평동10!$A$158:$J$203</definedName>
    <definedName name="_xlnm.Print_Area" localSheetId="21">북평동20년!$A$203:$J$247</definedName>
    <definedName name="_xlnm.Print_Area" localSheetId="23">북평동5!$A$133:$J$178</definedName>
    <definedName name="_xlnm.Print_Area" localSheetId="28">삼화동10!$A$158:$J$203</definedName>
    <definedName name="_xlnm.Print_Area" localSheetId="27">삼화동20년!$A$203:$J$247</definedName>
    <definedName name="_xlnm.Print_Area" localSheetId="29">삼화동5!$A$133:$J$178</definedName>
    <definedName name="_xlnm.Print_Area" localSheetId="4">송정동10!$A$158:$J$203</definedName>
    <definedName name="_xlnm.Print_Area" localSheetId="3">송정동20년!$A$203:$J$247</definedName>
    <definedName name="_xlnm.Print_Area" localSheetId="5">송정동5!$A$133:$J$178</definedName>
    <definedName name="_xlnm.Print_Area" localSheetId="2">천곡동10!$A$158:$J$203</definedName>
    <definedName name="_xlnm.Print_Area" localSheetId="1">천곡동20년!$A$203:$J$247</definedName>
    <definedName name="_xlnm.Print_Titles" localSheetId="39">'1.3.4사회적유입인구산정'!$1:$4</definedName>
    <definedName name="_xlnm.Print_Titles" localSheetId="31">'2.생잔모형인구'!$1:$3</definedName>
    <definedName name="_xlnm.Print_Titles" localSheetId="32">'급수계통별장래인구(출x)'!$1:$2</definedName>
    <definedName name="_xlnm.Print_Titles" localSheetId="13">동호동10!$1:$2</definedName>
    <definedName name="_xlnm.Print_Titles" localSheetId="12">동호동20년!$1:$2</definedName>
    <definedName name="_xlnm.Print_Titles" localSheetId="14">동호동5!$1:$2</definedName>
    <definedName name="_xlnm.Print_Titles" localSheetId="25">망상동10!$1:$2</definedName>
    <definedName name="_xlnm.Print_Titles" localSheetId="24">망상동20년!$1:$2</definedName>
    <definedName name="_xlnm.Print_Titles" localSheetId="26">망상동5!$1:$2</definedName>
    <definedName name="_xlnm.Print_Titles" localSheetId="19">묵호동10!$1:$2</definedName>
    <definedName name="_xlnm.Print_Titles" localSheetId="18">묵호동20년!$1:$2</definedName>
    <definedName name="_xlnm.Print_Titles" localSheetId="20">묵호동5!$1:$2</definedName>
    <definedName name="_xlnm.Print_Titles" localSheetId="16">발한동10!$1:$2</definedName>
    <definedName name="_xlnm.Print_Titles" localSheetId="15">발한동20년!$1:$2</definedName>
    <definedName name="_xlnm.Print_Titles" localSheetId="17">발한동5!$1:$2</definedName>
    <definedName name="_xlnm.Print_Titles" localSheetId="10">부곡동10!$1:$2</definedName>
    <definedName name="_xlnm.Print_Titles" localSheetId="9">부곡동20년!$1:$2</definedName>
    <definedName name="_xlnm.Print_Titles" localSheetId="11">부곡동5!$1:$2</definedName>
    <definedName name="_xlnm.Print_Titles" localSheetId="7">북삼동10!$1:$2</definedName>
    <definedName name="_xlnm.Print_Titles" localSheetId="6">북삼동20년!$1:$2</definedName>
    <definedName name="_xlnm.Print_Titles" localSheetId="8">북삼동5!$1:$2</definedName>
    <definedName name="_xlnm.Print_Titles" localSheetId="22">북평동10!$1:$2</definedName>
    <definedName name="_xlnm.Print_Titles" localSheetId="21">북평동20년!$1:$2</definedName>
    <definedName name="_xlnm.Print_Titles" localSheetId="23">북평동5!$1:$2</definedName>
    <definedName name="_xlnm.Print_Titles" localSheetId="28">삼화동10!$1:$2</definedName>
    <definedName name="_xlnm.Print_Titles" localSheetId="27">삼화동20년!$1:$2</definedName>
    <definedName name="_xlnm.Print_Titles" localSheetId="29">삼화동5!$1:$2</definedName>
    <definedName name="_xlnm.Print_Titles" localSheetId="37">생명표!$1:$1</definedName>
    <definedName name="_xlnm.Print_Titles" localSheetId="4">송정동10!$1:$2</definedName>
    <definedName name="_xlnm.Print_Titles" localSheetId="3">송정동20년!$1:$2</definedName>
    <definedName name="_xlnm.Print_Titles" localSheetId="5">송정동5!$1:$2</definedName>
    <definedName name="_xlnm.Print_Titles" localSheetId="2">천곡동10!$1:$2</definedName>
    <definedName name="_xlnm.Print_Titles" localSheetId="1">천곡동20년!$1:$2</definedName>
  </definedNames>
  <calcPr calcId="125725"/>
</workbook>
</file>

<file path=xl/calcChain.xml><?xml version="1.0" encoding="utf-8"?>
<calcChain xmlns="http://schemas.openxmlformats.org/spreadsheetml/2006/main">
  <c r="E22" i="101"/>
  <c r="D22"/>
  <c r="E21"/>
  <c r="D21"/>
  <c r="E20"/>
  <c r="D20"/>
  <c r="E19"/>
  <c r="D19"/>
  <c r="E18"/>
  <c r="D18"/>
  <c r="E17"/>
  <c r="D17"/>
  <c r="E16"/>
  <c r="D16"/>
  <c r="E15"/>
  <c r="D15"/>
  <c r="E14"/>
  <c r="D14"/>
  <c r="E13"/>
  <c r="D13"/>
  <c r="E12"/>
  <c r="D12"/>
  <c r="E11"/>
  <c r="D11"/>
  <c r="E10"/>
  <c r="D10"/>
  <c r="E9"/>
  <c r="D9"/>
  <c r="E8"/>
  <c r="D8"/>
  <c r="E7"/>
  <c r="D7"/>
  <c r="E6"/>
  <c r="D6"/>
  <c r="E5"/>
  <c r="D5"/>
  <c r="E22" i="119"/>
  <c r="D22"/>
  <c r="E21"/>
  <c r="D21"/>
  <c r="E20"/>
  <c r="D20"/>
  <c r="E19"/>
  <c r="D19"/>
  <c r="E18"/>
  <c r="D18"/>
  <c r="E17"/>
  <c r="D17"/>
  <c r="E16"/>
  <c r="D16"/>
  <c r="E15"/>
  <c r="D15"/>
  <c r="E14"/>
  <c r="D14"/>
  <c r="E13"/>
  <c r="D13"/>
  <c r="E12"/>
  <c r="D12"/>
  <c r="E11"/>
  <c r="D11"/>
  <c r="E10"/>
  <c r="D10"/>
  <c r="E9"/>
  <c r="D9"/>
  <c r="E8"/>
  <c r="D8"/>
  <c r="E7"/>
  <c r="D7"/>
  <c r="E6"/>
  <c r="D6"/>
  <c r="E5"/>
  <c r="D5"/>
  <c r="D499" i="121" l="1"/>
  <c r="D498"/>
  <c r="D497"/>
  <c r="D496"/>
  <c r="D495"/>
  <c r="D494"/>
  <c r="D493"/>
  <c r="D492"/>
  <c r="D491"/>
  <c r="D490"/>
  <c r="D489"/>
  <c r="D488"/>
  <c r="D487"/>
  <c r="D486"/>
  <c r="D485"/>
  <c r="D484"/>
  <c r="D483"/>
  <c r="D482"/>
  <c r="D481"/>
  <c r="D480"/>
  <c r="D479"/>
  <c r="D478"/>
  <c r="D477"/>
  <c r="D476"/>
  <c r="D474"/>
  <c r="D473"/>
  <c r="D472"/>
  <c r="D471"/>
  <c r="D470"/>
  <c r="D469"/>
  <c r="D468"/>
  <c r="D467"/>
  <c r="D466"/>
  <c r="D465"/>
  <c r="D464"/>
  <c r="D463"/>
  <c r="D462"/>
  <c r="D461"/>
  <c r="D460"/>
  <c r="D459"/>
  <c r="D458"/>
  <c r="D457"/>
  <c r="D456"/>
  <c r="D455"/>
  <c r="D454"/>
  <c r="D453"/>
  <c r="D452"/>
  <c r="D451"/>
  <c r="D450"/>
  <c r="D449"/>
  <c r="D448"/>
  <c r="D447"/>
  <c r="D446"/>
  <c r="D445"/>
  <c r="D444"/>
  <c r="D443"/>
  <c r="D442"/>
  <c r="D441"/>
  <c r="D440"/>
  <c r="D439"/>
  <c r="D437"/>
  <c r="D436"/>
  <c r="D435"/>
  <c r="D434"/>
  <c r="D433"/>
  <c r="D432"/>
  <c r="D431"/>
  <c r="D430"/>
  <c r="D429"/>
  <c r="D428"/>
  <c r="D427"/>
  <c r="D426"/>
  <c r="D425"/>
  <c r="D424"/>
  <c r="D423"/>
  <c r="D422"/>
  <c r="D421"/>
  <c r="D420"/>
  <c r="D419"/>
  <c r="D418"/>
  <c r="D417"/>
  <c r="D416"/>
  <c r="D415"/>
  <c r="D414"/>
  <c r="D413"/>
  <c r="D411"/>
  <c r="D410"/>
  <c r="D409"/>
  <c r="D408"/>
  <c r="D407"/>
  <c r="D406"/>
  <c r="D405"/>
  <c r="D404"/>
  <c r="D403"/>
  <c r="D402"/>
  <c r="D401"/>
  <c r="D400"/>
  <c r="D399"/>
  <c r="D398"/>
  <c r="D397"/>
  <c r="D396"/>
  <c r="D395"/>
  <c r="D394"/>
  <c r="D393"/>
  <c r="D392"/>
  <c r="D391"/>
  <c r="D390"/>
  <c r="D389"/>
  <c r="D388"/>
  <c r="D387"/>
  <c r="D386"/>
  <c r="D385"/>
  <c r="D384"/>
  <c r="D382"/>
  <c r="D381"/>
  <c r="D380"/>
  <c r="D379"/>
  <c r="D378"/>
  <c r="D377"/>
  <c r="D376"/>
  <c r="D375"/>
  <c r="D374"/>
  <c r="D373"/>
  <c r="D372"/>
  <c r="D371"/>
  <c r="D370"/>
  <c r="D369"/>
  <c r="D368"/>
  <c r="D367"/>
  <c r="D366"/>
  <c r="D365"/>
  <c r="D364"/>
  <c r="D363"/>
  <c r="D362"/>
  <c r="D361"/>
  <c r="D360"/>
  <c r="D359"/>
  <c r="D358"/>
  <c r="D357"/>
  <c r="D356"/>
  <c r="D355"/>
  <c r="D353"/>
  <c r="D352"/>
  <c r="D351"/>
  <c r="D350"/>
  <c r="D349"/>
  <c r="D348"/>
  <c r="D347"/>
  <c r="D346"/>
  <c r="D345"/>
  <c r="D344"/>
  <c r="D343"/>
  <c r="D342"/>
  <c r="D341"/>
  <c r="D340"/>
  <c r="D339"/>
  <c r="D338"/>
  <c r="D337"/>
  <c r="D336"/>
  <c r="D335"/>
  <c r="D334"/>
  <c r="D333"/>
  <c r="D332"/>
  <c r="D331"/>
  <c r="D330"/>
  <c r="D329"/>
  <c r="D328"/>
  <c r="D327"/>
  <c r="D326"/>
  <c r="D325"/>
  <c r="D324"/>
  <c r="D323"/>
  <c r="D322"/>
  <c r="D321"/>
  <c r="D320"/>
  <c r="D319"/>
  <c r="D318"/>
  <c r="D317"/>
  <c r="D316"/>
  <c r="D315"/>
  <c r="D314"/>
  <c r="D313"/>
  <c r="D312"/>
  <c r="D310"/>
  <c r="D309"/>
  <c r="D308"/>
  <c r="D307"/>
  <c r="D306"/>
  <c r="D305"/>
  <c r="D304"/>
  <c r="D303"/>
  <c r="D302"/>
  <c r="D301"/>
  <c r="D300"/>
  <c r="D299"/>
  <c r="D298"/>
  <c r="D297"/>
  <c r="D296"/>
  <c r="D295"/>
  <c r="D294"/>
  <c r="D293"/>
  <c r="D292"/>
  <c r="D291"/>
  <c r="D290"/>
  <c r="D289"/>
  <c r="D288"/>
  <c r="D286"/>
  <c r="D285"/>
  <c r="D284"/>
  <c r="D283"/>
  <c r="D282"/>
  <c r="D281"/>
  <c r="D280"/>
  <c r="D279"/>
  <c r="D278"/>
  <c r="D277"/>
  <c r="D276"/>
  <c r="D275"/>
  <c r="D274"/>
  <c r="D273"/>
  <c r="D272"/>
  <c r="D271"/>
  <c r="D270"/>
  <c r="D269"/>
  <c r="D268"/>
  <c r="D267"/>
  <c r="D266"/>
  <c r="D265"/>
  <c r="D264"/>
  <c r="D263"/>
  <c r="D262"/>
  <c r="D261"/>
  <c r="D260"/>
  <c r="D259"/>
  <c r="D258"/>
  <c r="D257"/>
  <c r="D256"/>
  <c r="D255"/>
  <c r="D254"/>
  <c r="D253"/>
  <c r="D252"/>
  <c r="D251"/>
  <c r="D250"/>
  <c r="D249"/>
  <c r="D248"/>
  <c r="D247"/>
  <c r="D245"/>
  <c r="D244"/>
  <c r="D243"/>
  <c r="D242"/>
  <c r="D241"/>
  <c r="D240"/>
  <c r="D239"/>
  <c r="D238"/>
  <c r="D237"/>
  <c r="D236"/>
  <c r="D235"/>
  <c r="D234"/>
  <c r="D233"/>
  <c r="D232"/>
  <c r="D231"/>
  <c r="D230"/>
  <c r="D229"/>
  <c r="D228"/>
  <c r="D227"/>
  <c r="D226"/>
  <c r="D225"/>
  <c r="D224"/>
  <c r="D223"/>
  <c r="D222"/>
  <c r="D221"/>
  <c r="D220"/>
  <c r="D219"/>
  <c r="D218"/>
  <c r="D217"/>
  <c r="D216"/>
  <c r="D215"/>
  <c r="D214"/>
  <c r="D213"/>
  <c r="D211"/>
  <c r="D210"/>
  <c r="D209"/>
  <c r="D208"/>
  <c r="D207"/>
  <c r="D206"/>
  <c r="D205"/>
  <c r="D204"/>
  <c r="D203"/>
  <c r="D202"/>
  <c r="D201"/>
  <c r="D200"/>
  <c r="D199"/>
  <c r="D198"/>
  <c r="D197"/>
  <c r="D196"/>
  <c r="D195"/>
  <c r="D194"/>
  <c r="D193"/>
  <c r="D192"/>
  <c r="D191"/>
  <c r="D190"/>
  <c r="D189"/>
  <c r="D188"/>
  <c r="D187"/>
  <c r="D186"/>
  <c r="D184"/>
  <c r="D183"/>
  <c r="D182"/>
  <c r="D181"/>
  <c r="D180"/>
  <c r="D179"/>
  <c r="D178"/>
  <c r="D177"/>
  <c r="D176"/>
  <c r="D175"/>
  <c r="D174"/>
  <c r="D173"/>
  <c r="D172"/>
  <c r="D171"/>
  <c r="D170"/>
  <c r="D169"/>
  <c r="D168"/>
  <c r="D167"/>
  <c r="D166"/>
  <c r="D165"/>
  <c r="D164"/>
  <c r="D163"/>
  <c r="D162"/>
  <c r="D161"/>
  <c r="D160"/>
  <c r="D159"/>
  <c r="D157"/>
  <c r="D156"/>
  <c r="D155"/>
  <c r="D154"/>
  <c r="D153"/>
  <c r="D152"/>
  <c r="D151"/>
  <c r="D150"/>
  <c r="D149"/>
  <c r="D148"/>
  <c r="D147"/>
  <c r="D146"/>
  <c r="D145"/>
  <c r="D144"/>
  <c r="D143"/>
  <c r="D142"/>
  <c r="D141"/>
  <c r="D140"/>
  <c r="D139"/>
  <c r="D138"/>
  <c r="D137"/>
  <c r="D136"/>
  <c r="D135"/>
  <c r="D134"/>
  <c r="D133"/>
  <c r="D132"/>
  <c r="D131"/>
  <c r="D130"/>
  <c r="D129"/>
  <c r="D128"/>
  <c r="D127"/>
  <c r="D126"/>
  <c r="D125"/>
  <c r="D123"/>
  <c r="D122"/>
  <c r="D121"/>
  <c r="D120"/>
  <c r="D119"/>
  <c r="D118"/>
  <c r="D117"/>
  <c r="D116"/>
  <c r="D115"/>
  <c r="D114"/>
  <c r="D113"/>
  <c r="D112"/>
  <c r="D111"/>
  <c r="D110"/>
  <c r="D109"/>
  <c r="D108"/>
  <c r="D107"/>
  <c r="D106"/>
  <c r="D105"/>
  <c r="D104"/>
  <c r="D103"/>
  <c r="D102"/>
  <c r="D101"/>
  <c r="D100"/>
  <c r="D99"/>
  <c r="D98"/>
  <c r="D97"/>
  <c r="D96"/>
  <c r="D95"/>
  <c r="D94"/>
  <c r="D93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75" l="1"/>
  <c r="B18" i="100" s="1"/>
  <c r="D438" i="121"/>
  <c r="B17" i="100" s="1"/>
  <c r="D412" i="121"/>
  <c r="B16" i="100" s="1"/>
  <c r="D383" i="121"/>
  <c r="B15" i="100" s="1"/>
  <c r="D354" i="121"/>
  <c r="B14" i="100" s="1"/>
  <c r="D246" i="121"/>
  <c r="B11" i="100" s="1"/>
  <c r="D311" i="121"/>
  <c r="B13" i="100" s="1"/>
  <c r="D287" i="121"/>
  <c r="B12" i="100" s="1"/>
  <c r="D212" i="121"/>
  <c r="B10" i="100" s="1"/>
  <c r="D158" i="121"/>
  <c r="B8" i="100" s="1"/>
  <c r="D185" i="121"/>
  <c r="B9" i="100" s="1"/>
  <c r="D124" i="121"/>
  <c r="B7" i="100" s="1"/>
  <c r="D33" i="121"/>
  <c r="B5" i="100" s="1"/>
  <c r="D4" i="121"/>
  <c r="D92"/>
  <c r="B6" i="100" s="1"/>
  <c r="D428" i="120"/>
  <c r="D375"/>
  <c r="D236"/>
  <c r="D131"/>
  <c r="D92"/>
  <c r="D65"/>
  <c r="D4"/>
  <c r="D47" i="101"/>
  <c r="D43"/>
  <c r="D39"/>
  <c r="D35"/>
  <c r="V25"/>
  <c r="U25"/>
  <c r="T22"/>
  <c r="T21"/>
  <c r="T20"/>
  <c r="T19"/>
  <c r="T18"/>
  <c r="T17"/>
  <c r="T16"/>
  <c r="T15"/>
  <c r="T14"/>
  <c r="T13"/>
  <c r="T12"/>
  <c r="T11"/>
  <c r="T10"/>
  <c r="T9"/>
  <c r="T8"/>
  <c r="T7"/>
  <c r="T6"/>
  <c r="T5"/>
  <c r="S25"/>
  <c r="R25"/>
  <c r="Q25" s="1"/>
  <c r="Q22"/>
  <c r="Q21"/>
  <c r="Q20"/>
  <c r="Q19"/>
  <c r="Q18"/>
  <c r="Q17"/>
  <c r="Q16"/>
  <c r="Q15"/>
  <c r="Q14"/>
  <c r="Q13"/>
  <c r="Q12"/>
  <c r="Q11"/>
  <c r="Q10"/>
  <c r="Q9"/>
  <c r="Q8"/>
  <c r="Q7"/>
  <c r="Q6"/>
  <c r="Q5"/>
  <c r="S25" i="119"/>
  <c r="R25"/>
  <c r="Q22"/>
  <c r="Q21"/>
  <c r="Q20"/>
  <c r="Q19"/>
  <c r="Q18"/>
  <c r="Q17"/>
  <c r="Q16"/>
  <c r="Q15"/>
  <c r="Q14"/>
  <c r="Q13"/>
  <c r="Q12"/>
  <c r="Q11"/>
  <c r="Q10"/>
  <c r="Q9"/>
  <c r="Q8"/>
  <c r="Q7"/>
  <c r="Q6"/>
  <c r="Q5"/>
  <c r="D32" i="101"/>
  <c r="D33"/>
  <c r="D34"/>
  <c r="D36"/>
  <c r="D37"/>
  <c r="D38"/>
  <c r="D40"/>
  <c r="D41"/>
  <c r="D42"/>
  <c r="D44"/>
  <c r="D45"/>
  <c r="D46"/>
  <c r="D48"/>
  <c r="D31"/>
  <c r="C32"/>
  <c r="C33"/>
  <c r="C34"/>
  <c r="C35"/>
  <c r="C36"/>
  <c r="C37"/>
  <c r="C38"/>
  <c r="C39"/>
  <c r="C40"/>
  <c r="C41"/>
  <c r="C42"/>
  <c r="C43"/>
  <c r="C44"/>
  <c r="C45"/>
  <c r="C46"/>
  <c r="C47"/>
  <c r="C48"/>
  <c r="C31"/>
  <c r="N11" i="119"/>
  <c r="I170" s="1"/>
  <c r="M11"/>
  <c r="I144" s="1"/>
  <c r="L11"/>
  <c r="K11"/>
  <c r="J11"/>
  <c r="I11"/>
  <c r="I40" s="1"/>
  <c r="H11"/>
  <c r="N10"/>
  <c r="I169" s="1"/>
  <c r="M10"/>
  <c r="I143" s="1"/>
  <c r="L10"/>
  <c r="K10"/>
  <c r="J10"/>
  <c r="I65" s="1"/>
  <c r="I10"/>
  <c r="H10"/>
  <c r="N9"/>
  <c r="I168" s="1"/>
  <c r="M9"/>
  <c r="I142" s="1"/>
  <c r="L9"/>
  <c r="K9"/>
  <c r="I90" s="1"/>
  <c r="J9"/>
  <c r="I9"/>
  <c r="H9"/>
  <c r="N8"/>
  <c r="I167" s="1"/>
  <c r="M8"/>
  <c r="I141"/>
  <c r="L8"/>
  <c r="I115" s="1"/>
  <c r="K8"/>
  <c r="J8"/>
  <c r="I8"/>
  <c r="I37" s="1"/>
  <c r="H8"/>
  <c r="N7"/>
  <c r="I166" s="1"/>
  <c r="M7"/>
  <c r="I140" s="1"/>
  <c r="L7"/>
  <c r="I114" s="1"/>
  <c r="K7"/>
  <c r="J7"/>
  <c r="I62" s="1"/>
  <c r="I7"/>
  <c r="H7"/>
  <c r="N6"/>
  <c r="I165" s="1"/>
  <c r="M6"/>
  <c r="I139" s="1"/>
  <c r="L6"/>
  <c r="K6"/>
  <c r="J6"/>
  <c r="I6"/>
  <c r="H6"/>
  <c r="N5"/>
  <c r="I164" s="1"/>
  <c r="M5"/>
  <c r="I138" s="1"/>
  <c r="L5"/>
  <c r="I112" s="1"/>
  <c r="K5"/>
  <c r="I86" s="1"/>
  <c r="J5"/>
  <c r="I5"/>
  <c r="H5"/>
  <c r="N6" i="101"/>
  <c r="I191"/>
  <c r="N7"/>
  <c r="I192" s="1"/>
  <c r="N8"/>
  <c r="I193" s="1"/>
  <c r="N9"/>
  <c r="I194" s="1"/>
  <c r="N10"/>
  <c r="I195" s="1"/>
  <c r="N11"/>
  <c r="I196" s="1"/>
  <c r="M6"/>
  <c r="I165" s="1"/>
  <c r="M7"/>
  <c r="I166" s="1"/>
  <c r="M8"/>
  <c r="I167" s="1"/>
  <c r="M9"/>
  <c r="I168" s="1"/>
  <c r="M10"/>
  <c r="I169" s="1"/>
  <c r="M11"/>
  <c r="I170" s="1"/>
  <c r="L6"/>
  <c r="I139" s="1"/>
  <c r="L7"/>
  <c r="I140" s="1"/>
  <c r="L8"/>
  <c r="I141" s="1"/>
  <c r="L9"/>
  <c r="I142" s="1"/>
  <c r="L10"/>
  <c r="L11"/>
  <c r="K6"/>
  <c r="I113" s="1"/>
  <c r="K7"/>
  <c r="K8"/>
  <c r="K9"/>
  <c r="I116" s="1"/>
  <c r="K10"/>
  <c r="I117" s="1"/>
  <c r="K11"/>
  <c r="I118" s="1"/>
  <c r="J6"/>
  <c r="J7"/>
  <c r="I88" s="1"/>
  <c r="J8"/>
  <c r="J9"/>
  <c r="I90" s="1"/>
  <c r="J10"/>
  <c r="I91" s="1"/>
  <c r="J11"/>
  <c r="I92" s="1"/>
  <c r="I6"/>
  <c r="I35" s="1"/>
  <c r="I7"/>
  <c r="I36" s="1"/>
  <c r="J36" s="1"/>
  <c r="I8"/>
  <c r="I37" s="1"/>
  <c r="J37" s="1"/>
  <c r="I9"/>
  <c r="I10"/>
  <c r="I39" s="1"/>
  <c r="I11"/>
  <c r="I40" s="1"/>
  <c r="J40" s="1"/>
  <c r="H6"/>
  <c r="H7"/>
  <c r="H8"/>
  <c r="H9"/>
  <c r="H10"/>
  <c r="H11"/>
  <c r="N5"/>
  <c r="I190" s="1"/>
  <c r="M5"/>
  <c r="I164" s="1"/>
  <c r="L5"/>
  <c r="I138" s="1"/>
  <c r="K5"/>
  <c r="J5"/>
  <c r="I5"/>
  <c r="H5"/>
  <c r="Q8" i="102"/>
  <c r="Q9"/>
  <c r="Q35" s="1"/>
  <c r="F164" i="119" s="1"/>
  <c r="Q10" i="102"/>
  <c r="Q36" s="1"/>
  <c r="F191" i="101" s="1"/>
  <c r="Q11" i="102"/>
  <c r="Q37" s="1"/>
  <c r="Q12"/>
  <c r="Q13"/>
  <c r="Q39" s="1"/>
  <c r="F168" i="119" s="1"/>
  <c r="Q14" i="102"/>
  <c r="Q40" s="1"/>
  <c r="F195" i="101" s="1"/>
  <c r="Q15" i="102"/>
  <c r="Q16"/>
  <c r="Q42" s="1"/>
  <c r="F197" i="101" s="1"/>
  <c r="Q17" i="102"/>
  <c r="Q43" s="1"/>
  <c r="F172" i="119" s="1"/>
  <c r="Q18" i="102"/>
  <c r="Q44" s="1"/>
  <c r="F199" i="101" s="1"/>
  <c r="Q19" i="102"/>
  <c r="Q45" s="1"/>
  <c r="F174" i="119" s="1"/>
  <c r="Q20" i="102"/>
  <c r="Q46" s="1"/>
  <c r="F201" i="101" s="1"/>
  <c r="Q21" i="102"/>
  <c r="Q22"/>
  <c r="Q23"/>
  <c r="Q49" s="1"/>
  <c r="Q24"/>
  <c r="Q50" s="1"/>
  <c r="F205" i="101" s="1"/>
  <c r="Q25" i="102"/>
  <c r="Q51" s="1"/>
  <c r="F180" i="119" s="1"/>
  <c r="Q26" i="102"/>
  <c r="Q52" s="1"/>
  <c r="Q7"/>
  <c r="Q33" s="1"/>
  <c r="F162" i="119" s="1"/>
  <c r="Q6" i="102"/>
  <c r="P8"/>
  <c r="P34" s="1"/>
  <c r="E163" i="119" s="1"/>
  <c r="P9" i="102"/>
  <c r="P35" s="1"/>
  <c r="P10"/>
  <c r="P36" s="1"/>
  <c r="E191" i="101" s="1"/>
  <c r="P11" i="102"/>
  <c r="P12"/>
  <c r="P38" s="1"/>
  <c r="E167" i="119" s="1"/>
  <c r="P13" i="102"/>
  <c r="P39" s="1"/>
  <c r="P14"/>
  <c r="P40" s="1"/>
  <c r="E195" i="101" s="1"/>
  <c r="P15" i="102"/>
  <c r="P16"/>
  <c r="P17"/>
  <c r="P43" s="1"/>
  <c r="P18"/>
  <c r="P44" s="1"/>
  <c r="E199" i="101" s="1"/>
  <c r="P19" i="102"/>
  <c r="P45" s="1"/>
  <c r="E174" i="119" s="1"/>
  <c r="P20" i="102"/>
  <c r="P21"/>
  <c r="P47" s="1"/>
  <c r="E176" i="119" s="1"/>
  <c r="P22" i="102"/>
  <c r="P48" s="1"/>
  <c r="E203" i="101" s="1"/>
  <c r="P23" i="102"/>
  <c r="P49" s="1"/>
  <c r="E178" i="119" s="1"/>
  <c r="P24" i="102"/>
  <c r="P50" s="1"/>
  <c r="E179" i="119" s="1"/>
  <c r="P25" i="102"/>
  <c r="P51" s="1"/>
  <c r="P26"/>
  <c r="P7"/>
  <c r="P33" s="1"/>
  <c r="E162" i="119" s="1"/>
  <c r="P6" i="102"/>
  <c r="P32" s="1"/>
  <c r="E187" i="101" s="1"/>
  <c r="O8" i="102"/>
  <c r="O34" s="1"/>
  <c r="F163" i="101" s="1"/>
  <c r="O9" i="102"/>
  <c r="O10"/>
  <c r="O36" s="1"/>
  <c r="F165" i="101" s="1"/>
  <c r="O11" i="102"/>
  <c r="O37" s="1"/>
  <c r="O12"/>
  <c r="O38" s="1"/>
  <c r="F167" i="101" s="1"/>
  <c r="O13" i="102"/>
  <c r="O39" s="1"/>
  <c r="F142" i="119" s="1"/>
  <c r="O14" i="102"/>
  <c r="O40" s="1"/>
  <c r="O15"/>
  <c r="O41" s="1"/>
  <c r="O16"/>
  <c r="O42" s="1"/>
  <c r="F171" i="101" s="1"/>
  <c r="O17" i="102"/>
  <c r="O18"/>
  <c r="O44" s="1"/>
  <c r="F173" i="101" s="1"/>
  <c r="O19" i="102"/>
  <c r="O45" s="1"/>
  <c r="F148" i="119" s="1"/>
  <c r="O20" i="102"/>
  <c r="O21"/>
  <c r="O47" s="1"/>
  <c r="F150" i="119" s="1"/>
  <c r="O22" i="102"/>
  <c r="O48" s="1"/>
  <c r="F177" i="101" s="1"/>
  <c r="O23" i="102"/>
  <c r="O49" s="1"/>
  <c r="O24"/>
  <c r="O50" s="1"/>
  <c r="F179" i="101" s="1"/>
  <c r="O25" i="102"/>
  <c r="O26"/>
  <c r="O52" s="1"/>
  <c r="O7"/>
  <c r="O33" s="1"/>
  <c r="F136" i="119" s="1"/>
  <c r="O6" i="102"/>
  <c r="O32" s="1"/>
  <c r="F161" i="101" s="1"/>
  <c r="N8" i="102"/>
  <c r="N34"/>
  <c r="N9"/>
  <c r="N35" s="1"/>
  <c r="E138" i="119" s="1"/>
  <c r="N10" i="102"/>
  <c r="N36" s="1"/>
  <c r="E165" i="101" s="1"/>
  <c r="N11" i="102"/>
  <c r="N12"/>
  <c r="N38" s="1"/>
  <c r="N13"/>
  <c r="N39" s="1"/>
  <c r="E142" i="119" s="1"/>
  <c r="N14" i="102"/>
  <c r="N15"/>
  <c r="N41" s="1"/>
  <c r="E144" i="119" s="1"/>
  <c r="N16" i="102"/>
  <c r="N42" s="1"/>
  <c r="N17"/>
  <c r="N43" s="1"/>
  <c r="E146" i="119" s="1"/>
  <c r="N18" i="102"/>
  <c r="N44" s="1"/>
  <c r="E173" i="101" s="1"/>
  <c r="N19" i="102"/>
  <c r="N20"/>
  <c r="N46" s="1"/>
  <c r="E149" i="119" s="1"/>
  <c r="N21" i="102"/>
  <c r="N22"/>
  <c r="N48" s="1"/>
  <c r="N23"/>
  <c r="N49" s="1"/>
  <c r="E152" i="119" s="1"/>
  <c r="N24" i="102"/>
  <c r="N50" s="1"/>
  <c r="N25"/>
  <c r="N51" s="1"/>
  <c r="E154" i="119" s="1"/>
  <c r="N26" i="102"/>
  <c r="N52" s="1"/>
  <c r="N7"/>
  <c r="N6"/>
  <c r="N32" s="1"/>
  <c r="E161" i="101" s="1"/>
  <c r="P52" i="102"/>
  <c r="Q48"/>
  <c r="F203" i="101" s="1"/>
  <c r="Q47" i="102"/>
  <c r="F176" i="119" s="1"/>
  <c r="P46" i="102"/>
  <c r="E175" i="119" s="1"/>
  <c r="P42" i="102"/>
  <c r="E171" i="119" s="1"/>
  <c r="Q41" i="102"/>
  <c r="F170" i="119" s="1"/>
  <c r="P41" i="102"/>
  <c r="E170" i="119" s="1"/>
  <c r="Q38" i="102"/>
  <c r="F193" i="101" s="1"/>
  <c r="P37" i="102"/>
  <c r="E166" i="119" s="1"/>
  <c r="Q34" i="102"/>
  <c r="F189" i="101" s="1"/>
  <c r="Q32" i="102"/>
  <c r="F187" i="101" s="1"/>
  <c r="O51" i="102"/>
  <c r="F154" i="119" s="1"/>
  <c r="N47" i="102"/>
  <c r="E150" i="119" s="1"/>
  <c r="O46" i="102"/>
  <c r="F175" i="101" s="1"/>
  <c r="N45" i="102"/>
  <c r="E148" i="119" s="1"/>
  <c r="O43" i="102"/>
  <c r="F146" i="119" s="1"/>
  <c r="N40" i="102"/>
  <c r="E169" i="101" s="1"/>
  <c r="N37" i="102"/>
  <c r="E140" i="119" s="1"/>
  <c r="O35" i="102"/>
  <c r="F138" i="119" s="1"/>
  <c r="N33" i="102"/>
  <c r="E136" i="119" s="1"/>
  <c r="M26" i="102"/>
  <c r="M52" s="1"/>
  <c r="L26"/>
  <c r="L52" s="1"/>
  <c r="K26"/>
  <c r="K52"/>
  <c r="J26"/>
  <c r="J52" s="1"/>
  <c r="I26"/>
  <c r="I52" s="1"/>
  <c r="H26"/>
  <c r="H52" s="1"/>
  <c r="G26"/>
  <c r="G52" s="1"/>
  <c r="F26"/>
  <c r="F52" s="1"/>
  <c r="E26"/>
  <c r="E52" s="1"/>
  <c r="D26"/>
  <c r="D52" s="1"/>
  <c r="C26"/>
  <c r="C52" s="1"/>
  <c r="B26"/>
  <c r="B52" s="1"/>
  <c r="H30" i="103"/>
  <c r="N21" i="119" s="1"/>
  <c r="N22" s="1"/>
  <c r="L41" i="103"/>
  <c r="C4"/>
  <c r="D4"/>
  <c r="E4"/>
  <c r="F4"/>
  <c r="G4"/>
  <c r="H4"/>
  <c r="H17" s="1"/>
  <c r="B4"/>
  <c r="H24"/>
  <c r="H23"/>
  <c r="H22"/>
  <c r="H21"/>
  <c r="H20"/>
  <c r="H19"/>
  <c r="H18"/>
  <c r="D50" i="119"/>
  <c r="C50"/>
  <c r="D49"/>
  <c r="C49"/>
  <c r="C30" i="103"/>
  <c r="I21" i="119" s="1"/>
  <c r="I22" s="1"/>
  <c r="I34"/>
  <c r="D30" i="103"/>
  <c r="J21" i="119" s="1"/>
  <c r="J22" s="1"/>
  <c r="I35"/>
  <c r="I36"/>
  <c r="I38"/>
  <c r="I39"/>
  <c r="I60"/>
  <c r="E30" i="103"/>
  <c r="K21" i="119" s="1"/>
  <c r="K22" s="1"/>
  <c r="I61"/>
  <c r="I63"/>
  <c r="I64"/>
  <c r="I66"/>
  <c r="F30" i="103"/>
  <c r="L21" i="101" s="1"/>
  <c r="L22" s="1"/>
  <c r="I87" i="119"/>
  <c r="I88"/>
  <c r="I89"/>
  <c r="I91"/>
  <c r="I92"/>
  <c r="I113"/>
  <c r="I116"/>
  <c r="I117"/>
  <c r="I118"/>
  <c r="I62" i="101"/>
  <c r="I63"/>
  <c r="I65"/>
  <c r="I86"/>
  <c r="I87"/>
  <c r="I89"/>
  <c r="I112"/>
  <c r="I114"/>
  <c r="I115"/>
  <c r="I143"/>
  <c r="I144"/>
  <c r="G6" i="102"/>
  <c r="G32" s="1"/>
  <c r="F31" i="101" s="1"/>
  <c r="I7" i="102"/>
  <c r="I33" s="1"/>
  <c r="K8"/>
  <c r="K34" s="1"/>
  <c r="E6"/>
  <c r="E32" s="1"/>
  <c r="G7"/>
  <c r="G33"/>
  <c r="F32" i="101" s="1"/>
  <c r="I8" i="102"/>
  <c r="I34" s="1"/>
  <c r="K9"/>
  <c r="K35" s="1"/>
  <c r="E7"/>
  <c r="E33" s="1"/>
  <c r="G8"/>
  <c r="G34" s="1"/>
  <c r="F33" i="101" s="1"/>
  <c r="I9" i="102"/>
  <c r="I35" s="1"/>
  <c r="K10"/>
  <c r="K36" s="1"/>
  <c r="E8"/>
  <c r="E34" s="1"/>
  <c r="G9"/>
  <c r="G35" s="1"/>
  <c r="F34" i="101" s="1"/>
  <c r="I10" i="102"/>
  <c r="I36" s="1"/>
  <c r="K11"/>
  <c r="K37" s="1"/>
  <c r="E9"/>
  <c r="E35" s="1"/>
  <c r="G10"/>
  <c r="G36" s="1"/>
  <c r="F35" i="101" s="1"/>
  <c r="I11" i="102"/>
  <c r="I37" s="1"/>
  <c r="K12"/>
  <c r="K38" s="1"/>
  <c r="E10"/>
  <c r="E36" s="1"/>
  <c r="G11"/>
  <c r="G37" s="1"/>
  <c r="F36" i="101" s="1"/>
  <c r="I12" i="102"/>
  <c r="I38" s="1"/>
  <c r="K13"/>
  <c r="K39" s="1"/>
  <c r="E11"/>
  <c r="E37"/>
  <c r="G12"/>
  <c r="G38" s="1"/>
  <c r="F37" i="101" s="1"/>
  <c r="I13" i="102"/>
  <c r="I39" s="1"/>
  <c r="K14"/>
  <c r="K40" s="1"/>
  <c r="E12"/>
  <c r="E38" s="1"/>
  <c r="G13"/>
  <c r="G39" s="1"/>
  <c r="F38" i="101" s="1"/>
  <c r="I14" i="102"/>
  <c r="I40" s="1"/>
  <c r="L6"/>
  <c r="L32" s="1"/>
  <c r="M6"/>
  <c r="M32" s="1"/>
  <c r="E13"/>
  <c r="E39" s="1"/>
  <c r="G14"/>
  <c r="G40" s="1"/>
  <c r="F39" i="101" s="1"/>
  <c r="J6" i="102"/>
  <c r="J32" s="1"/>
  <c r="L7"/>
  <c r="L33" s="1"/>
  <c r="K6"/>
  <c r="K32" s="1"/>
  <c r="M7"/>
  <c r="M33" s="1"/>
  <c r="E14"/>
  <c r="E40" s="1"/>
  <c r="H6"/>
  <c r="H32" s="1"/>
  <c r="J7"/>
  <c r="J33" s="1"/>
  <c r="L8"/>
  <c r="L34" s="1"/>
  <c r="I6"/>
  <c r="I32"/>
  <c r="K7"/>
  <c r="K33" s="1"/>
  <c r="M8"/>
  <c r="M34" s="1"/>
  <c r="F6"/>
  <c r="F32" s="1"/>
  <c r="E31" i="101" s="1"/>
  <c r="H7" i="102"/>
  <c r="H33" s="1"/>
  <c r="J8"/>
  <c r="J34" s="1"/>
  <c r="L9"/>
  <c r="L35" s="1"/>
  <c r="M9"/>
  <c r="M35"/>
  <c r="D6"/>
  <c r="D32" s="1"/>
  <c r="F7"/>
  <c r="F33" s="1"/>
  <c r="E32" i="101" s="1"/>
  <c r="H8" i="102"/>
  <c r="H34" s="1"/>
  <c r="J9"/>
  <c r="J35" s="1"/>
  <c r="L10"/>
  <c r="L36" s="1"/>
  <c r="M10"/>
  <c r="M36" s="1"/>
  <c r="D7"/>
  <c r="D33" s="1"/>
  <c r="F8"/>
  <c r="F34" s="1"/>
  <c r="E33" i="101" s="1"/>
  <c r="H9" i="102"/>
  <c r="H35" s="1"/>
  <c r="J10"/>
  <c r="J36" s="1"/>
  <c r="L11"/>
  <c r="L37" s="1"/>
  <c r="M11"/>
  <c r="M37" s="1"/>
  <c r="D8"/>
  <c r="D34" s="1"/>
  <c r="F9"/>
  <c r="F35" s="1"/>
  <c r="E34" i="101" s="1"/>
  <c r="H10" i="102"/>
  <c r="H36" s="1"/>
  <c r="J11"/>
  <c r="J37" s="1"/>
  <c r="L12"/>
  <c r="L38" s="1"/>
  <c r="M12"/>
  <c r="M38" s="1"/>
  <c r="D9"/>
  <c r="D35" s="1"/>
  <c r="F10"/>
  <c r="F36" s="1"/>
  <c r="E35" i="101" s="1"/>
  <c r="H11" i="102"/>
  <c r="H37" s="1"/>
  <c r="J12"/>
  <c r="J38" s="1"/>
  <c r="L13"/>
  <c r="L39" s="1"/>
  <c r="M13"/>
  <c r="M39" s="1"/>
  <c r="D10"/>
  <c r="D36" s="1"/>
  <c r="F11"/>
  <c r="F37"/>
  <c r="E36" i="101" s="1"/>
  <c r="H12" i="102"/>
  <c r="H38" s="1"/>
  <c r="J13"/>
  <c r="J39" s="1"/>
  <c r="L14"/>
  <c r="L40" s="1"/>
  <c r="M14"/>
  <c r="M40" s="1"/>
  <c r="D11"/>
  <c r="D37" s="1"/>
  <c r="F12"/>
  <c r="F38"/>
  <c r="E37" i="101" s="1"/>
  <c r="H13" i="102"/>
  <c r="H39" s="1"/>
  <c r="J14"/>
  <c r="J40" s="1"/>
  <c r="L15"/>
  <c r="L41" s="1"/>
  <c r="M15"/>
  <c r="M41" s="1"/>
  <c r="D12"/>
  <c r="D38" s="1"/>
  <c r="F13"/>
  <c r="F39" s="1"/>
  <c r="E38" i="101" s="1"/>
  <c r="H14" i="102"/>
  <c r="H40" s="1"/>
  <c r="J15"/>
  <c r="J41" s="1"/>
  <c r="L16"/>
  <c r="L42"/>
  <c r="K15"/>
  <c r="K41" s="1"/>
  <c r="M16"/>
  <c r="M42" s="1"/>
  <c r="D13"/>
  <c r="D39" s="1"/>
  <c r="F14"/>
  <c r="F40" s="1"/>
  <c r="E39" i="101" s="1"/>
  <c r="H15" i="102"/>
  <c r="H41" s="1"/>
  <c r="J16"/>
  <c r="J42" s="1"/>
  <c r="L17"/>
  <c r="L43" s="1"/>
  <c r="I15"/>
  <c r="I41" s="1"/>
  <c r="K16"/>
  <c r="K42"/>
  <c r="M17"/>
  <c r="M43" s="1"/>
  <c r="D14"/>
  <c r="D40" s="1"/>
  <c r="F15"/>
  <c r="F41" s="1"/>
  <c r="E40" i="101" s="1"/>
  <c r="H16" i="102"/>
  <c r="H42" s="1"/>
  <c r="J17"/>
  <c r="J43" s="1"/>
  <c r="L18"/>
  <c r="L44" s="1"/>
  <c r="G15"/>
  <c r="G41" s="1"/>
  <c r="F40" i="101" s="1"/>
  <c r="I16" i="102"/>
  <c r="I42" s="1"/>
  <c r="K17"/>
  <c r="K43" s="1"/>
  <c r="M18"/>
  <c r="M44" s="1"/>
  <c r="D15"/>
  <c r="D41" s="1"/>
  <c r="F16"/>
  <c r="F42" s="1"/>
  <c r="E41" i="101" s="1"/>
  <c r="H17" i="102"/>
  <c r="H43" s="1"/>
  <c r="J18"/>
  <c r="J44" s="1"/>
  <c r="L19"/>
  <c r="L45" s="1"/>
  <c r="E15"/>
  <c r="E41" s="1"/>
  <c r="G16"/>
  <c r="G42" s="1"/>
  <c r="F41" i="101" s="1"/>
  <c r="I17" i="102"/>
  <c r="I43" s="1"/>
  <c r="K18"/>
  <c r="K44" s="1"/>
  <c r="M19"/>
  <c r="M45"/>
  <c r="D16"/>
  <c r="D42" s="1"/>
  <c r="F17"/>
  <c r="F43" s="1"/>
  <c r="E42" i="101" s="1"/>
  <c r="H18" i="102"/>
  <c r="H44" s="1"/>
  <c r="J19"/>
  <c r="J45" s="1"/>
  <c r="L20"/>
  <c r="L46" s="1"/>
  <c r="E16"/>
  <c r="E42" s="1"/>
  <c r="G17"/>
  <c r="G43" s="1"/>
  <c r="F42" i="101" s="1"/>
  <c r="I18" i="102"/>
  <c r="I44" s="1"/>
  <c r="K19"/>
  <c r="K45" s="1"/>
  <c r="M20"/>
  <c r="M46" s="1"/>
  <c r="D17"/>
  <c r="D43" s="1"/>
  <c r="F18"/>
  <c r="F44" s="1"/>
  <c r="E43" i="101" s="1"/>
  <c r="H19" i="102"/>
  <c r="H45"/>
  <c r="J20"/>
  <c r="J46" s="1"/>
  <c r="L21"/>
  <c r="L47" s="1"/>
  <c r="E17"/>
  <c r="E43" s="1"/>
  <c r="G18"/>
  <c r="G44" s="1"/>
  <c r="F43" i="101" s="1"/>
  <c r="I19" i="102"/>
  <c r="I45" s="1"/>
  <c r="K20"/>
  <c r="K46" s="1"/>
  <c r="M21"/>
  <c r="M47" s="1"/>
  <c r="D18"/>
  <c r="D44" s="1"/>
  <c r="F19"/>
  <c r="F45"/>
  <c r="E44" i="101" s="1"/>
  <c r="H20" i="102"/>
  <c r="H46" s="1"/>
  <c r="J21"/>
  <c r="J47" s="1"/>
  <c r="L22"/>
  <c r="L48" s="1"/>
  <c r="E18"/>
  <c r="E44" s="1"/>
  <c r="G19"/>
  <c r="G45" s="1"/>
  <c r="F44" i="101" s="1"/>
  <c r="I20" i="102"/>
  <c r="I46" s="1"/>
  <c r="K21"/>
  <c r="K47" s="1"/>
  <c r="M22"/>
  <c r="M48" s="1"/>
  <c r="D19"/>
  <c r="D45" s="1"/>
  <c r="F20"/>
  <c r="F46" s="1"/>
  <c r="E45" i="101" s="1"/>
  <c r="H21" i="102"/>
  <c r="H47" s="1"/>
  <c r="J22"/>
  <c r="J48" s="1"/>
  <c r="L23"/>
  <c r="L49"/>
  <c r="E19"/>
  <c r="E45" s="1"/>
  <c r="G20"/>
  <c r="G46" s="1"/>
  <c r="F45" i="101" s="1"/>
  <c r="I21" i="102"/>
  <c r="I47" s="1"/>
  <c r="K22"/>
  <c r="K48" s="1"/>
  <c r="M23"/>
  <c r="M49"/>
  <c r="D20"/>
  <c r="D46" s="1"/>
  <c r="F21"/>
  <c r="F47" s="1"/>
  <c r="E46" i="101" s="1"/>
  <c r="H22" i="102"/>
  <c r="H48" s="1"/>
  <c r="J23"/>
  <c r="J49" s="1"/>
  <c r="L24"/>
  <c r="L50" s="1"/>
  <c r="E20"/>
  <c r="E46" s="1"/>
  <c r="G21"/>
  <c r="G47" s="1"/>
  <c r="F46" i="101" s="1"/>
  <c r="I22" i="102"/>
  <c r="I48" s="1"/>
  <c r="K23"/>
  <c r="K49" s="1"/>
  <c r="M24"/>
  <c r="M50" s="1"/>
  <c r="M25"/>
  <c r="M51" s="1"/>
  <c r="L25"/>
  <c r="L51" s="1"/>
  <c r="D21"/>
  <c r="D47"/>
  <c r="F22"/>
  <c r="F48" s="1"/>
  <c r="E47" i="101" s="1"/>
  <c r="H23" i="102"/>
  <c r="H49" s="1"/>
  <c r="J24"/>
  <c r="J50" s="1"/>
  <c r="E21"/>
  <c r="E47" s="1"/>
  <c r="G22"/>
  <c r="G48" s="1"/>
  <c r="F47" i="101" s="1"/>
  <c r="I23" i="102"/>
  <c r="I49" s="1"/>
  <c r="K24"/>
  <c r="K50" s="1"/>
  <c r="G30" i="103"/>
  <c r="M21" i="119" s="1"/>
  <c r="M22" s="1"/>
  <c r="K25" i="102"/>
  <c r="K51" s="1"/>
  <c r="J25"/>
  <c r="J51" s="1"/>
  <c r="I25"/>
  <c r="I51" s="1"/>
  <c r="I24"/>
  <c r="I50" s="1"/>
  <c r="H25"/>
  <c r="H51" s="1"/>
  <c r="H24"/>
  <c r="H50"/>
  <c r="G25"/>
  <c r="G51" s="1"/>
  <c r="F50" i="101" s="1"/>
  <c r="G24" i="102"/>
  <c r="G50" s="1"/>
  <c r="F49" i="101" s="1"/>
  <c r="H50" s="1"/>
  <c r="D76" s="1"/>
  <c r="G23" i="102"/>
  <c r="G49"/>
  <c r="F48" i="101" s="1"/>
  <c r="F25" i="102"/>
  <c r="F51"/>
  <c r="E50" i="101" s="1"/>
  <c r="F24" i="102"/>
  <c r="F50" s="1"/>
  <c r="E49" i="101" s="1"/>
  <c r="F23" i="102"/>
  <c r="F49" s="1"/>
  <c r="E48" i="101" s="1"/>
  <c r="E25" i="102"/>
  <c r="E51" s="1"/>
  <c r="E24"/>
  <c r="E50" s="1"/>
  <c r="E23"/>
  <c r="E49"/>
  <c r="E22"/>
  <c r="E48" s="1"/>
  <c r="D25"/>
  <c r="D51" s="1"/>
  <c r="D24"/>
  <c r="D50" s="1"/>
  <c r="D23"/>
  <c r="D49" s="1"/>
  <c r="D22"/>
  <c r="D48" s="1"/>
  <c r="C22" i="70"/>
  <c r="C26" s="1"/>
  <c r="C30"/>
  <c r="C31" s="1"/>
  <c r="C38"/>
  <c r="C39" s="1"/>
  <c r="C46"/>
  <c r="C50" s="1"/>
  <c r="C54"/>
  <c r="C62"/>
  <c r="C63" s="1"/>
  <c r="C70"/>
  <c r="C74" s="1"/>
  <c r="C78"/>
  <c r="C82" s="1"/>
  <c r="C86"/>
  <c r="C90" s="1"/>
  <c r="C94"/>
  <c r="D13"/>
  <c r="E13"/>
  <c r="F13"/>
  <c r="B25" i="4"/>
  <c r="B15"/>
  <c r="B16"/>
  <c r="B17"/>
  <c r="B18"/>
  <c r="B19"/>
  <c r="B20"/>
  <c r="B21"/>
  <c r="B22"/>
  <c r="B23"/>
  <c r="B24"/>
  <c r="D14" i="70"/>
  <c r="E14"/>
  <c r="F14"/>
  <c r="G14"/>
  <c r="D16"/>
  <c r="E16"/>
  <c r="F16"/>
  <c r="G16"/>
  <c r="C17"/>
  <c r="D25"/>
  <c r="D33"/>
  <c r="D41"/>
  <c r="D65"/>
  <c r="D81"/>
  <c r="D89"/>
  <c r="E25"/>
  <c r="E33"/>
  <c r="E41"/>
  <c r="E65"/>
  <c r="E81"/>
  <c r="E89"/>
  <c r="F25"/>
  <c r="F33"/>
  <c r="F41"/>
  <c r="F65"/>
  <c r="F81"/>
  <c r="F89"/>
  <c r="G25"/>
  <c r="G33"/>
  <c r="G41"/>
  <c r="G65"/>
  <c r="G81"/>
  <c r="G89"/>
  <c r="D22"/>
  <c r="D26" s="1"/>
  <c r="E22"/>
  <c r="F22"/>
  <c r="F26" s="1"/>
  <c r="G22"/>
  <c r="D23"/>
  <c r="E23"/>
  <c r="F23"/>
  <c r="G23"/>
  <c r="C24"/>
  <c r="D24"/>
  <c r="E24"/>
  <c r="F24"/>
  <c r="G24"/>
  <c r="D30"/>
  <c r="D34" s="1"/>
  <c r="E30"/>
  <c r="E34" s="1"/>
  <c r="F30"/>
  <c r="F34" s="1"/>
  <c r="G30"/>
  <c r="G34"/>
  <c r="D31"/>
  <c r="E31"/>
  <c r="F31"/>
  <c r="G31"/>
  <c r="C32"/>
  <c r="D32"/>
  <c r="E32"/>
  <c r="F32"/>
  <c r="G32"/>
  <c r="D38"/>
  <c r="D42"/>
  <c r="E38"/>
  <c r="E42"/>
  <c r="F38"/>
  <c r="F42"/>
  <c r="G38"/>
  <c r="G42"/>
  <c r="D39"/>
  <c r="E39"/>
  <c r="F39"/>
  <c r="G39"/>
  <c r="C40"/>
  <c r="D40"/>
  <c r="E40"/>
  <c r="F40"/>
  <c r="G40"/>
  <c r="D46"/>
  <c r="D50" s="1"/>
  <c r="E46"/>
  <c r="E50"/>
  <c r="F46"/>
  <c r="F50" s="1"/>
  <c r="G46"/>
  <c r="G50" s="1"/>
  <c r="D47"/>
  <c r="E47"/>
  <c r="F47"/>
  <c r="G47"/>
  <c r="C48"/>
  <c r="D48"/>
  <c r="E48"/>
  <c r="F48"/>
  <c r="G48"/>
  <c r="D54"/>
  <c r="D58" s="1"/>
  <c r="E54"/>
  <c r="E58" s="1"/>
  <c r="F54"/>
  <c r="F58" s="1"/>
  <c r="G54"/>
  <c r="C55"/>
  <c r="D55"/>
  <c r="E55"/>
  <c r="F55"/>
  <c r="G55"/>
  <c r="C56"/>
  <c r="D56"/>
  <c r="E56"/>
  <c r="F56"/>
  <c r="G56"/>
  <c r="C58"/>
  <c r="G58"/>
  <c r="D62"/>
  <c r="E62"/>
  <c r="F62"/>
  <c r="F66" s="1"/>
  <c r="G62"/>
  <c r="G66" s="1"/>
  <c r="D63"/>
  <c r="E63"/>
  <c r="F63"/>
  <c r="G63"/>
  <c r="C64"/>
  <c r="D64"/>
  <c r="E64"/>
  <c r="F64"/>
  <c r="G64"/>
  <c r="D70"/>
  <c r="D74" s="1"/>
  <c r="E70"/>
  <c r="E74" s="1"/>
  <c r="F70"/>
  <c r="F74" s="1"/>
  <c r="G70"/>
  <c r="G74" s="1"/>
  <c r="C71"/>
  <c r="D71"/>
  <c r="E71"/>
  <c r="F71"/>
  <c r="G71"/>
  <c r="C72"/>
  <c r="D72"/>
  <c r="E72"/>
  <c r="F72"/>
  <c r="G72"/>
  <c r="D78"/>
  <c r="D82" s="1"/>
  <c r="E78"/>
  <c r="F78"/>
  <c r="F82" s="1"/>
  <c r="G78"/>
  <c r="C79"/>
  <c r="D79"/>
  <c r="E79"/>
  <c r="F79"/>
  <c r="G79"/>
  <c r="C80"/>
  <c r="D80"/>
  <c r="E80"/>
  <c r="F80"/>
  <c r="G80"/>
  <c r="D86"/>
  <c r="D90" s="1"/>
  <c r="E86"/>
  <c r="F86"/>
  <c r="F90"/>
  <c r="G86"/>
  <c r="G90" s="1"/>
  <c r="D87"/>
  <c r="E87"/>
  <c r="F87"/>
  <c r="G87"/>
  <c r="C88"/>
  <c r="D88"/>
  <c r="E88"/>
  <c r="F88"/>
  <c r="G88"/>
  <c r="D94"/>
  <c r="D98"/>
  <c r="E94"/>
  <c r="E98" s="1"/>
  <c r="F94"/>
  <c r="F98" s="1"/>
  <c r="G94"/>
  <c r="G98" s="1"/>
  <c r="C95"/>
  <c r="D95"/>
  <c r="E95"/>
  <c r="F95"/>
  <c r="G95"/>
  <c r="C96"/>
  <c r="D96"/>
  <c r="E96"/>
  <c r="F96"/>
  <c r="G96"/>
  <c r="C98"/>
  <c r="L30" i="69"/>
  <c r="L31"/>
  <c r="L32" s="1"/>
  <c r="L34" s="1"/>
  <c r="J35"/>
  <c r="J38"/>
  <c r="L44"/>
  <c r="L45"/>
  <c r="L46" s="1"/>
  <c r="L47" s="1"/>
  <c r="L49" s="1"/>
  <c r="L5"/>
  <c r="L17" s="1"/>
  <c r="L6"/>
  <c r="L16" s="1"/>
  <c r="L7"/>
  <c r="L19" s="1"/>
  <c r="L8"/>
  <c r="L20" s="1"/>
  <c r="L9"/>
  <c r="L21" s="1"/>
  <c r="L10"/>
  <c r="L22" s="1"/>
  <c r="L11"/>
  <c r="L23" s="1"/>
  <c r="L12"/>
  <c r="L24" s="1"/>
  <c r="L13"/>
  <c r="L25" s="1"/>
  <c r="L26"/>
  <c r="L27"/>
  <c r="J5"/>
  <c r="J17" s="1"/>
  <c r="K5"/>
  <c r="I6"/>
  <c r="I18" s="1"/>
  <c r="J6"/>
  <c r="J18"/>
  <c r="K6"/>
  <c r="J7"/>
  <c r="K7"/>
  <c r="J8"/>
  <c r="J20" s="1"/>
  <c r="K8"/>
  <c r="K20" s="1"/>
  <c r="J9"/>
  <c r="K9"/>
  <c r="J10"/>
  <c r="J22" s="1"/>
  <c r="K10"/>
  <c r="K22" s="1"/>
  <c r="I11"/>
  <c r="J11"/>
  <c r="J23" s="1"/>
  <c r="K11"/>
  <c r="K23"/>
  <c r="J12"/>
  <c r="K12"/>
  <c r="I13"/>
  <c r="J13"/>
  <c r="K13"/>
  <c r="H16"/>
  <c r="I17"/>
  <c r="K18"/>
  <c r="I19"/>
  <c r="J19"/>
  <c r="K19"/>
  <c r="I20"/>
  <c r="I21"/>
  <c r="J21"/>
  <c r="K21"/>
  <c r="I22"/>
  <c r="I24"/>
  <c r="J24"/>
  <c r="K24"/>
  <c r="I25"/>
  <c r="J25"/>
  <c r="K25"/>
  <c r="I26"/>
  <c r="J26"/>
  <c r="K26"/>
  <c r="I27"/>
  <c r="J27"/>
  <c r="K27"/>
  <c r="H28"/>
  <c r="H30"/>
  <c r="I30"/>
  <c r="J30"/>
  <c r="K30"/>
  <c r="H31"/>
  <c r="I31"/>
  <c r="J31"/>
  <c r="K31"/>
  <c r="H32"/>
  <c r="I32"/>
  <c r="J32"/>
  <c r="J34" s="1"/>
  <c r="K32"/>
  <c r="K34" s="1"/>
  <c r="I35"/>
  <c r="I36" s="1"/>
  <c r="K35"/>
  <c r="K36" s="1"/>
  <c r="L35"/>
  <c r="L36" s="1"/>
  <c r="J36"/>
  <c r="I44"/>
  <c r="I45" s="1"/>
  <c r="I46" s="1"/>
  <c r="I47" s="1"/>
  <c r="I49" s="1"/>
  <c r="J44"/>
  <c r="J45"/>
  <c r="J46" s="1"/>
  <c r="J47" s="1"/>
  <c r="J49" s="1"/>
  <c r="K44"/>
  <c r="K45" s="1"/>
  <c r="K46" s="1"/>
  <c r="K47" s="1"/>
  <c r="K49" s="1"/>
  <c r="J51"/>
  <c r="J55" s="1"/>
  <c r="K51"/>
  <c r="K55" s="1"/>
  <c r="L51"/>
  <c r="L52"/>
  <c r="L53" s="1"/>
  <c r="L54" s="1"/>
  <c r="L55"/>
  <c r="I56"/>
  <c r="D57"/>
  <c r="L58" s="1"/>
  <c r="H64"/>
  <c r="H66" s="1"/>
  <c r="O71"/>
  <c r="K72" s="1"/>
  <c r="K73" s="1"/>
  <c r="K74" s="1"/>
  <c r="O76"/>
  <c r="L76" s="1"/>
  <c r="L77" s="1"/>
  <c r="L78" s="1"/>
  <c r="J76"/>
  <c r="J77" s="1"/>
  <c r="J78" s="1"/>
  <c r="O80"/>
  <c r="I81" s="1"/>
  <c r="I82" s="1"/>
  <c r="I83" s="1"/>
  <c r="O84"/>
  <c r="O85"/>
  <c r="O86"/>
  <c r="D94"/>
  <c r="F95"/>
  <c r="G95"/>
  <c r="F96"/>
  <c r="G96"/>
  <c r="F97"/>
  <c r="G97"/>
  <c r="F98"/>
  <c r="G98"/>
  <c r="F99"/>
  <c r="G99"/>
  <c r="F100"/>
  <c r="G100"/>
  <c r="F101"/>
  <c r="G101"/>
  <c r="F102"/>
  <c r="G102"/>
  <c r="F103"/>
  <c r="G103"/>
  <c r="F104"/>
  <c r="G104"/>
  <c r="D109"/>
  <c r="D111" s="1"/>
  <c r="D112" s="1"/>
  <c r="D110"/>
  <c r="J9" i="108"/>
  <c r="K9"/>
  <c r="L9"/>
  <c r="L27" s="1"/>
  <c r="J10"/>
  <c r="K10"/>
  <c r="K28" s="1"/>
  <c r="L10"/>
  <c r="L28" s="1"/>
  <c r="I11"/>
  <c r="J11"/>
  <c r="K11"/>
  <c r="K29" s="1"/>
  <c r="L11"/>
  <c r="L29" s="1"/>
  <c r="J12"/>
  <c r="J30" s="1"/>
  <c r="K12"/>
  <c r="K30" s="1"/>
  <c r="L12"/>
  <c r="I13"/>
  <c r="J13"/>
  <c r="J31" s="1"/>
  <c r="K13"/>
  <c r="K31"/>
  <c r="L13"/>
  <c r="J14"/>
  <c r="K14"/>
  <c r="L14"/>
  <c r="J15"/>
  <c r="K15"/>
  <c r="L15"/>
  <c r="J20"/>
  <c r="J38" s="1"/>
  <c r="J21"/>
  <c r="K21" s="1"/>
  <c r="L21" s="1"/>
  <c r="L39" s="1"/>
  <c r="H22"/>
  <c r="I23"/>
  <c r="J23"/>
  <c r="K23"/>
  <c r="L23"/>
  <c r="I24"/>
  <c r="J24"/>
  <c r="K24"/>
  <c r="L24"/>
  <c r="I25"/>
  <c r="J25"/>
  <c r="K25"/>
  <c r="L25"/>
  <c r="I26"/>
  <c r="J26"/>
  <c r="K26"/>
  <c r="L26"/>
  <c r="I27"/>
  <c r="J27"/>
  <c r="I28"/>
  <c r="J28"/>
  <c r="I29"/>
  <c r="J29"/>
  <c r="I30"/>
  <c r="L30"/>
  <c r="L31"/>
  <c r="I36"/>
  <c r="J36"/>
  <c r="K36"/>
  <c r="L36"/>
  <c r="I37"/>
  <c r="J37"/>
  <c r="K37"/>
  <c r="L37"/>
  <c r="I38"/>
  <c r="I39"/>
  <c r="H40"/>
  <c r="H42"/>
  <c r="H43" s="1"/>
  <c r="H44" s="1"/>
  <c r="I42"/>
  <c r="I43" s="1"/>
  <c r="I44" s="1"/>
  <c r="J42"/>
  <c r="J43" s="1"/>
  <c r="J44" s="1"/>
  <c r="J46" s="1"/>
  <c r="K42"/>
  <c r="K43" s="1"/>
  <c r="K44" s="1"/>
  <c r="K46" s="1"/>
  <c r="L42"/>
  <c r="L43"/>
  <c r="L44" s="1"/>
  <c r="L46" s="1"/>
  <c r="R47"/>
  <c r="R48" s="1"/>
  <c r="P47"/>
  <c r="I48" s="1"/>
  <c r="H51"/>
  <c r="H52" s="1"/>
  <c r="H53" s="1"/>
  <c r="H75" s="1"/>
  <c r="I55"/>
  <c r="J55"/>
  <c r="K55"/>
  <c r="L55"/>
  <c r="I56"/>
  <c r="J56"/>
  <c r="K56"/>
  <c r="L56"/>
  <c r="I57"/>
  <c r="J57"/>
  <c r="K57"/>
  <c r="L57"/>
  <c r="I58"/>
  <c r="J58"/>
  <c r="K58"/>
  <c r="L58"/>
  <c r="I60"/>
  <c r="J60"/>
  <c r="K60"/>
  <c r="L60"/>
  <c r="J62"/>
  <c r="K62"/>
  <c r="L62"/>
  <c r="I63"/>
  <c r="J63"/>
  <c r="K63"/>
  <c r="L63"/>
  <c r="I64"/>
  <c r="J64"/>
  <c r="K64"/>
  <c r="L64"/>
  <c r="I65"/>
  <c r="J65"/>
  <c r="K65"/>
  <c r="L65"/>
  <c r="I67"/>
  <c r="J67"/>
  <c r="K67"/>
  <c r="L67"/>
  <c r="D68"/>
  <c r="J69" s="1"/>
  <c r="J70"/>
  <c r="J71" s="1"/>
  <c r="J72" s="1"/>
  <c r="J74" s="1"/>
  <c r="I70"/>
  <c r="I71" s="1"/>
  <c r="I72" s="1"/>
  <c r="K76"/>
  <c r="I77"/>
  <c r="J77"/>
  <c r="J78"/>
  <c r="K78" s="1"/>
  <c r="O85"/>
  <c r="O90"/>
  <c r="L90"/>
  <c r="L91" s="1"/>
  <c r="L92" s="1"/>
  <c r="O94"/>
  <c r="J95" s="1"/>
  <c r="J96" s="1"/>
  <c r="J97" s="1"/>
  <c r="I95"/>
  <c r="I96" s="1"/>
  <c r="I97" s="1"/>
  <c r="L95"/>
  <c r="L96" s="1"/>
  <c r="L97" s="1"/>
  <c r="O98"/>
  <c r="O99"/>
  <c r="O100"/>
  <c r="L8" i="103"/>
  <c r="L13"/>
  <c r="B17"/>
  <c r="C17"/>
  <c r="D17"/>
  <c r="E17"/>
  <c r="F17"/>
  <c r="G17"/>
  <c r="B18"/>
  <c r="C18"/>
  <c r="D18"/>
  <c r="E18"/>
  <c r="F18"/>
  <c r="G18"/>
  <c r="B19"/>
  <c r="C19"/>
  <c r="D19"/>
  <c r="E19"/>
  <c r="F19"/>
  <c r="G19"/>
  <c r="L19"/>
  <c r="B20"/>
  <c r="C20"/>
  <c r="D20"/>
  <c r="E20"/>
  <c r="F20"/>
  <c r="G20"/>
  <c r="B21"/>
  <c r="C21"/>
  <c r="D21"/>
  <c r="E21"/>
  <c r="F21"/>
  <c r="G21"/>
  <c r="B22"/>
  <c r="C22"/>
  <c r="D22"/>
  <c r="E22"/>
  <c r="F22"/>
  <c r="G22"/>
  <c r="B23"/>
  <c r="C23"/>
  <c r="D23"/>
  <c r="E23"/>
  <c r="F23"/>
  <c r="G23"/>
  <c r="B24"/>
  <c r="C24"/>
  <c r="D24"/>
  <c r="E24"/>
  <c r="F24"/>
  <c r="G24"/>
  <c r="L24"/>
  <c r="B30"/>
  <c r="L30"/>
  <c r="C32"/>
  <c r="C33" s="1"/>
  <c r="D32"/>
  <c r="D33" s="1"/>
  <c r="E32"/>
  <c r="E33" s="1"/>
  <c r="F32"/>
  <c r="F33" s="1"/>
  <c r="G32"/>
  <c r="G33" s="1"/>
  <c r="L35"/>
  <c r="H32"/>
  <c r="H33"/>
  <c r="B6" i="102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C5" i="101"/>
  <c r="C6"/>
  <c r="C7"/>
  <c r="C8"/>
  <c r="C9"/>
  <c r="C10"/>
  <c r="C11"/>
  <c r="C12"/>
  <c r="C13"/>
  <c r="C14"/>
  <c r="C15"/>
  <c r="C16"/>
  <c r="C17"/>
  <c r="C18"/>
  <c r="C19"/>
  <c r="C20"/>
  <c r="C21"/>
  <c r="C22"/>
  <c r="D25"/>
  <c r="E25"/>
  <c r="A19" i="63"/>
  <c r="A24"/>
  <c r="A184" s="1"/>
  <c r="C6" i="97"/>
  <c r="C7" s="1"/>
  <c r="C8" s="1"/>
  <c r="C9" s="1"/>
  <c r="C10" s="1"/>
  <c r="C11" s="1"/>
  <c r="C12" s="1"/>
  <c r="C13" s="1"/>
  <c r="C14" s="1"/>
  <c r="C15" s="1"/>
  <c r="C16" s="1"/>
  <c r="C17" s="1"/>
  <c r="C18" s="1"/>
  <c r="C19" s="1"/>
  <c r="C20" s="1"/>
  <c r="C21" s="1"/>
  <c r="C22" s="1"/>
  <c r="C23" s="1"/>
  <c r="C24" s="1"/>
  <c r="C25" s="1"/>
  <c r="C26" s="1"/>
  <c r="C27" s="1"/>
  <c r="C28" s="1"/>
  <c r="A20" i="63"/>
  <c r="A60" s="1"/>
  <c r="A21"/>
  <c r="B21"/>
  <c r="B141" s="1"/>
  <c r="A22"/>
  <c r="A62" s="1"/>
  <c r="A23"/>
  <c r="A63" s="1"/>
  <c r="C32" i="97"/>
  <c r="C33"/>
  <c r="A32"/>
  <c r="A33"/>
  <c r="A34"/>
  <c r="A35"/>
  <c r="A36"/>
  <c r="A37"/>
  <c r="D58"/>
  <c r="D59"/>
  <c r="D60" s="1"/>
  <c r="D61" s="1"/>
  <c r="D62" s="1"/>
  <c r="D63" s="1"/>
  <c r="D64" s="1"/>
  <c r="D65" s="1"/>
  <c r="D66" s="1"/>
  <c r="D67" s="1"/>
  <c r="D68" s="1"/>
  <c r="D69" s="1"/>
  <c r="D70" s="1"/>
  <c r="D71" s="1"/>
  <c r="D72" s="1"/>
  <c r="D73" s="1"/>
  <c r="D74" s="1"/>
  <c r="D75" s="1"/>
  <c r="D76" s="1"/>
  <c r="D77" s="1"/>
  <c r="D78" s="1"/>
  <c r="D79" s="1"/>
  <c r="D80" s="1"/>
  <c r="A58"/>
  <c r="A59"/>
  <c r="A60"/>
  <c r="A61"/>
  <c r="A62"/>
  <c r="A63"/>
  <c r="D84"/>
  <c r="A84"/>
  <c r="A85"/>
  <c r="A86"/>
  <c r="A87"/>
  <c r="A88"/>
  <c r="A89"/>
  <c r="D110"/>
  <c r="D111" s="1"/>
  <c r="D112" s="1"/>
  <c r="D113" s="1"/>
  <c r="D114" s="1"/>
  <c r="D115" s="1"/>
  <c r="D116" s="1"/>
  <c r="D117" s="1"/>
  <c r="D118" s="1"/>
  <c r="D119" s="1"/>
  <c r="D120" s="1"/>
  <c r="D121" s="1"/>
  <c r="D122" s="1"/>
  <c r="D123" s="1"/>
  <c r="D124" s="1"/>
  <c r="D125" s="1"/>
  <c r="D126" s="1"/>
  <c r="D127" s="1"/>
  <c r="D128" s="1"/>
  <c r="D129" s="1"/>
  <c r="D130" s="1"/>
  <c r="D131" s="1"/>
  <c r="D132" s="1"/>
  <c r="A110"/>
  <c r="A111"/>
  <c r="A112"/>
  <c r="A113"/>
  <c r="A114"/>
  <c r="A115"/>
  <c r="L152"/>
  <c r="L153" s="1"/>
  <c r="N156"/>
  <c r="O156"/>
  <c r="P156" s="1"/>
  <c r="Q156" s="1"/>
  <c r="R156" s="1"/>
  <c r="S156" s="1"/>
  <c r="T156" s="1"/>
  <c r="U156" s="1"/>
  <c r="V156" s="1"/>
  <c r="W156" s="1"/>
  <c r="X156" s="1"/>
  <c r="Y156" s="1"/>
  <c r="Z156" s="1"/>
  <c r="AA156" s="1"/>
  <c r="AB156" s="1"/>
  <c r="AC156" s="1"/>
  <c r="AD156" s="1"/>
  <c r="AE156" s="1"/>
  <c r="AF156" s="1"/>
  <c r="AG156" s="1"/>
  <c r="AH156" s="1"/>
  <c r="AI156" s="1"/>
  <c r="A14" i="63"/>
  <c r="A174" s="1"/>
  <c r="C6" i="87"/>
  <c r="C7" s="1"/>
  <c r="C8" s="1"/>
  <c r="C9" s="1"/>
  <c r="C10" s="1"/>
  <c r="C11" s="1"/>
  <c r="C12" s="1"/>
  <c r="C13" s="1"/>
  <c r="C14" s="1"/>
  <c r="C15" s="1"/>
  <c r="C16" s="1"/>
  <c r="C17" s="1"/>
  <c r="C18" s="1"/>
  <c r="C19" s="1"/>
  <c r="C20" s="1"/>
  <c r="C21" s="1"/>
  <c r="C22" s="1"/>
  <c r="C23" s="1"/>
  <c r="C24" s="1"/>
  <c r="C25" s="1"/>
  <c r="C26" s="1"/>
  <c r="C27" s="1"/>
  <c r="C28" s="1"/>
  <c r="C29" s="1"/>
  <c r="C30" s="1"/>
  <c r="C31" s="1"/>
  <c r="C32" s="1"/>
  <c r="C33" s="1"/>
  <c r="A6"/>
  <c r="A130" s="1"/>
  <c r="A15" i="63"/>
  <c r="B15" s="1"/>
  <c r="B6" i="87"/>
  <c r="A7"/>
  <c r="A38" s="1"/>
  <c r="A16" i="63"/>
  <c r="B16" s="1"/>
  <c r="A8" i="87"/>
  <c r="A70" s="1"/>
  <c r="A17" i="63"/>
  <c r="A9" i="87"/>
  <c r="A133" s="1"/>
  <c r="A18" i="63"/>
  <c r="A138" s="1"/>
  <c r="A10" i="87"/>
  <c r="A72"/>
  <c r="A11"/>
  <c r="A135" s="1"/>
  <c r="A12"/>
  <c r="A74" s="1"/>
  <c r="A13"/>
  <c r="A44" s="1"/>
  <c r="A14"/>
  <c r="A138" s="1"/>
  <c r="A15"/>
  <c r="A139" s="1"/>
  <c r="L16"/>
  <c r="A36"/>
  <c r="C37"/>
  <c r="D68"/>
  <c r="D69" s="1"/>
  <c r="D70" s="1"/>
  <c r="D71" s="1"/>
  <c r="D72" s="1"/>
  <c r="D73" s="1"/>
  <c r="D74" s="1"/>
  <c r="D75" s="1"/>
  <c r="D76" s="1"/>
  <c r="D77" s="1"/>
  <c r="D78" s="1"/>
  <c r="D79" s="1"/>
  <c r="D80" s="1"/>
  <c r="D81" s="1"/>
  <c r="D82" s="1"/>
  <c r="D83" s="1"/>
  <c r="D84" s="1"/>
  <c r="D85" s="1"/>
  <c r="D86" s="1"/>
  <c r="D87" s="1"/>
  <c r="D88" s="1"/>
  <c r="D89" s="1"/>
  <c r="D90" s="1"/>
  <c r="D91" s="1"/>
  <c r="D92" s="1"/>
  <c r="D93" s="1"/>
  <c r="D94" s="1"/>
  <c r="D95" s="1"/>
  <c r="A68"/>
  <c r="D99"/>
  <c r="E99"/>
  <c r="D100"/>
  <c r="D130"/>
  <c r="L177"/>
  <c r="L178" s="1"/>
  <c r="O181"/>
  <c r="P181"/>
  <c r="Q181" s="1"/>
  <c r="R181" s="1"/>
  <c r="S181" s="1"/>
  <c r="T181" s="1"/>
  <c r="U181" s="1"/>
  <c r="V181" s="1"/>
  <c r="W181" s="1"/>
  <c r="X181" s="1"/>
  <c r="Y181" s="1"/>
  <c r="Z181" s="1"/>
  <c r="AA181" s="1"/>
  <c r="AB181" s="1"/>
  <c r="AC181" s="1"/>
  <c r="AD181" s="1"/>
  <c r="AE181" s="1"/>
  <c r="AF181" s="1"/>
  <c r="AG181" s="1"/>
  <c r="AH181" s="1"/>
  <c r="AI181" s="1"/>
  <c r="AJ181" s="1"/>
  <c r="AK181" s="1"/>
  <c r="AL181" s="1"/>
  <c r="AM181" s="1"/>
  <c r="AN181" s="1"/>
  <c r="A5" i="63"/>
  <c r="B5" s="1"/>
  <c r="C6"/>
  <c r="C7" s="1"/>
  <c r="C8" s="1"/>
  <c r="C9" s="1"/>
  <c r="C10"/>
  <c r="C11" s="1"/>
  <c r="C12" s="1"/>
  <c r="C13" s="1"/>
  <c r="C14" s="1"/>
  <c r="C15" s="1"/>
  <c r="C16" s="1"/>
  <c r="C17" s="1"/>
  <c r="C18" s="1"/>
  <c r="C19" s="1"/>
  <c r="C20" s="1"/>
  <c r="C21" s="1"/>
  <c r="C22" s="1"/>
  <c r="C23" s="1"/>
  <c r="C24" s="1"/>
  <c r="A6"/>
  <c r="A126" s="1"/>
  <c r="B6"/>
  <c r="A7"/>
  <c r="B7"/>
  <c r="A8"/>
  <c r="B8"/>
  <c r="A9"/>
  <c r="A49" s="1"/>
  <c r="A89"/>
  <c r="A10"/>
  <c r="B10"/>
  <c r="A11"/>
  <c r="A51" s="1"/>
  <c r="A12"/>
  <c r="A13"/>
  <c r="A53" s="1"/>
  <c r="L15"/>
  <c r="C46"/>
  <c r="A46"/>
  <c r="A47"/>
  <c r="A48"/>
  <c r="A50"/>
  <c r="A56"/>
  <c r="A61"/>
  <c r="A65"/>
  <c r="A85"/>
  <c r="D86"/>
  <c r="D87" s="1"/>
  <c r="D88" s="1"/>
  <c r="D89" s="1"/>
  <c r="D90" s="1"/>
  <c r="D91" s="1"/>
  <c r="D92" s="1"/>
  <c r="D93" s="1"/>
  <c r="D94" s="1"/>
  <c r="D95" s="1"/>
  <c r="D96" s="1"/>
  <c r="D97" s="1"/>
  <c r="D98" s="1"/>
  <c r="D99" s="1"/>
  <c r="D100" s="1"/>
  <c r="D101" s="1"/>
  <c r="D102" s="1"/>
  <c r="D103" s="1"/>
  <c r="D104" s="1"/>
  <c r="A88"/>
  <c r="A90"/>
  <c r="A95"/>
  <c r="A99"/>
  <c r="A101"/>
  <c r="A104"/>
  <c r="A105"/>
  <c r="A125"/>
  <c r="D126"/>
  <c r="A128"/>
  <c r="A130"/>
  <c r="A134"/>
  <c r="A137"/>
  <c r="A141"/>
  <c r="A142"/>
  <c r="A144"/>
  <c r="A145"/>
  <c r="A165"/>
  <c r="L225" s="1"/>
  <c r="D166"/>
  <c r="D167" s="1"/>
  <c r="A166"/>
  <c r="A168"/>
  <c r="A170"/>
  <c r="A175"/>
  <c r="A176"/>
  <c r="A181"/>
  <c r="A182"/>
  <c r="A183"/>
  <c r="A185"/>
  <c r="L221"/>
  <c r="L222" s="1"/>
  <c r="K225"/>
  <c r="M225"/>
  <c r="N225" s="1"/>
  <c r="O225" s="1"/>
  <c r="P225" s="1"/>
  <c r="Q225" s="1"/>
  <c r="R225" s="1"/>
  <c r="S225" s="1"/>
  <c r="T225" s="1"/>
  <c r="U225" s="1"/>
  <c r="V225" s="1"/>
  <c r="W225" s="1"/>
  <c r="X225" s="1"/>
  <c r="Y225" s="1"/>
  <c r="Z225" s="1"/>
  <c r="AA225" s="1"/>
  <c r="AB225" s="1"/>
  <c r="AC225" s="1"/>
  <c r="AD225" s="1"/>
  <c r="AE225" s="1"/>
  <c r="AF225" s="1"/>
  <c r="AG225" s="1"/>
  <c r="AH225" s="1"/>
  <c r="AI225" s="1"/>
  <c r="AJ225" s="1"/>
  <c r="AK225" s="1"/>
  <c r="AL225" s="1"/>
  <c r="AM225" s="1"/>
  <c r="AN225" s="1"/>
  <c r="AO225" s="1"/>
  <c r="AP225" s="1"/>
  <c r="AQ225" s="1"/>
  <c r="AR225" s="1"/>
  <c r="AS225" s="1"/>
  <c r="AT225" s="1"/>
  <c r="AU225" s="1"/>
  <c r="AV225" s="1"/>
  <c r="AW225" s="1"/>
  <c r="A19" i="36"/>
  <c r="A24"/>
  <c r="A144" s="1"/>
  <c r="C6" i="96"/>
  <c r="C7" s="1"/>
  <c r="C8"/>
  <c r="C9" s="1"/>
  <c r="C10" s="1"/>
  <c r="C11" s="1"/>
  <c r="C12" s="1"/>
  <c r="C13" s="1"/>
  <c r="C14" s="1"/>
  <c r="C15" s="1"/>
  <c r="C16" s="1"/>
  <c r="C17" s="1"/>
  <c r="C18" s="1"/>
  <c r="C19" s="1"/>
  <c r="C20" s="1"/>
  <c r="C21" s="1"/>
  <c r="C22" s="1"/>
  <c r="C23" s="1"/>
  <c r="C24" s="1"/>
  <c r="C25" s="1"/>
  <c r="C26" s="1"/>
  <c r="C27" s="1"/>
  <c r="C28" s="1"/>
  <c r="A20" i="36"/>
  <c r="A21"/>
  <c r="A61" s="1"/>
  <c r="A22"/>
  <c r="B22" s="1"/>
  <c r="B13" i="86"/>
  <c r="B106" s="1"/>
  <c r="A23" i="36"/>
  <c r="B23" s="1"/>
  <c r="B14" i="86" s="1"/>
  <c r="B107" s="1"/>
  <c r="C32" i="96"/>
  <c r="C33" s="1"/>
  <c r="C34" s="1"/>
  <c r="C35" s="1"/>
  <c r="C36" s="1"/>
  <c r="C37" s="1"/>
  <c r="C38" s="1"/>
  <c r="C39" s="1"/>
  <c r="C40" s="1"/>
  <c r="C41" s="1"/>
  <c r="C42" s="1"/>
  <c r="C43" s="1"/>
  <c r="C44" s="1"/>
  <c r="C45" s="1"/>
  <c r="C46" s="1"/>
  <c r="C47" s="1"/>
  <c r="C48" s="1"/>
  <c r="C49" s="1"/>
  <c r="C50" s="1"/>
  <c r="C51" s="1"/>
  <c r="C52" s="1"/>
  <c r="C53" s="1"/>
  <c r="C54" s="1"/>
  <c r="A32"/>
  <c r="A33"/>
  <c r="A34"/>
  <c r="A35"/>
  <c r="A36"/>
  <c r="A37"/>
  <c r="D58"/>
  <c r="D59" s="1"/>
  <c r="D60" s="1"/>
  <c r="D61" s="1"/>
  <c r="D62" s="1"/>
  <c r="D63" s="1"/>
  <c r="D64" s="1"/>
  <c r="D65" s="1"/>
  <c r="D66" s="1"/>
  <c r="D67" s="1"/>
  <c r="D68" s="1"/>
  <c r="D69" s="1"/>
  <c r="D70" s="1"/>
  <c r="D71" s="1"/>
  <c r="D72" s="1"/>
  <c r="D73" s="1"/>
  <c r="D74" s="1"/>
  <c r="D75" s="1"/>
  <c r="D76" s="1"/>
  <c r="D77" s="1"/>
  <c r="D78" s="1"/>
  <c r="D79" s="1"/>
  <c r="D80" s="1"/>
  <c r="A58"/>
  <c r="A59"/>
  <c r="A60"/>
  <c r="A61"/>
  <c r="A62"/>
  <c r="A63"/>
  <c r="D84"/>
  <c r="E84"/>
  <c r="D85"/>
  <c r="D86"/>
  <c r="A84"/>
  <c r="A85"/>
  <c r="A86"/>
  <c r="A87"/>
  <c r="A88"/>
  <c r="A89"/>
  <c r="D110"/>
  <c r="D111"/>
  <c r="A110"/>
  <c r="A111"/>
  <c r="A112"/>
  <c r="A113"/>
  <c r="A114"/>
  <c r="A115"/>
  <c r="L152"/>
  <c r="L153"/>
  <c r="N156"/>
  <c r="O156"/>
  <c r="P156" s="1"/>
  <c r="Q156" s="1"/>
  <c r="R156" s="1"/>
  <c r="S156" s="1"/>
  <c r="T156" s="1"/>
  <c r="U156" s="1"/>
  <c r="V156" s="1"/>
  <c r="W156" s="1"/>
  <c r="X156" s="1"/>
  <c r="Y156" s="1"/>
  <c r="Z156" s="1"/>
  <c r="AA156" s="1"/>
  <c r="AB156" s="1"/>
  <c r="AC156" s="1"/>
  <c r="AD156" s="1"/>
  <c r="AE156" s="1"/>
  <c r="AF156" s="1"/>
  <c r="AG156" s="1"/>
  <c r="AH156" s="1"/>
  <c r="AI156" s="1"/>
  <c r="A14" i="36"/>
  <c r="C6" i="86"/>
  <c r="C7" s="1"/>
  <c r="C8"/>
  <c r="C9" s="1"/>
  <c r="C10" s="1"/>
  <c r="C11" s="1"/>
  <c r="C12" s="1"/>
  <c r="C13" s="1"/>
  <c r="C14" s="1"/>
  <c r="C15" s="1"/>
  <c r="C16" s="1"/>
  <c r="C17" s="1"/>
  <c r="C18" s="1"/>
  <c r="C19" s="1"/>
  <c r="C20" s="1"/>
  <c r="C21" s="1"/>
  <c r="C22" s="1"/>
  <c r="C23" s="1"/>
  <c r="C24" s="1"/>
  <c r="C25" s="1"/>
  <c r="C26" s="1"/>
  <c r="C27" s="1"/>
  <c r="C28" s="1"/>
  <c r="C29" s="1"/>
  <c r="C30" s="1"/>
  <c r="C31" s="1"/>
  <c r="C32" s="1"/>
  <c r="C33" s="1"/>
  <c r="A6"/>
  <c r="A37" s="1"/>
  <c r="A15" i="36"/>
  <c r="B15" s="1"/>
  <c r="A7" i="86"/>
  <c r="A69" s="1"/>
  <c r="A16" i="36"/>
  <c r="B16" s="1"/>
  <c r="A8" i="86"/>
  <c r="A17" i="36"/>
  <c r="B17" s="1"/>
  <c r="B57" s="1"/>
  <c r="A9" i="86"/>
  <c r="A18" i="36"/>
  <c r="A98" s="1"/>
  <c r="A10" i="86"/>
  <c r="A103" s="1"/>
  <c r="A11"/>
  <c r="A135" s="1"/>
  <c r="A12"/>
  <c r="A43" s="1"/>
  <c r="A13"/>
  <c r="A75" s="1"/>
  <c r="A14"/>
  <c r="A45" s="1"/>
  <c r="A15"/>
  <c r="A46" s="1"/>
  <c r="L16"/>
  <c r="A36"/>
  <c r="C37"/>
  <c r="C38" s="1"/>
  <c r="A38"/>
  <c r="D68"/>
  <c r="D69" s="1"/>
  <c r="D70" s="1"/>
  <c r="D71" s="1"/>
  <c r="D72" s="1"/>
  <c r="D73" s="1"/>
  <c r="D74" s="1"/>
  <c r="D75" s="1"/>
  <c r="D76" s="1"/>
  <c r="D77" s="1"/>
  <c r="D78" s="1"/>
  <c r="D79" s="1"/>
  <c r="D80" s="1"/>
  <c r="D81" s="1"/>
  <c r="D82" s="1"/>
  <c r="D83" s="1"/>
  <c r="D84" s="1"/>
  <c r="D85" s="1"/>
  <c r="D86" s="1"/>
  <c r="D87" s="1"/>
  <c r="D88" s="1"/>
  <c r="D89" s="1"/>
  <c r="D90" s="1"/>
  <c r="D91" s="1"/>
  <c r="D92" s="1"/>
  <c r="D93" s="1"/>
  <c r="D94" s="1"/>
  <c r="D95" s="1"/>
  <c r="A71"/>
  <c r="A73"/>
  <c r="A77"/>
  <c r="D99"/>
  <c r="D100" s="1"/>
  <c r="D101" s="1"/>
  <c r="E101" s="1"/>
  <c r="A104"/>
  <c r="D130"/>
  <c r="A137"/>
  <c r="L177"/>
  <c r="L178"/>
  <c r="O181"/>
  <c r="P181"/>
  <c r="Q181" s="1"/>
  <c r="R181" s="1"/>
  <c r="S181" s="1"/>
  <c r="T181" s="1"/>
  <c r="U181" s="1"/>
  <c r="V181" s="1"/>
  <c r="W181" s="1"/>
  <c r="X181" s="1"/>
  <c r="Y181" s="1"/>
  <c r="Z181" s="1"/>
  <c r="AA181" s="1"/>
  <c r="AB181" s="1"/>
  <c r="AC181" s="1"/>
  <c r="AD181" s="1"/>
  <c r="AE181" s="1"/>
  <c r="AF181" s="1"/>
  <c r="AG181" s="1"/>
  <c r="AH181" s="1"/>
  <c r="AI181" s="1"/>
  <c r="AJ181" s="1"/>
  <c r="AK181" s="1"/>
  <c r="AL181" s="1"/>
  <c r="AM181" s="1"/>
  <c r="AN181" s="1"/>
  <c r="A5" i="36"/>
  <c r="B5"/>
  <c r="B45" s="1"/>
  <c r="C6"/>
  <c r="C7"/>
  <c r="C8" s="1"/>
  <c r="C9" s="1"/>
  <c r="C10" s="1"/>
  <c r="C11" s="1"/>
  <c r="C12" s="1"/>
  <c r="C13" s="1"/>
  <c r="C14" s="1"/>
  <c r="C15" s="1"/>
  <c r="C16" s="1"/>
  <c r="C17" s="1"/>
  <c r="C18" s="1"/>
  <c r="C19" s="1"/>
  <c r="C20" s="1"/>
  <c r="C21" s="1"/>
  <c r="C22" s="1"/>
  <c r="C23" s="1"/>
  <c r="C24" s="1"/>
  <c r="C25" s="1"/>
  <c r="C26" s="1"/>
  <c r="C27" s="1"/>
  <c r="C28" s="1"/>
  <c r="C29" s="1"/>
  <c r="C30" s="1"/>
  <c r="C31" s="1"/>
  <c r="C32" s="1"/>
  <c r="C33" s="1"/>
  <c r="C34" s="1"/>
  <c r="C35" s="1"/>
  <c r="C36" s="1"/>
  <c r="C37" s="1"/>
  <c r="C38" s="1"/>
  <c r="C39" s="1"/>
  <c r="C40" s="1"/>
  <c r="C41" s="1"/>
  <c r="C42" s="1"/>
  <c r="A6"/>
  <c r="B6" s="1"/>
  <c r="A7"/>
  <c r="A127" s="1"/>
  <c r="A8"/>
  <c r="B8" s="1"/>
  <c r="A9"/>
  <c r="A129" s="1"/>
  <c r="A10"/>
  <c r="A50" s="1"/>
  <c r="A11"/>
  <c r="B11" s="1"/>
  <c r="A12"/>
  <c r="B12" s="1"/>
  <c r="A13"/>
  <c r="A53" s="1"/>
  <c r="L15"/>
  <c r="A45"/>
  <c r="C46"/>
  <c r="C47"/>
  <c r="A48"/>
  <c r="A49"/>
  <c r="A60"/>
  <c r="A63"/>
  <c r="A64"/>
  <c r="A65"/>
  <c r="A85"/>
  <c r="D86"/>
  <c r="D87" s="1"/>
  <c r="D88" s="1"/>
  <c r="D89" s="1"/>
  <c r="D90" s="1"/>
  <c r="D91" s="1"/>
  <c r="D92" s="1"/>
  <c r="D93" s="1"/>
  <c r="D94" s="1"/>
  <c r="D95" s="1"/>
  <c r="D96" s="1"/>
  <c r="D97" s="1"/>
  <c r="D98" s="1"/>
  <c r="D99" s="1"/>
  <c r="D100" s="1"/>
  <c r="D101" s="1"/>
  <c r="D102" s="1"/>
  <c r="D103" s="1"/>
  <c r="D104" s="1"/>
  <c r="D105" s="1"/>
  <c r="D106" s="1"/>
  <c r="D107" s="1"/>
  <c r="D108" s="1"/>
  <c r="D109" s="1"/>
  <c r="D110" s="1"/>
  <c r="D111" s="1"/>
  <c r="D112" s="1"/>
  <c r="D113" s="1"/>
  <c r="D114" s="1"/>
  <c r="D115" s="1"/>
  <c r="D116" s="1"/>
  <c r="D117" s="1"/>
  <c r="D118" s="1"/>
  <c r="D119" s="1"/>
  <c r="D120" s="1"/>
  <c r="D121" s="1"/>
  <c r="D122" s="1"/>
  <c r="A97"/>
  <c r="A99"/>
  <c r="A102"/>
  <c r="B102"/>
  <c r="C102" s="1"/>
  <c r="B103"/>
  <c r="C103" s="1"/>
  <c r="A105"/>
  <c r="D126"/>
  <c r="E126" s="1"/>
  <c r="A133"/>
  <c r="A137"/>
  <c r="A140"/>
  <c r="A142"/>
  <c r="B142"/>
  <c r="B143"/>
  <c r="A145"/>
  <c r="B182"/>
  <c r="D166"/>
  <c r="D167" s="1"/>
  <c r="D168" s="1"/>
  <c r="D169" s="1"/>
  <c r="D170" s="1"/>
  <c r="D171" s="1"/>
  <c r="D172" s="1"/>
  <c r="D173" s="1"/>
  <c r="D174" s="1"/>
  <c r="D175" s="1"/>
  <c r="D176" s="1"/>
  <c r="D177" s="1"/>
  <c r="D178" s="1"/>
  <c r="D179" s="1"/>
  <c r="D180" s="1"/>
  <c r="D181" s="1"/>
  <c r="D182" s="1"/>
  <c r="D183" s="1"/>
  <c r="D184" s="1"/>
  <c r="D185" s="1"/>
  <c r="D186" s="1"/>
  <c r="D187" s="1"/>
  <c r="D188" s="1"/>
  <c r="D189" s="1"/>
  <c r="D190" s="1"/>
  <c r="D191" s="1"/>
  <c r="D192" s="1"/>
  <c r="D193" s="1"/>
  <c r="D194" s="1"/>
  <c r="D195" s="1"/>
  <c r="D196" s="1"/>
  <c r="D197" s="1"/>
  <c r="D198" s="1"/>
  <c r="D199" s="1"/>
  <c r="D200" s="1"/>
  <c r="D201" s="1"/>
  <c r="D202" s="1"/>
  <c r="A167"/>
  <c r="A171"/>
  <c r="A173"/>
  <c r="A177"/>
  <c r="A179"/>
  <c r="A180"/>
  <c r="A182"/>
  <c r="A183"/>
  <c r="A185"/>
  <c r="L221"/>
  <c r="L222" s="1"/>
  <c r="AC223"/>
  <c r="K225"/>
  <c r="A19" i="60"/>
  <c r="B19" s="1"/>
  <c r="A24"/>
  <c r="B24" s="1"/>
  <c r="C6" i="95"/>
  <c r="C7" s="1"/>
  <c r="C8" s="1"/>
  <c r="C9" s="1"/>
  <c r="C10" s="1"/>
  <c r="C11" s="1"/>
  <c r="C12" s="1"/>
  <c r="C13" s="1"/>
  <c r="C14" s="1"/>
  <c r="C15" s="1"/>
  <c r="C16" s="1"/>
  <c r="C17" s="1"/>
  <c r="C18" s="1"/>
  <c r="C19" s="1"/>
  <c r="C20" s="1"/>
  <c r="C21" s="1"/>
  <c r="C22" s="1"/>
  <c r="C23" s="1"/>
  <c r="C24" s="1"/>
  <c r="C25" s="1"/>
  <c r="C26" s="1"/>
  <c r="C27" s="1"/>
  <c r="C28" s="1"/>
  <c r="A20" i="60"/>
  <c r="A140" s="1"/>
  <c r="A21"/>
  <c r="B21" s="1"/>
  <c r="A22"/>
  <c r="A182" s="1"/>
  <c r="A23"/>
  <c r="B23" s="1"/>
  <c r="C32" i="95"/>
  <c r="C33" s="1"/>
  <c r="C34" s="1"/>
  <c r="C35" s="1"/>
  <c r="C36" s="1"/>
  <c r="C37" s="1"/>
  <c r="C38" s="1"/>
  <c r="C39" s="1"/>
  <c r="C40" s="1"/>
  <c r="C41" s="1"/>
  <c r="C42" s="1"/>
  <c r="C43" s="1"/>
  <c r="C44" s="1"/>
  <c r="C45" s="1"/>
  <c r="C46" s="1"/>
  <c r="C47" s="1"/>
  <c r="C48" s="1"/>
  <c r="C49" s="1"/>
  <c r="C50" s="1"/>
  <c r="C51" s="1"/>
  <c r="C52" s="1"/>
  <c r="C53" s="1"/>
  <c r="C54" s="1"/>
  <c r="A32"/>
  <c r="A33"/>
  <c r="A34"/>
  <c r="A35"/>
  <c r="A36"/>
  <c r="A37"/>
  <c r="D58"/>
  <c r="D59" s="1"/>
  <c r="D60" s="1"/>
  <c r="D61" s="1"/>
  <c r="D62" s="1"/>
  <c r="D63" s="1"/>
  <c r="D64" s="1"/>
  <c r="D65" s="1"/>
  <c r="D66" s="1"/>
  <c r="D67" s="1"/>
  <c r="D68" s="1"/>
  <c r="D69" s="1"/>
  <c r="D70" s="1"/>
  <c r="D71" s="1"/>
  <c r="D72" s="1"/>
  <c r="D73" s="1"/>
  <c r="D74" s="1"/>
  <c r="D75" s="1"/>
  <c r="D76" s="1"/>
  <c r="D77" s="1"/>
  <c r="D78" s="1"/>
  <c r="D79" s="1"/>
  <c r="D80" s="1"/>
  <c r="A58"/>
  <c r="A59"/>
  <c r="A60"/>
  <c r="A61"/>
  <c r="A62"/>
  <c r="A63"/>
  <c r="D84"/>
  <c r="E84" s="1"/>
  <c r="D85"/>
  <c r="E85" s="1"/>
  <c r="A84"/>
  <c r="A85"/>
  <c r="A86"/>
  <c r="A87"/>
  <c r="A88"/>
  <c r="A89"/>
  <c r="D110"/>
  <c r="D111" s="1"/>
  <c r="A110"/>
  <c r="A111"/>
  <c r="A112"/>
  <c r="A113"/>
  <c r="A114"/>
  <c r="A115"/>
  <c r="L152"/>
  <c r="L153" s="1"/>
  <c r="N156"/>
  <c r="O156"/>
  <c r="P156" s="1"/>
  <c r="Q156" s="1"/>
  <c r="R156" s="1"/>
  <c r="S156" s="1"/>
  <c r="T156" s="1"/>
  <c r="U156" s="1"/>
  <c r="V156" s="1"/>
  <c r="W156" s="1"/>
  <c r="X156" s="1"/>
  <c r="Y156" s="1"/>
  <c r="Z156" s="1"/>
  <c r="AA156" s="1"/>
  <c r="AB156" s="1"/>
  <c r="AC156" s="1"/>
  <c r="AD156" s="1"/>
  <c r="AE156" s="1"/>
  <c r="AF156" s="1"/>
  <c r="AG156" s="1"/>
  <c r="AH156" s="1"/>
  <c r="AI156" s="1"/>
  <c r="A14" i="60"/>
  <c r="B14"/>
  <c r="B134" s="1"/>
  <c r="C6" i="85"/>
  <c r="C7" s="1"/>
  <c r="C8" s="1"/>
  <c r="C9" s="1"/>
  <c r="C10" s="1"/>
  <c r="C11" s="1"/>
  <c r="C12" s="1"/>
  <c r="C13" s="1"/>
  <c r="C14" s="1"/>
  <c r="C15" s="1"/>
  <c r="C16" s="1"/>
  <c r="C17" s="1"/>
  <c r="C18" s="1"/>
  <c r="C19" s="1"/>
  <c r="C20" s="1"/>
  <c r="C21" s="1"/>
  <c r="C22" s="1"/>
  <c r="C23" s="1"/>
  <c r="C24" s="1"/>
  <c r="C25" s="1"/>
  <c r="C26" s="1"/>
  <c r="C27" s="1"/>
  <c r="C28" s="1"/>
  <c r="C29" s="1"/>
  <c r="C30" s="1"/>
  <c r="C31" s="1"/>
  <c r="C32" s="1"/>
  <c r="C33" s="1"/>
  <c r="A6"/>
  <c r="A37" s="1"/>
  <c r="A15" i="60"/>
  <c r="B15"/>
  <c r="B6" i="85" s="1"/>
  <c r="A7"/>
  <c r="A69"/>
  <c r="A16" i="60"/>
  <c r="A96" s="1"/>
  <c r="A8" i="85"/>
  <c r="A39" s="1"/>
  <c r="A17" i="60"/>
  <c r="A57" s="1"/>
  <c r="A9" i="85"/>
  <c r="A102" s="1"/>
  <c r="A18" i="60"/>
  <c r="A138" s="1"/>
  <c r="A10" i="85"/>
  <c r="A72" s="1"/>
  <c r="A11"/>
  <c r="A73" s="1"/>
  <c r="A12"/>
  <c r="A74" s="1"/>
  <c r="A105"/>
  <c r="A13"/>
  <c r="A75" s="1"/>
  <c r="A14"/>
  <c r="A45" s="1"/>
  <c r="A15"/>
  <c r="A139"/>
  <c r="L16"/>
  <c r="A36"/>
  <c r="C37"/>
  <c r="A38"/>
  <c r="A43"/>
  <c r="D68"/>
  <c r="D69" s="1"/>
  <c r="D70" s="1"/>
  <c r="D71" s="1"/>
  <c r="D72" s="1"/>
  <c r="D73" s="1"/>
  <c r="D74" s="1"/>
  <c r="D75" s="1"/>
  <c r="D76" s="1"/>
  <c r="D77" s="1"/>
  <c r="D78" s="1"/>
  <c r="D79" s="1"/>
  <c r="D80" s="1"/>
  <c r="D81" s="1"/>
  <c r="D82" s="1"/>
  <c r="D83" s="1"/>
  <c r="D84" s="1"/>
  <c r="D85" s="1"/>
  <c r="D86" s="1"/>
  <c r="D87" s="1"/>
  <c r="D88" s="1"/>
  <c r="D89" s="1"/>
  <c r="D90" s="1"/>
  <c r="D91" s="1"/>
  <c r="D92" s="1"/>
  <c r="D93" s="1"/>
  <c r="D94" s="1"/>
  <c r="D95" s="1"/>
  <c r="A70"/>
  <c r="A76"/>
  <c r="D99"/>
  <c r="D100" s="1"/>
  <c r="E99"/>
  <c r="A108"/>
  <c r="D130"/>
  <c r="A138"/>
  <c r="O181"/>
  <c r="P181"/>
  <c r="Q181" s="1"/>
  <c r="R181" s="1"/>
  <c r="S181" s="1"/>
  <c r="T181" s="1"/>
  <c r="U181" s="1"/>
  <c r="V181" s="1"/>
  <c r="W181" s="1"/>
  <c r="X181" s="1"/>
  <c r="Y181" s="1"/>
  <c r="Z181" s="1"/>
  <c r="AA181" s="1"/>
  <c r="AB181" s="1"/>
  <c r="AC181" s="1"/>
  <c r="AD181" s="1"/>
  <c r="AE181" s="1"/>
  <c r="AF181" s="1"/>
  <c r="AG181" s="1"/>
  <c r="AH181" s="1"/>
  <c r="AI181" s="1"/>
  <c r="AJ181" s="1"/>
  <c r="AK181" s="1"/>
  <c r="AL181" s="1"/>
  <c r="AM181" s="1"/>
  <c r="AN181" s="1"/>
  <c r="A5" i="60"/>
  <c r="A45" s="1"/>
  <c r="C6"/>
  <c r="C7" s="1"/>
  <c r="C8" s="1"/>
  <c r="C9" s="1"/>
  <c r="C10" s="1"/>
  <c r="C11" s="1"/>
  <c r="C12" s="1"/>
  <c r="C13" s="1"/>
  <c r="C14" s="1"/>
  <c r="C15" s="1"/>
  <c r="C16" s="1"/>
  <c r="C17" s="1"/>
  <c r="C18" s="1"/>
  <c r="C19" s="1"/>
  <c r="C20" s="1"/>
  <c r="C21" s="1"/>
  <c r="C22" s="1"/>
  <c r="C23" s="1"/>
  <c r="C24" s="1"/>
  <c r="C25" s="1"/>
  <c r="C26" s="1"/>
  <c r="C27" s="1"/>
  <c r="C28" s="1"/>
  <c r="C29" s="1"/>
  <c r="C30" s="1"/>
  <c r="C31" s="1"/>
  <c r="C32" s="1"/>
  <c r="C33" s="1"/>
  <c r="C34" s="1"/>
  <c r="C35" s="1"/>
  <c r="C36" s="1"/>
  <c r="C37" s="1"/>
  <c r="C38" s="1"/>
  <c r="C39" s="1"/>
  <c r="C40" s="1"/>
  <c r="C41" s="1"/>
  <c r="C42" s="1"/>
  <c r="A6"/>
  <c r="A86" s="1"/>
  <c r="B6"/>
  <c r="B86" s="1"/>
  <c r="C86" s="1"/>
  <c r="A7"/>
  <c r="A47" s="1"/>
  <c r="A127"/>
  <c r="A8"/>
  <c r="B8" s="1"/>
  <c r="A9"/>
  <c r="A10"/>
  <c r="B10" s="1"/>
  <c r="A11"/>
  <c r="A51" s="1"/>
  <c r="A12"/>
  <c r="B12" s="1"/>
  <c r="A13"/>
  <c r="L15"/>
  <c r="C46"/>
  <c r="A46"/>
  <c r="A54"/>
  <c r="A55"/>
  <c r="A61"/>
  <c r="A63"/>
  <c r="A64"/>
  <c r="A65"/>
  <c r="D86"/>
  <c r="D87" s="1"/>
  <c r="D88" s="1"/>
  <c r="D89" s="1"/>
  <c r="D90" s="1"/>
  <c r="D91" s="1"/>
  <c r="D92" s="1"/>
  <c r="D93" s="1"/>
  <c r="D94" s="1"/>
  <c r="D95" s="1"/>
  <c r="D96" s="1"/>
  <c r="D97" s="1"/>
  <c r="D98" s="1"/>
  <c r="D99" s="1"/>
  <c r="D100" s="1"/>
  <c r="D101" s="1"/>
  <c r="D102" s="1"/>
  <c r="D103" s="1"/>
  <c r="D104" s="1"/>
  <c r="D105" s="1"/>
  <c r="D106" s="1"/>
  <c r="D107" s="1"/>
  <c r="D108" s="1"/>
  <c r="D109" s="1"/>
  <c r="D110" s="1"/>
  <c r="D111" s="1"/>
  <c r="D112" s="1"/>
  <c r="D113" s="1"/>
  <c r="D114" s="1"/>
  <c r="D115" s="1"/>
  <c r="D116" s="1"/>
  <c r="D117" s="1"/>
  <c r="D118" s="1"/>
  <c r="D119" s="1"/>
  <c r="D120" s="1"/>
  <c r="D121" s="1"/>
  <c r="D122" s="1"/>
  <c r="A94"/>
  <c r="A95"/>
  <c r="A99"/>
  <c r="A103"/>
  <c r="A104"/>
  <c r="A105"/>
  <c r="A125"/>
  <c r="D126"/>
  <c r="E126" s="1"/>
  <c r="A130"/>
  <c r="A134"/>
  <c r="A135"/>
  <c r="A139"/>
  <c r="A141"/>
  <c r="A143"/>
  <c r="A145"/>
  <c r="D166"/>
  <c r="D167"/>
  <c r="A168"/>
  <c r="A170"/>
  <c r="A174"/>
  <c r="A175"/>
  <c r="A176"/>
  <c r="A180"/>
  <c r="A181"/>
  <c r="A183"/>
  <c r="A184"/>
  <c r="A185"/>
  <c r="L221"/>
  <c r="L222" s="1"/>
  <c r="K225"/>
  <c r="A19" i="39"/>
  <c r="B19"/>
  <c r="B59" s="1"/>
  <c r="A24"/>
  <c r="B24" s="1"/>
  <c r="C6" i="94"/>
  <c r="C7" s="1"/>
  <c r="C8" s="1"/>
  <c r="C9" s="1"/>
  <c r="C10" s="1"/>
  <c r="C11" s="1"/>
  <c r="C12" s="1"/>
  <c r="C13" s="1"/>
  <c r="C14" s="1"/>
  <c r="C15" s="1"/>
  <c r="C16" s="1"/>
  <c r="C17" s="1"/>
  <c r="C18" s="1"/>
  <c r="C19" s="1"/>
  <c r="C20" s="1"/>
  <c r="C21" s="1"/>
  <c r="C22" s="1"/>
  <c r="C23" s="1"/>
  <c r="C24" s="1"/>
  <c r="C25" s="1"/>
  <c r="C26" s="1"/>
  <c r="C27" s="1"/>
  <c r="C28" s="1"/>
  <c r="A20" i="39"/>
  <c r="A60" s="1"/>
  <c r="A21"/>
  <c r="A61" s="1"/>
  <c r="A22"/>
  <c r="B22" s="1"/>
  <c r="A23"/>
  <c r="A183" s="1"/>
  <c r="C32" i="94"/>
  <c r="C33" s="1"/>
  <c r="C34" s="1"/>
  <c r="C35" s="1"/>
  <c r="A32"/>
  <c r="A33"/>
  <c r="A34"/>
  <c r="A35"/>
  <c r="A36"/>
  <c r="A37"/>
  <c r="D58"/>
  <c r="D59" s="1"/>
  <c r="D60" s="1"/>
  <c r="D61" s="1"/>
  <c r="D62" s="1"/>
  <c r="D63" s="1"/>
  <c r="D64" s="1"/>
  <c r="D65" s="1"/>
  <c r="D66" s="1"/>
  <c r="D67" s="1"/>
  <c r="D68" s="1"/>
  <c r="D69" s="1"/>
  <c r="D70" s="1"/>
  <c r="D71" s="1"/>
  <c r="D72" s="1"/>
  <c r="D73" s="1"/>
  <c r="D74" s="1"/>
  <c r="D75" s="1"/>
  <c r="D76" s="1"/>
  <c r="D77" s="1"/>
  <c r="D78" s="1"/>
  <c r="D79" s="1"/>
  <c r="D80" s="1"/>
  <c r="A58"/>
  <c r="A59"/>
  <c r="A60"/>
  <c r="A61"/>
  <c r="A62"/>
  <c r="A63"/>
  <c r="D84"/>
  <c r="E84" s="1"/>
  <c r="A84"/>
  <c r="A85"/>
  <c r="A86"/>
  <c r="A87"/>
  <c r="A88"/>
  <c r="A89"/>
  <c r="D110"/>
  <c r="D111" s="1"/>
  <c r="D112" s="1"/>
  <c r="D113" s="1"/>
  <c r="D114" s="1"/>
  <c r="D115" s="1"/>
  <c r="D116" s="1"/>
  <c r="D117" s="1"/>
  <c r="D118" s="1"/>
  <c r="D119" s="1"/>
  <c r="D120" s="1"/>
  <c r="D121" s="1"/>
  <c r="D122" s="1"/>
  <c r="D123" s="1"/>
  <c r="D124" s="1"/>
  <c r="D125" s="1"/>
  <c r="D126" s="1"/>
  <c r="D127" s="1"/>
  <c r="D128" s="1"/>
  <c r="D129" s="1"/>
  <c r="D130" s="1"/>
  <c r="D131" s="1"/>
  <c r="D132" s="1"/>
  <c r="A110"/>
  <c r="A111"/>
  <c r="A112"/>
  <c r="A113"/>
  <c r="A114"/>
  <c r="A115"/>
  <c r="L152"/>
  <c r="L153" s="1"/>
  <c r="N156"/>
  <c r="O156" s="1"/>
  <c r="P156" s="1"/>
  <c r="Q156" s="1"/>
  <c r="R156" s="1"/>
  <c r="S156" s="1"/>
  <c r="T156" s="1"/>
  <c r="U156" s="1"/>
  <c r="V156" s="1"/>
  <c r="W156" s="1"/>
  <c r="X156" s="1"/>
  <c r="Y156" s="1"/>
  <c r="Z156" s="1"/>
  <c r="AA156" s="1"/>
  <c r="AB156" s="1"/>
  <c r="AC156" s="1"/>
  <c r="AD156" s="1"/>
  <c r="AE156" s="1"/>
  <c r="AF156" s="1"/>
  <c r="AG156" s="1"/>
  <c r="AH156" s="1"/>
  <c r="AI156" s="1"/>
  <c r="A14" i="39"/>
  <c r="B14" s="1"/>
  <c r="C6" i="84"/>
  <c r="C7" s="1"/>
  <c r="C8" s="1"/>
  <c r="C9" s="1"/>
  <c r="C10" s="1"/>
  <c r="C11" s="1"/>
  <c r="C12" s="1"/>
  <c r="C13" s="1"/>
  <c r="C14" s="1"/>
  <c r="C15" s="1"/>
  <c r="C16" s="1"/>
  <c r="C17" s="1"/>
  <c r="C18" s="1"/>
  <c r="C19" s="1"/>
  <c r="C20" s="1"/>
  <c r="C21" s="1"/>
  <c r="C22" s="1"/>
  <c r="C23" s="1"/>
  <c r="C24" s="1"/>
  <c r="C25" s="1"/>
  <c r="C26" s="1"/>
  <c r="C27" s="1"/>
  <c r="C28" s="1"/>
  <c r="C29" s="1"/>
  <c r="C30" s="1"/>
  <c r="C31" s="1"/>
  <c r="C32" s="1"/>
  <c r="C33" s="1"/>
  <c r="A6"/>
  <c r="A99" s="1"/>
  <c r="A15" i="39"/>
  <c r="B15"/>
  <c r="B6" i="84" s="1"/>
  <c r="A7"/>
  <c r="A38" s="1"/>
  <c r="A16" i="39"/>
  <c r="A136" s="1"/>
  <c r="A8" i="84"/>
  <c r="A39" s="1"/>
  <c r="A17" i="39"/>
  <c r="B17" s="1"/>
  <c r="B8" i="84" s="1"/>
  <c r="A9"/>
  <c r="A133" s="1"/>
  <c r="A18" i="39"/>
  <c r="A138" s="1"/>
  <c r="A10" i="84"/>
  <c r="A103" s="1"/>
  <c r="A11"/>
  <c r="A73" s="1"/>
  <c r="A12"/>
  <c r="A43" s="1"/>
  <c r="A13"/>
  <c r="A75" s="1"/>
  <c r="A14"/>
  <c r="A45" s="1"/>
  <c r="A15"/>
  <c r="A46" s="1"/>
  <c r="L16"/>
  <c r="A36"/>
  <c r="C37"/>
  <c r="C38" s="1"/>
  <c r="C39" s="1"/>
  <c r="A41"/>
  <c r="D68"/>
  <c r="D69"/>
  <c r="D70" s="1"/>
  <c r="D71" s="1"/>
  <c r="D72" s="1"/>
  <c r="D73" s="1"/>
  <c r="D74" s="1"/>
  <c r="D75" s="1"/>
  <c r="D76" s="1"/>
  <c r="D77" s="1"/>
  <c r="D78" s="1"/>
  <c r="D79" s="1"/>
  <c r="D80" s="1"/>
  <c r="D81" s="1"/>
  <c r="D82" s="1"/>
  <c r="D83" s="1"/>
  <c r="D84" s="1"/>
  <c r="D85" s="1"/>
  <c r="D86" s="1"/>
  <c r="D87" s="1"/>
  <c r="D88" s="1"/>
  <c r="D89" s="1"/>
  <c r="D90" s="1"/>
  <c r="D91" s="1"/>
  <c r="D92" s="1"/>
  <c r="D93" s="1"/>
  <c r="D94" s="1"/>
  <c r="D95" s="1"/>
  <c r="A74"/>
  <c r="A76"/>
  <c r="D99"/>
  <c r="E99" s="1"/>
  <c r="D100"/>
  <c r="D101" s="1"/>
  <c r="A100"/>
  <c r="A105"/>
  <c r="A107"/>
  <c r="D130"/>
  <c r="D131" s="1"/>
  <c r="D132" s="1"/>
  <c r="D133" s="1"/>
  <c r="D134" s="1"/>
  <c r="D135" s="1"/>
  <c r="D136" s="1"/>
  <c r="D137" s="1"/>
  <c r="D138" s="1"/>
  <c r="D139" s="1"/>
  <c r="D140" s="1"/>
  <c r="D141" s="1"/>
  <c r="D142" s="1"/>
  <c r="D143" s="1"/>
  <c r="D144" s="1"/>
  <c r="D145" s="1"/>
  <c r="D146" s="1"/>
  <c r="D147" s="1"/>
  <c r="D148" s="1"/>
  <c r="D149" s="1"/>
  <c r="D150" s="1"/>
  <c r="D151" s="1"/>
  <c r="D152" s="1"/>
  <c r="D153" s="1"/>
  <c r="D154" s="1"/>
  <c r="D155" s="1"/>
  <c r="D156" s="1"/>
  <c r="D157" s="1"/>
  <c r="A134"/>
  <c r="A136"/>
  <c r="A138"/>
  <c r="L177"/>
  <c r="L178" s="1"/>
  <c r="M181"/>
  <c r="N181" s="1"/>
  <c r="O181" s="1"/>
  <c r="P181" s="1"/>
  <c r="Q181" s="1"/>
  <c r="R181" s="1"/>
  <c r="S181" s="1"/>
  <c r="T181" s="1"/>
  <c r="U181" s="1"/>
  <c r="V181" s="1"/>
  <c r="W181" s="1"/>
  <c r="X181" s="1"/>
  <c r="Y181" s="1"/>
  <c r="Z181" s="1"/>
  <c r="AA181" s="1"/>
  <c r="AB181" s="1"/>
  <c r="AC181" s="1"/>
  <c r="AD181" s="1"/>
  <c r="AE181" s="1"/>
  <c r="AF181" s="1"/>
  <c r="AG181" s="1"/>
  <c r="AH181" s="1"/>
  <c r="AI181" s="1"/>
  <c r="AJ181" s="1"/>
  <c r="AK181" s="1"/>
  <c r="AL181" s="1"/>
  <c r="AM181" s="1"/>
  <c r="AN181" s="1"/>
  <c r="AO181" s="1"/>
  <c r="A5" i="39"/>
  <c r="B5" s="1"/>
  <c r="C6"/>
  <c r="C7" s="1"/>
  <c r="C8" s="1"/>
  <c r="C9" s="1"/>
  <c r="C10" s="1"/>
  <c r="C11" s="1"/>
  <c r="C12" s="1"/>
  <c r="C13" s="1"/>
  <c r="C14" s="1"/>
  <c r="C15" s="1"/>
  <c r="C16" s="1"/>
  <c r="C17" s="1"/>
  <c r="C18" s="1"/>
  <c r="C19" s="1"/>
  <c r="C20" s="1"/>
  <c r="C21" s="1"/>
  <c r="C22" s="1"/>
  <c r="C23" s="1"/>
  <c r="C24" s="1"/>
  <c r="A6"/>
  <c r="A126" s="1"/>
  <c r="A7"/>
  <c r="A47" s="1"/>
  <c r="A8"/>
  <c r="B8" s="1"/>
  <c r="A9"/>
  <c r="A49" s="1"/>
  <c r="A10"/>
  <c r="B10" s="1"/>
  <c r="A11"/>
  <c r="A171" s="1"/>
  <c r="A12"/>
  <c r="A92" s="1"/>
  <c r="A13"/>
  <c r="A53" s="1"/>
  <c r="L15"/>
  <c r="C46"/>
  <c r="A48"/>
  <c r="A54"/>
  <c r="A55"/>
  <c r="A56"/>
  <c r="A57"/>
  <c r="A59"/>
  <c r="A62"/>
  <c r="A64"/>
  <c r="A65"/>
  <c r="A85"/>
  <c r="D86"/>
  <c r="D87" s="1"/>
  <c r="D88" s="1"/>
  <c r="D89" s="1"/>
  <c r="D90" s="1"/>
  <c r="D91" s="1"/>
  <c r="D92" s="1"/>
  <c r="D93" s="1"/>
  <c r="D94" s="1"/>
  <c r="D95" s="1"/>
  <c r="D96" s="1"/>
  <c r="D97" s="1"/>
  <c r="D98" s="1"/>
  <c r="D99" s="1"/>
  <c r="D100" s="1"/>
  <c r="D101" s="1"/>
  <c r="D102" s="1"/>
  <c r="D103" s="1"/>
  <c r="D104" s="1"/>
  <c r="A94"/>
  <c r="A95"/>
  <c r="B95"/>
  <c r="C95" s="1"/>
  <c r="A96"/>
  <c r="A97"/>
  <c r="A99"/>
  <c r="A102"/>
  <c r="A104"/>
  <c r="A105"/>
  <c r="D126"/>
  <c r="E126" s="1"/>
  <c r="D127"/>
  <c r="E127" s="1"/>
  <c r="A130"/>
  <c r="A134"/>
  <c r="A135"/>
  <c r="B135"/>
  <c r="A137"/>
  <c r="A139"/>
  <c r="A144"/>
  <c r="A145"/>
  <c r="B179"/>
  <c r="Z223" s="1"/>
  <c r="D166"/>
  <c r="D167" s="1"/>
  <c r="A166"/>
  <c r="A170"/>
  <c r="A174"/>
  <c r="A175"/>
  <c r="A177"/>
  <c r="A179"/>
  <c r="A182"/>
  <c r="A184"/>
  <c r="A185"/>
  <c r="L221"/>
  <c r="L222" s="1"/>
  <c r="K225"/>
  <c r="A19" i="42"/>
  <c r="B19"/>
  <c r="B59" s="1"/>
  <c r="A24"/>
  <c r="B24"/>
  <c r="C6" i="93"/>
  <c r="C7"/>
  <c r="C8" s="1"/>
  <c r="C9" s="1"/>
  <c r="C10" s="1"/>
  <c r="C11" s="1"/>
  <c r="C12" s="1"/>
  <c r="C13" s="1"/>
  <c r="C14" s="1"/>
  <c r="C15" s="1"/>
  <c r="C16" s="1"/>
  <c r="C17" s="1"/>
  <c r="C18" s="1"/>
  <c r="C19" s="1"/>
  <c r="C20" s="1"/>
  <c r="C21" s="1"/>
  <c r="C22" s="1"/>
  <c r="C23" s="1"/>
  <c r="C24" s="1"/>
  <c r="C25" s="1"/>
  <c r="C26" s="1"/>
  <c r="C27" s="1"/>
  <c r="C28" s="1"/>
  <c r="A20" i="42"/>
  <c r="B20" s="1"/>
  <c r="A21"/>
  <c r="B21" s="1"/>
  <c r="A22"/>
  <c r="B22"/>
  <c r="B102" s="1"/>
  <c r="C102" s="1"/>
  <c r="A23"/>
  <c r="B23"/>
  <c r="C32" i="93"/>
  <c r="C33"/>
  <c r="C34" s="1"/>
  <c r="C35" s="1"/>
  <c r="C36" s="1"/>
  <c r="C37" s="1"/>
  <c r="C38" s="1"/>
  <c r="C39" s="1"/>
  <c r="C40" s="1"/>
  <c r="C41" s="1"/>
  <c r="C42" s="1"/>
  <c r="C43" s="1"/>
  <c r="C44" s="1"/>
  <c r="C45" s="1"/>
  <c r="C46" s="1"/>
  <c r="C47" s="1"/>
  <c r="C48" s="1"/>
  <c r="C49" s="1"/>
  <c r="C50" s="1"/>
  <c r="C51" s="1"/>
  <c r="C52" s="1"/>
  <c r="C53" s="1"/>
  <c r="C54" s="1"/>
  <c r="A32"/>
  <c r="A33"/>
  <c r="A34"/>
  <c r="A35"/>
  <c r="A36"/>
  <c r="A37"/>
  <c r="D58"/>
  <c r="D59" s="1"/>
  <c r="D60" s="1"/>
  <c r="D61" s="1"/>
  <c r="D62" s="1"/>
  <c r="D63" s="1"/>
  <c r="D64" s="1"/>
  <c r="D65" s="1"/>
  <c r="D66" s="1"/>
  <c r="D67" s="1"/>
  <c r="D68" s="1"/>
  <c r="D69" s="1"/>
  <c r="D70" s="1"/>
  <c r="D71" s="1"/>
  <c r="D72" s="1"/>
  <c r="D73" s="1"/>
  <c r="D74" s="1"/>
  <c r="D75" s="1"/>
  <c r="D76" s="1"/>
  <c r="D77" s="1"/>
  <c r="D78" s="1"/>
  <c r="D79" s="1"/>
  <c r="D80" s="1"/>
  <c r="A58"/>
  <c r="A59"/>
  <c r="A60"/>
  <c r="A61"/>
  <c r="A62"/>
  <c r="A63"/>
  <c r="D84"/>
  <c r="D85" s="1"/>
  <c r="E85" s="1"/>
  <c r="A84"/>
  <c r="A85"/>
  <c r="A86"/>
  <c r="A87"/>
  <c r="A88"/>
  <c r="A89"/>
  <c r="D110"/>
  <c r="A110"/>
  <c r="A111"/>
  <c r="A112"/>
  <c r="A113"/>
  <c r="A114"/>
  <c r="A115"/>
  <c r="L152"/>
  <c r="L153" s="1"/>
  <c r="N156"/>
  <c r="O156" s="1"/>
  <c r="P156" s="1"/>
  <c r="Q156" s="1"/>
  <c r="R156" s="1"/>
  <c r="S156" s="1"/>
  <c r="T156" s="1"/>
  <c r="U156" s="1"/>
  <c r="V156" s="1"/>
  <c r="W156" s="1"/>
  <c r="X156" s="1"/>
  <c r="Y156" s="1"/>
  <c r="Z156" s="1"/>
  <c r="AA156" s="1"/>
  <c r="AB156" s="1"/>
  <c r="AC156" s="1"/>
  <c r="AD156" s="1"/>
  <c r="AE156" s="1"/>
  <c r="AF156" s="1"/>
  <c r="AG156" s="1"/>
  <c r="AH156" s="1"/>
  <c r="AI156" s="1"/>
  <c r="A14" i="42"/>
  <c r="B14"/>
  <c r="B174" s="1"/>
  <c r="C6" i="83"/>
  <c r="C7" s="1"/>
  <c r="C8" s="1"/>
  <c r="C9" s="1"/>
  <c r="C10" s="1"/>
  <c r="C11" s="1"/>
  <c r="C12" s="1"/>
  <c r="C13" s="1"/>
  <c r="C14" s="1"/>
  <c r="C15" s="1"/>
  <c r="C16" s="1"/>
  <c r="C17" s="1"/>
  <c r="C18" s="1"/>
  <c r="C19" s="1"/>
  <c r="C20" s="1"/>
  <c r="C21" s="1"/>
  <c r="C22" s="1"/>
  <c r="C23" s="1"/>
  <c r="C24" s="1"/>
  <c r="C25" s="1"/>
  <c r="C26" s="1"/>
  <c r="C27" s="1"/>
  <c r="C28" s="1"/>
  <c r="C29" s="1"/>
  <c r="C30" s="1"/>
  <c r="C31" s="1"/>
  <c r="C32" s="1"/>
  <c r="C33" s="1"/>
  <c r="A6"/>
  <c r="A68" s="1"/>
  <c r="A15" i="42"/>
  <c r="B15"/>
  <c r="B6" i="83" s="1"/>
  <c r="A7"/>
  <c r="A131" s="1"/>
  <c r="A16" i="42"/>
  <c r="A176" s="1"/>
  <c r="A8" i="83"/>
  <c r="A101"/>
  <c r="A17" i="42"/>
  <c r="A57" s="1"/>
  <c r="A9" i="83"/>
  <c r="A40" s="1"/>
  <c r="A18" i="42"/>
  <c r="B18" s="1"/>
  <c r="A10" i="83"/>
  <c r="A41" s="1"/>
  <c r="A11"/>
  <c r="A42" s="1"/>
  <c r="A12"/>
  <c r="A74" s="1"/>
  <c r="A13"/>
  <c r="A44" s="1"/>
  <c r="A14"/>
  <c r="A107" s="1"/>
  <c r="A15"/>
  <c r="A46" s="1"/>
  <c r="L16"/>
  <c r="A36"/>
  <c r="C37"/>
  <c r="C38" s="1"/>
  <c r="C39" s="1"/>
  <c r="C40" s="1"/>
  <c r="C41" s="1"/>
  <c r="C42" s="1"/>
  <c r="C43" s="1"/>
  <c r="C44" s="1"/>
  <c r="C45" s="1"/>
  <c r="C46" s="1"/>
  <c r="C47" s="1"/>
  <c r="C48" s="1"/>
  <c r="C49" s="1"/>
  <c r="C50" s="1"/>
  <c r="C51" s="1"/>
  <c r="C52" s="1"/>
  <c r="C53" s="1"/>
  <c r="C54" s="1"/>
  <c r="C55" s="1"/>
  <c r="C56" s="1"/>
  <c r="C57" s="1"/>
  <c r="C58" s="1"/>
  <c r="C59" s="1"/>
  <c r="C60" s="1"/>
  <c r="C61" s="1"/>
  <c r="C62" s="1"/>
  <c r="C63" s="1"/>
  <c r="C64" s="1"/>
  <c r="D68"/>
  <c r="D69" s="1"/>
  <c r="D70" s="1"/>
  <c r="D71" s="1"/>
  <c r="D72" s="1"/>
  <c r="D73" s="1"/>
  <c r="D74" s="1"/>
  <c r="D75" s="1"/>
  <c r="D76" s="1"/>
  <c r="D77" s="1"/>
  <c r="D78" s="1"/>
  <c r="D79" s="1"/>
  <c r="D80" s="1"/>
  <c r="D81" s="1"/>
  <c r="D82" s="1"/>
  <c r="D83" s="1"/>
  <c r="D84" s="1"/>
  <c r="D85" s="1"/>
  <c r="D86" s="1"/>
  <c r="D87" s="1"/>
  <c r="D88" s="1"/>
  <c r="D89" s="1"/>
  <c r="D90" s="1"/>
  <c r="D91" s="1"/>
  <c r="D92" s="1"/>
  <c r="D93" s="1"/>
  <c r="D94" s="1"/>
  <c r="D95" s="1"/>
  <c r="A76"/>
  <c r="D99"/>
  <c r="D100"/>
  <c r="A102"/>
  <c r="D130"/>
  <c r="D131" s="1"/>
  <c r="D132" s="1"/>
  <c r="A130"/>
  <c r="L177"/>
  <c r="L178" s="1"/>
  <c r="M181"/>
  <c r="N181" s="1"/>
  <c r="O181" s="1"/>
  <c r="P181" s="1"/>
  <c r="Q181" s="1"/>
  <c r="R181" s="1"/>
  <c r="S181" s="1"/>
  <c r="T181" s="1"/>
  <c r="U181" s="1"/>
  <c r="V181" s="1"/>
  <c r="W181" s="1"/>
  <c r="X181" s="1"/>
  <c r="Y181" s="1"/>
  <c r="Z181" s="1"/>
  <c r="AA181" s="1"/>
  <c r="AB181" s="1"/>
  <c r="AC181" s="1"/>
  <c r="AD181" s="1"/>
  <c r="AE181" s="1"/>
  <c r="AF181" s="1"/>
  <c r="AG181" s="1"/>
  <c r="AH181" s="1"/>
  <c r="AI181" s="1"/>
  <c r="AJ181" s="1"/>
  <c r="AK181" s="1"/>
  <c r="AL181" s="1"/>
  <c r="AM181" s="1"/>
  <c r="AN181" s="1"/>
  <c r="AO181" s="1"/>
  <c r="A5" i="42"/>
  <c r="B5" s="1"/>
  <c r="C6"/>
  <c r="C7" s="1"/>
  <c r="C8" s="1"/>
  <c r="C9" s="1"/>
  <c r="C10" s="1"/>
  <c r="C11" s="1"/>
  <c r="C12" s="1"/>
  <c r="C13" s="1"/>
  <c r="C14" s="1"/>
  <c r="C15" s="1"/>
  <c r="C16" s="1"/>
  <c r="C17" s="1"/>
  <c r="C18" s="1"/>
  <c r="C19" s="1"/>
  <c r="C20" s="1"/>
  <c r="C21" s="1"/>
  <c r="C22" s="1"/>
  <c r="C23" s="1"/>
  <c r="C24" s="1"/>
  <c r="A6"/>
  <c r="B6" s="1"/>
  <c r="B46" s="1"/>
  <c r="A7"/>
  <c r="A47" s="1"/>
  <c r="A8"/>
  <c r="B8" s="1"/>
  <c r="A9"/>
  <c r="A49" s="1"/>
  <c r="A10"/>
  <c r="B10"/>
  <c r="A11"/>
  <c r="A171"/>
  <c r="A12"/>
  <c r="B12"/>
  <c r="B52" s="1"/>
  <c r="A13"/>
  <c r="A53"/>
  <c r="L15"/>
  <c r="C46"/>
  <c r="A48"/>
  <c r="A50"/>
  <c r="A51"/>
  <c r="A52"/>
  <c r="A54"/>
  <c r="A55"/>
  <c r="A59"/>
  <c r="A60"/>
  <c r="A61"/>
  <c r="A62"/>
  <c r="A63"/>
  <c r="A64"/>
  <c r="A65"/>
  <c r="D86"/>
  <c r="D87"/>
  <c r="D88" s="1"/>
  <c r="D89" s="1"/>
  <c r="D90" s="1"/>
  <c r="D91" s="1"/>
  <c r="D92" s="1"/>
  <c r="D93" s="1"/>
  <c r="D94" s="1"/>
  <c r="D95" s="1"/>
  <c r="D96" s="1"/>
  <c r="D97" s="1"/>
  <c r="D98" s="1"/>
  <c r="D99" s="1"/>
  <c r="D100" s="1"/>
  <c r="D101" s="1"/>
  <c r="D102" s="1"/>
  <c r="D103" s="1"/>
  <c r="D104" s="1"/>
  <c r="D105" s="1"/>
  <c r="D106" s="1"/>
  <c r="D107" s="1"/>
  <c r="D108" s="1"/>
  <c r="D109" s="1"/>
  <c r="D110" s="1"/>
  <c r="D111" s="1"/>
  <c r="D112" s="1"/>
  <c r="D113" s="1"/>
  <c r="D114" s="1"/>
  <c r="D115" s="1"/>
  <c r="D116" s="1"/>
  <c r="D117" s="1"/>
  <c r="D118" s="1"/>
  <c r="D119" s="1"/>
  <c r="D120" s="1"/>
  <c r="D121" s="1"/>
  <c r="D122" s="1"/>
  <c r="A88"/>
  <c r="A90"/>
  <c r="A92"/>
  <c r="A94"/>
  <c r="A95"/>
  <c r="A99"/>
  <c r="A100"/>
  <c r="A101"/>
  <c r="A102"/>
  <c r="A103"/>
  <c r="A104"/>
  <c r="A105"/>
  <c r="D126"/>
  <c r="E126" s="1"/>
  <c r="D127"/>
  <c r="D128" s="1"/>
  <c r="A128"/>
  <c r="A130"/>
  <c r="A132"/>
  <c r="A134"/>
  <c r="A135"/>
  <c r="B135"/>
  <c r="A139"/>
  <c r="A140"/>
  <c r="A141"/>
  <c r="A142"/>
  <c r="A143"/>
  <c r="A144"/>
  <c r="A145"/>
  <c r="B179"/>
  <c r="D166"/>
  <c r="D167" s="1"/>
  <c r="A166"/>
  <c r="A170"/>
  <c r="A172"/>
  <c r="A174"/>
  <c r="A175"/>
  <c r="A178"/>
  <c r="A179"/>
  <c r="A180"/>
  <c r="A181"/>
  <c r="A182"/>
  <c r="A183"/>
  <c r="A184"/>
  <c r="A185"/>
  <c r="L221"/>
  <c r="L222" s="1"/>
  <c r="Z223"/>
  <c r="K225"/>
  <c r="A19" i="57"/>
  <c r="B19"/>
  <c r="B10" i="82" s="1"/>
  <c r="B41" s="1"/>
  <c r="A24" i="57"/>
  <c r="B24" s="1"/>
  <c r="B15" i="82" s="1"/>
  <c r="B77" s="1"/>
  <c r="C6" i="92"/>
  <c r="C7" s="1"/>
  <c r="C8" s="1"/>
  <c r="C9" s="1"/>
  <c r="C10" s="1"/>
  <c r="C11" s="1"/>
  <c r="C12" s="1"/>
  <c r="C13" s="1"/>
  <c r="C14" s="1"/>
  <c r="C15" s="1"/>
  <c r="C16" s="1"/>
  <c r="C17" s="1"/>
  <c r="C18" s="1"/>
  <c r="C19" s="1"/>
  <c r="C20" s="1"/>
  <c r="C21" s="1"/>
  <c r="C22" s="1"/>
  <c r="C23" s="1"/>
  <c r="C24" s="1"/>
  <c r="C25" s="1"/>
  <c r="C26" s="1"/>
  <c r="C27" s="1"/>
  <c r="C28" s="1"/>
  <c r="A20" i="57"/>
  <c r="B20" s="1"/>
  <c r="A21"/>
  <c r="B21"/>
  <c r="A22"/>
  <c r="B22" s="1"/>
  <c r="A23"/>
  <c r="B23" s="1"/>
  <c r="C32" i="92"/>
  <c r="C33"/>
  <c r="C34" s="1"/>
  <c r="C35" s="1"/>
  <c r="C36" s="1"/>
  <c r="C37" s="1"/>
  <c r="C38" s="1"/>
  <c r="C39" s="1"/>
  <c r="C40" s="1"/>
  <c r="C41" s="1"/>
  <c r="C42" s="1"/>
  <c r="C43" s="1"/>
  <c r="C44" s="1"/>
  <c r="C45" s="1"/>
  <c r="C46" s="1"/>
  <c r="C47" s="1"/>
  <c r="C48" s="1"/>
  <c r="C49" s="1"/>
  <c r="C50" s="1"/>
  <c r="C51" s="1"/>
  <c r="C52" s="1"/>
  <c r="C53" s="1"/>
  <c r="C54" s="1"/>
  <c r="A32"/>
  <c r="A33"/>
  <c r="A34"/>
  <c r="A35"/>
  <c r="A36"/>
  <c r="A37"/>
  <c r="D58"/>
  <c r="D59" s="1"/>
  <c r="D60" s="1"/>
  <c r="D61" s="1"/>
  <c r="D62" s="1"/>
  <c r="D63" s="1"/>
  <c r="D64" s="1"/>
  <c r="D65" s="1"/>
  <c r="D66" s="1"/>
  <c r="D67" s="1"/>
  <c r="D68" s="1"/>
  <c r="D69" s="1"/>
  <c r="D70" s="1"/>
  <c r="D71" s="1"/>
  <c r="D72" s="1"/>
  <c r="D73" s="1"/>
  <c r="D74" s="1"/>
  <c r="D75" s="1"/>
  <c r="D76" s="1"/>
  <c r="D77" s="1"/>
  <c r="D78" s="1"/>
  <c r="D79" s="1"/>
  <c r="D80" s="1"/>
  <c r="A58"/>
  <c r="A59"/>
  <c r="A60"/>
  <c r="A61"/>
  <c r="A62"/>
  <c r="A63"/>
  <c r="D84"/>
  <c r="D85" s="1"/>
  <c r="D86" s="1"/>
  <c r="A84"/>
  <c r="A85"/>
  <c r="A86"/>
  <c r="A87"/>
  <c r="A88"/>
  <c r="A89"/>
  <c r="D110"/>
  <c r="D111"/>
  <c r="A110"/>
  <c r="A111"/>
  <c r="A112"/>
  <c r="A113"/>
  <c r="A114"/>
  <c r="A115"/>
  <c r="L152"/>
  <c r="L153"/>
  <c r="N156"/>
  <c r="O156" s="1"/>
  <c r="P156" s="1"/>
  <c r="Q156" s="1"/>
  <c r="R156" s="1"/>
  <c r="S156" s="1"/>
  <c r="T156" s="1"/>
  <c r="U156" s="1"/>
  <c r="V156" s="1"/>
  <c r="W156" s="1"/>
  <c r="X156" s="1"/>
  <c r="Y156" s="1"/>
  <c r="Z156" s="1"/>
  <c r="AA156" s="1"/>
  <c r="AB156" s="1"/>
  <c r="AC156" s="1"/>
  <c r="AD156" s="1"/>
  <c r="AE156" s="1"/>
  <c r="AF156" s="1"/>
  <c r="AG156" s="1"/>
  <c r="AH156" s="1"/>
  <c r="AI156" s="1"/>
  <c r="A14" i="57"/>
  <c r="C6" i="82"/>
  <c r="C7" s="1"/>
  <c r="C8" s="1"/>
  <c r="C9" s="1"/>
  <c r="C10" s="1"/>
  <c r="C11" s="1"/>
  <c r="C12" s="1"/>
  <c r="C13" s="1"/>
  <c r="C14" s="1"/>
  <c r="C15" s="1"/>
  <c r="C16" s="1"/>
  <c r="C17" s="1"/>
  <c r="C18" s="1"/>
  <c r="C19" s="1"/>
  <c r="C20" s="1"/>
  <c r="C21" s="1"/>
  <c r="C22" s="1"/>
  <c r="C23" s="1"/>
  <c r="C24" s="1"/>
  <c r="C25" s="1"/>
  <c r="C26" s="1"/>
  <c r="C27" s="1"/>
  <c r="C28" s="1"/>
  <c r="C29" s="1"/>
  <c r="C30" s="1"/>
  <c r="C31" s="1"/>
  <c r="C32" s="1"/>
  <c r="C33" s="1"/>
  <c r="A6"/>
  <c r="A99"/>
  <c r="A15" i="57"/>
  <c r="B15" s="1"/>
  <c r="A7" i="82"/>
  <c r="A69" s="1"/>
  <c r="A16" i="57"/>
  <c r="A8" i="82"/>
  <c r="A70"/>
  <c r="A17" i="57"/>
  <c r="B17" s="1"/>
  <c r="A9" i="82"/>
  <c r="A18" i="57"/>
  <c r="B18" s="1"/>
  <c r="A10" i="82"/>
  <c r="A41" s="1"/>
  <c r="A11"/>
  <c r="A104" s="1"/>
  <c r="A12"/>
  <c r="A74" s="1"/>
  <c r="A13"/>
  <c r="A106" s="1"/>
  <c r="A14"/>
  <c r="A107" s="1"/>
  <c r="A15"/>
  <c r="A139" s="1"/>
  <c r="L16"/>
  <c r="A36"/>
  <c r="C37"/>
  <c r="C38" s="1"/>
  <c r="C39" s="1"/>
  <c r="C40" s="1"/>
  <c r="C41" s="1"/>
  <c r="C42" s="1"/>
  <c r="C43" s="1"/>
  <c r="C44" s="1"/>
  <c r="C45" s="1"/>
  <c r="C46" s="1"/>
  <c r="C47" s="1"/>
  <c r="C48" s="1"/>
  <c r="C49" s="1"/>
  <c r="C50" s="1"/>
  <c r="C51" s="1"/>
  <c r="C52" s="1"/>
  <c r="C53" s="1"/>
  <c r="C54" s="1"/>
  <c r="C55" s="1"/>
  <c r="C56" s="1"/>
  <c r="C57" s="1"/>
  <c r="C58" s="1"/>
  <c r="C59" s="1"/>
  <c r="C60" s="1"/>
  <c r="C61" s="1"/>
  <c r="C62" s="1"/>
  <c r="C63" s="1"/>
  <c r="C64" s="1"/>
  <c r="A37"/>
  <c r="A38"/>
  <c r="D68"/>
  <c r="D69" s="1"/>
  <c r="D70" s="1"/>
  <c r="D71" s="1"/>
  <c r="D72" s="1"/>
  <c r="D73" s="1"/>
  <c r="D74" s="1"/>
  <c r="D75" s="1"/>
  <c r="D76" s="1"/>
  <c r="D77" s="1"/>
  <c r="D78" s="1"/>
  <c r="D79" s="1"/>
  <c r="D80" s="1"/>
  <c r="D81" s="1"/>
  <c r="D82" s="1"/>
  <c r="D83" s="1"/>
  <c r="D84" s="1"/>
  <c r="D85" s="1"/>
  <c r="D86" s="1"/>
  <c r="D87" s="1"/>
  <c r="D88" s="1"/>
  <c r="D89" s="1"/>
  <c r="D90" s="1"/>
  <c r="D91" s="1"/>
  <c r="D92" s="1"/>
  <c r="D93" s="1"/>
  <c r="D94" s="1"/>
  <c r="D95" s="1"/>
  <c r="A68"/>
  <c r="A76"/>
  <c r="D99"/>
  <c r="A100"/>
  <c r="D130"/>
  <c r="D131" s="1"/>
  <c r="A131"/>
  <c r="A132"/>
  <c r="A136"/>
  <c r="L177"/>
  <c r="L178" s="1"/>
  <c r="M181"/>
  <c r="N181" s="1"/>
  <c r="O181" s="1"/>
  <c r="P181" s="1"/>
  <c r="Q181" s="1"/>
  <c r="R181" s="1"/>
  <c r="S181" s="1"/>
  <c r="T181" s="1"/>
  <c r="U181" s="1"/>
  <c r="V181" s="1"/>
  <c r="W181" s="1"/>
  <c r="X181" s="1"/>
  <c r="Y181" s="1"/>
  <c r="Z181" s="1"/>
  <c r="AA181" s="1"/>
  <c r="AB181" s="1"/>
  <c r="AC181" s="1"/>
  <c r="AD181" s="1"/>
  <c r="AE181" s="1"/>
  <c r="AF181" s="1"/>
  <c r="AG181" s="1"/>
  <c r="AH181" s="1"/>
  <c r="AI181" s="1"/>
  <c r="AJ181" s="1"/>
  <c r="AK181" s="1"/>
  <c r="AL181" s="1"/>
  <c r="AM181" s="1"/>
  <c r="AN181" s="1"/>
  <c r="AO181" s="1"/>
  <c r="A5" i="57"/>
  <c r="C6"/>
  <c r="C7" s="1"/>
  <c r="C8" s="1"/>
  <c r="C9" s="1"/>
  <c r="C10" s="1"/>
  <c r="C11" s="1"/>
  <c r="C12" s="1"/>
  <c r="C13" s="1"/>
  <c r="C14" s="1"/>
  <c r="C15" s="1"/>
  <c r="C16" s="1"/>
  <c r="C17" s="1"/>
  <c r="C18" s="1"/>
  <c r="C19" s="1"/>
  <c r="C20" s="1"/>
  <c r="C21" s="1"/>
  <c r="C22" s="1"/>
  <c r="C23" s="1"/>
  <c r="C24" s="1"/>
  <c r="C25" s="1"/>
  <c r="C26" s="1"/>
  <c r="C27" s="1"/>
  <c r="C28" s="1"/>
  <c r="C29" s="1"/>
  <c r="C30" s="1"/>
  <c r="C31" s="1"/>
  <c r="C32" s="1"/>
  <c r="C33" s="1"/>
  <c r="C34" s="1"/>
  <c r="C35" s="1"/>
  <c r="C36" s="1"/>
  <c r="C37" s="1"/>
  <c r="C38" s="1"/>
  <c r="C39" s="1"/>
  <c r="C40" s="1"/>
  <c r="C41" s="1"/>
  <c r="C42" s="1"/>
  <c r="A6"/>
  <c r="A46" s="1"/>
  <c r="A7"/>
  <c r="A8"/>
  <c r="B8" s="1"/>
  <c r="A9"/>
  <c r="B9" s="1"/>
  <c r="A10"/>
  <c r="A11"/>
  <c r="B11"/>
  <c r="B131" s="1"/>
  <c r="A12"/>
  <c r="B12" s="1"/>
  <c r="A13"/>
  <c r="L15"/>
  <c r="B59"/>
  <c r="B64"/>
  <c r="C46"/>
  <c r="C47" s="1"/>
  <c r="C48" s="1"/>
  <c r="C49" s="1"/>
  <c r="C50" s="1"/>
  <c r="C51" s="1"/>
  <c r="C52" s="1"/>
  <c r="C53" s="1"/>
  <c r="C54" s="1"/>
  <c r="C55" s="1"/>
  <c r="C56" s="1"/>
  <c r="C57" s="1"/>
  <c r="C58" s="1"/>
  <c r="C59" s="1"/>
  <c r="C60" s="1"/>
  <c r="C61" s="1"/>
  <c r="C62" s="1"/>
  <c r="C63" s="1"/>
  <c r="C64" s="1"/>
  <c r="C65" s="1"/>
  <c r="C66" s="1"/>
  <c r="C67" s="1"/>
  <c r="C68" s="1"/>
  <c r="C69" s="1"/>
  <c r="C70" s="1"/>
  <c r="C71" s="1"/>
  <c r="C72" s="1"/>
  <c r="C73" s="1"/>
  <c r="C74" s="1"/>
  <c r="C75" s="1"/>
  <c r="C76" s="1"/>
  <c r="C77" s="1"/>
  <c r="C78" s="1"/>
  <c r="C79" s="1"/>
  <c r="C80" s="1"/>
  <c r="C81" s="1"/>
  <c r="C82" s="1"/>
  <c r="A47"/>
  <c r="A51"/>
  <c r="A52"/>
  <c r="A54"/>
  <c r="A55"/>
  <c r="A57"/>
  <c r="A58"/>
  <c r="A59"/>
  <c r="A60"/>
  <c r="A61"/>
  <c r="A62"/>
  <c r="A63"/>
  <c r="A64"/>
  <c r="A65"/>
  <c r="B104"/>
  <c r="C104" s="1"/>
  <c r="D86"/>
  <c r="D87" s="1"/>
  <c r="D88" s="1"/>
  <c r="D89" s="1"/>
  <c r="D90" s="1"/>
  <c r="D91" s="1"/>
  <c r="D92" s="1"/>
  <c r="D93" s="1"/>
  <c r="D94" s="1"/>
  <c r="D95" s="1"/>
  <c r="D96" s="1"/>
  <c r="D97" s="1"/>
  <c r="D98" s="1"/>
  <c r="D99" s="1"/>
  <c r="D100" s="1"/>
  <c r="D101" s="1"/>
  <c r="D102" s="1"/>
  <c r="D103" s="1"/>
  <c r="D104" s="1"/>
  <c r="D105" s="1"/>
  <c r="D106" s="1"/>
  <c r="D107" s="1"/>
  <c r="D108" s="1"/>
  <c r="D109" s="1"/>
  <c r="D110" s="1"/>
  <c r="D111" s="1"/>
  <c r="D112" s="1"/>
  <c r="D113" s="1"/>
  <c r="D114" s="1"/>
  <c r="D115" s="1"/>
  <c r="D116" s="1"/>
  <c r="D117" s="1"/>
  <c r="D118" s="1"/>
  <c r="D119" s="1"/>
  <c r="D120" s="1"/>
  <c r="D121" s="1"/>
  <c r="D122" s="1"/>
  <c r="A91"/>
  <c r="B91"/>
  <c r="C91" s="1"/>
  <c r="A95"/>
  <c r="A97"/>
  <c r="A98"/>
  <c r="A99"/>
  <c r="B99"/>
  <c r="C99" s="1"/>
  <c r="A100"/>
  <c r="A101"/>
  <c r="A102"/>
  <c r="A103"/>
  <c r="A104"/>
  <c r="A105"/>
  <c r="D126"/>
  <c r="D127" s="1"/>
  <c r="D128" s="1"/>
  <c r="E126"/>
  <c r="A129"/>
  <c r="A131"/>
  <c r="A134"/>
  <c r="A135"/>
  <c r="A137"/>
  <c r="A138"/>
  <c r="A139"/>
  <c r="B139"/>
  <c r="A140"/>
  <c r="A141"/>
  <c r="A142"/>
  <c r="A143"/>
  <c r="A144"/>
  <c r="B144"/>
  <c r="A145"/>
  <c r="B171"/>
  <c r="B179"/>
  <c r="Z223" s="1"/>
  <c r="B184"/>
  <c r="D166"/>
  <c r="D167" s="1"/>
  <c r="D168"/>
  <c r="D169" s="1"/>
  <c r="D170" s="1"/>
  <c r="D171" s="1"/>
  <c r="D172" s="1"/>
  <c r="D173" s="1"/>
  <c r="D174" s="1"/>
  <c r="D175" s="1"/>
  <c r="D176" s="1"/>
  <c r="D177" s="1"/>
  <c r="D178" s="1"/>
  <c r="D179" s="1"/>
  <c r="D180" s="1"/>
  <c r="D181" s="1"/>
  <c r="D182" s="1"/>
  <c r="D183" s="1"/>
  <c r="D184" s="1"/>
  <c r="D185" s="1"/>
  <c r="D186" s="1"/>
  <c r="D187" s="1"/>
  <c r="D188" s="1"/>
  <c r="D189" s="1"/>
  <c r="D190" s="1"/>
  <c r="D191" s="1"/>
  <c r="D192" s="1"/>
  <c r="D193" s="1"/>
  <c r="D194" s="1"/>
  <c r="D195" s="1"/>
  <c r="D196" s="1"/>
  <c r="D197" s="1"/>
  <c r="D198" s="1"/>
  <c r="D199" s="1"/>
  <c r="D200" s="1"/>
  <c r="D201" s="1"/>
  <c r="D202" s="1"/>
  <c r="A169"/>
  <c r="A171"/>
  <c r="A174"/>
  <c r="A175"/>
  <c r="A177"/>
  <c r="A178"/>
  <c r="A179"/>
  <c r="A180"/>
  <c r="A181"/>
  <c r="A182"/>
  <c r="A183"/>
  <c r="A184"/>
  <c r="A185"/>
  <c r="L221"/>
  <c r="L222" s="1"/>
  <c r="R223"/>
  <c r="AE223"/>
  <c r="AE226" s="1"/>
  <c r="AE227" s="1"/>
  <c r="AE228" s="1"/>
  <c r="AE229" s="1"/>
  <c r="AE230" s="1"/>
  <c r="AE231" s="1"/>
  <c r="K225"/>
  <c r="A19" i="45"/>
  <c r="B19" s="1"/>
  <c r="A24"/>
  <c r="C6" i="91"/>
  <c r="C7" s="1"/>
  <c r="C8" s="1"/>
  <c r="C9" s="1"/>
  <c r="C10" s="1"/>
  <c r="C11" s="1"/>
  <c r="C12" s="1"/>
  <c r="C13" s="1"/>
  <c r="C14" s="1"/>
  <c r="C15" s="1"/>
  <c r="C16" s="1"/>
  <c r="C17" s="1"/>
  <c r="C18" s="1"/>
  <c r="C19" s="1"/>
  <c r="C20" s="1"/>
  <c r="C21" s="1"/>
  <c r="C22" s="1"/>
  <c r="C23" s="1"/>
  <c r="C24" s="1"/>
  <c r="C25" s="1"/>
  <c r="C26" s="1"/>
  <c r="C27" s="1"/>
  <c r="C28" s="1"/>
  <c r="A20" i="45"/>
  <c r="A21"/>
  <c r="B21" s="1"/>
  <c r="A22"/>
  <c r="B22" s="1"/>
  <c r="A23"/>
  <c r="B23" s="1"/>
  <c r="C32" i="91"/>
  <c r="C33" s="1"/>
  <c r="C34" s="1"/>
  <c r="A32"/>
  <c r="A33"/>
  <c r="A34"/>
  <c r="A35"/>
  <c r="A36"/>
  <c r="A37"/>
  <c r="D58"/>
  <c r="D59"/>
  <c r="D60" s="1"/>
  <c r="D61" s="1"/>
  <c r="D62" s="1"/>
  <c r="D63" s="1"/>
  <c r="D64" s="1"/>
  <c r="D65" s="1"/>
  <c r="D66" s="1"/>
  <c r="D67" s="1"/>
  <c r="D68" s="1"/>
  <c r="D69" s="1"/>
  <c r="D70" s="1"/>
  <c r="D71" s="1"/>
  <c r="D72" s="1"/>
  <c r="D73" s="1"/>
  <c r="D74" s="1"/>
  <c r="D75" s="1"/>
  <c r="D76" s="1"/>
  <c r="D77" s="1"/>
  <c r="D78" s="1"/>
  <c r="D79" s="1"/>
  <c r="D80" s="1"/>
  <c r="A58"/>
  <c r="A59"/>
  <c r="A60"/>
  <c r="A61"/>
  <c r="A62"/>
  <c r="A63"/>
  <c r="D84"/>
  <c r="E84" s="1"/>
  <c r="A84"/>
  <c r="A85"/>
  <c r="A86"/>
  <c r="A87"/>
  <c r="A88"/>
  <c r="A89"/>
  <c r="D110"/>
  <c r="D111" s="1"/>
  <c r="A110"/>
  <c r="A111"/>
  <c r="A112"/>
  <c r="A113"/>
  <c r="A114"/>
  <c r="A115"/>
  <c r="L152"/>
  <c r="L153" s="1"/>
  <c r="N156"/>
  <c r="O156" s="1"/>
  <c r="P156" s="1"/>
  <c r="Q156" s="1"/>
  <c r="R156" s="1"/>
  <c r="S156" s="1"/>
  <c r="T156" s="1"/>
  <c r="U156" s="1"/>
  <c r="V156" s="1"/>
  <c r="W156" s="1"/>
  <c r="X156" s="1"/>
  <c r="Y156" s="1"/>
  <c r="Z156" s="1"/>
  <c r="AA156" s="1"/>
  <c r="AB156" s="1"/>
  <c r="AC156" s="1"/>
  <c r="AD156" s="1"/>
  <c r="AE156" s="1"/>
  <c r="AF156" s="1"/>
  <c r="AG156" s="1"/>
  <c r="AH156" s="1"/>
  <c r="AI156" s="1"/>
  <c r="A14" i="45"/>
  <c r="B14"/>
  <c r="C6" i="81"/>
  <c r="C7" s="1"/>
  <c r="C8" s="1"/>
  <c r="C9" s="1"/>
  <c r="C10" s="1"/>
  <c r="C11" s="1"/>
  <c r="C12" s="1"/>
  <c r="C13" s="1"/>
  <c r="C14" s="1"/>
  <c r="C15" s="1"/>
  <c r="C16" s="1"/>
  <c r="C17" s="1"/>
  <c r="C18" s="1"/>
  <c r="C19" s="1"/>
  <c r="C20" s="1"/>
  <c r="C21" s="1"/>
  <c r="C22" s="1"/>
  <c r="C23" s="1"/>
  <c r="C24" s="1"/>
  <c r="C25" s="1"/>
  <c r="C26" s="1"/>
  <c r="C27" s="1"/>
  <c r="C28" s="1"/>
  <c r="C29" s="1"/>
  <c r="C30" s="1"/>
  <c r="C31" s="1"/>
  <c r="C32" s="1"/>
  <c r="C33" s="1"/>
  <c r="A6"/>
  <c r="A130" s="1"/>
  <c r="A15" i="45"/>
  <c r="A55" s="1"/>
  <c r="A7" i="81"/>
  <c r="A38" s="1"/>
  <c r="A16" i="45"/>
  <c r="B16" s="1"/>
  <c r="A8" i="81"/>
  <c r="A17" i="45"/>
  <c r="B17" s="1"/>
  <c r="B57" s="1"/>
  <c r="A9" i="81"/>
  <c r="A102" s="1"/>
  <c r="A18" i="45"/>
  <c r="A10" i="81"/>
  <c r="A134" s="1"/>
  <c r="A11"/>
  <c r="A42" s="1"/>
  <c r="A12"/>
  <c r="A13"/>
  <c r="A44" s="1"/>
  <c r="A14"/>
  <c r="A107" s="1"/>
  <c r="A15"/>
  <c r="A77" s="1"/>
  <c r="L16"/>
  <c r="A36"/>
  <c r="C37"/>
  <c r="A43"/>
  <c r="D68"/>
  <c r="D69" s="1"/>
  <c r="D70" s="1"/>
  <c r="D71" s="1"/>
  <c r="D72" s="1"/>
  <c r="D73" s="1"/>
  <c r="D74" s="1"/>
  <c r="D75" s="1"/>
  <c r="D76" s="1"/>
  <c r="D77" s="1"/>
  <c r="D78" s="1"/>
  <c r="D79" s="1"/>
  <c r="D80" s="1"/>
  <c r="D81" s="1"/>
  <c r="D82" s="1"/>
  <c r="D83" s="1"/>
  <c r="D84" s="1"/>
  <c r="D85" s="1"/>
  <c r="D86" s="1"/>
  <c r="D87" s="1"/>
  <c r="D88" s="1"/>
  <c r="D89" s="1"/>
  <c r="D90" s="1"/>
  <c r="D91" s="1"/>
  <c r="D92" s="1"/>
  <c r="D93" s="1"/>
  <c r="D94" s="1"/>
  <c r="D95" s="1"/>
  <c r="A68"/>
  <c r="A73"/>
  <c r="A74"/>
  <c r="D99"/>
  <c r="D100" s="1"/>
  <c r="A99"/>
  <c r="A104"/>
  <c r="A105"/>
  <c r="D130"/>
  <c r="A135"/>
  <c r="A136"/>
  <c r="A139"/>
  <c r="L177"/>
  <c r="L178" s="1"/>
  <c r="N181"/>
  <c r="O181" s="1"/>
  <c r="P181" s="1"/>
  <c r="Q181" s="1"/>
  <c r="R181" s="1"/>
  <c r="S181" s="1"/>
  <c r="T181" s="1"/>
  <c r="U181" s="1"/>
  <c r="V181" s="1"/>
  <c r="W181" s="1"/>
  <c r="X181" s="1"/>
  <c r="Y181" s="1"/>
  <c r="Z181" s="1"/>
  <c r="AA181" s="1"/>
  <c r="AB181" s="1"/>
  <c r="AC181" s="1"/>
  <c r="AD181" s="1"/>
  <c r="AE181" s="1"/>
  <c r="AF181" s="1"/>
  <c r="AG181" s="1"/>
  <c r="AH181" s="1"/>
  <c r="AI181" s="1"/>
  <c r="AJ181" s="1"/>
  <c r="AK181" s="1"/>
  <c r="AL181" s="1"/>
  <c r="AM181" s="1"/>
  <c r="AN181" s="1"/>
  <c r="AO181" s="1"/>
  <c r="A5" i="45"/>
  <c r="A45"/>
  <c r="C6"/>
  <c r="C7" s="1"/>
  <c r="C8" s="1"/>
  <c r="C9" s="1"/>
  <c r="C10" s="1"/>
  <c r="C11" s="1"/>
  <c r="C12" s="1"/>
  <c r="C13" s="1"/>
  <c r="C14" s="1"/>
  <c r="C15" s="1"/>
  <c r="C16" s="1"/>
  <c r="C17" s="1"/>
  <c r="C18" s="1"/>
  <c r="C19" s="1"/>
  <c r="C20" s="1"/>
  <c r="C21" s="1"/>
  <c r="C22" s="1"/>
  <c r="C23" s="1"/>
  <c r="C24" s="1"/>
  <c r="C25" s="1"/>
  <c r="C26" s="1"/>
  <c r="C27" s="1"/>
  <c r="C28" s="1"/>
  <c r="C29" s="1"/>
  <c r="C30" s="1"/>
  <c r="C31" s="1"/>
  <c r="C32" s="1"/>
  <c r="C33" s="1"/>
  <c r="C34" s="1"/>
  <c r="C35" s="1"/>
  <c r="C36" s="1"/>
  <c r="C37" s="1"/>
  <c r="C38" s="1"/>
  <c r="C39" s="1"/>
  <c r="C40" s="1"/>
  <c r="C41" s="1"/>
  <c r="C42" s="1"/>
  <c r="A6"/>
  <c r="B6" s="1"/>
  <c r="A7"/>
  <c r="B7" s="1"/>
  <c r="A8"/>
  <c r="A9"/>
  <c r="B9" s="1"/>
  <c r="A10"/>
  <c r="B10"/>
  <c r="A11"/>
  <c r="B11" s="1"/>
  <c r="A12"/>
  <c r="B12" s="1"/>
  <c r="A13"/>
  <c r="B13" s="1"/>
  <c r="L15"/>
  <c r="C46"/>
  <c r="C47" s="1"/>
  <c r="A47"/>
  <c r="A49"/>
  <c r="A51"/>
  <c r="A53"/>
  <c r="A54"/>
  <c r="A56"/>
  <c r="A57"/>
  <c r="A59"/>
  <c r="A61"/>
  <c r="A62"/>
  <c r="A63"/>
  <c r="A65"/>
  <c r="A85"/>
  <c r="D86"/>
  <c r="D87" s="1"/>
  <c r="D88" s="1"/>
  <c r="D89" s="1"/>
  <c r="D90" s="1"/>
  <c r="D91" s="1"/>
  <c r="D92" s="1"/>
  <c r="D93" s="1"/>
  <c r="D94" s="1"/>
  <c r="D95" s="1"/>
  <c r="D96" s="1"/>
  <c r="D97" s="1"/>
  <c r="D98" s="1"/>
  <c r="D99" s="1"/>
  <c r="D100" s="1"/>
  <c r="D101" s="1"/>
  <c r="D102" s="1"/>
  <c r="D103" s="1"/>
  <c r="D104" s="1"/>
  <c r="D105" s="1"/>
  <c r="D106" s="1"/>
  <c r="D107" s="1"/>
  <c r="D108" s="1"/>
  <c r="D109" s="1"/>
  <c r="D110" s="1"/>
  <c r="D111" s="1"/>
  <c r="D112" s="1"/>
  <c r="D113" s="1"/>
  <c r="D114" s="1"/>
  <c r="D115" s="1"/>
  <c r="D116" s="1"/>
  <c r="D117" s="1"/>
  <c r="D118" s="1"/>
  <c r="D119" s="1"/>
  <c r="D120" s="1"/>
  <c r="D121" s="1"/>
  <c r="D122" s="1"/>
  <c r="A86"/>
  <c r="A87"/>
  <c r="A89"/>
  <c r="A90"/>
  <c r="A93"/>
  <c r="A94"/>
  <c r="A96"/>
  <c r="A97"/>
  <c r="A99"/>
  <c r="A101"/>
  <c r="A102"/>
  <c r="A103"/>
  <c r="A105"/>
  <c r="A125"/>
  <c r="D126"/>
  <c r="D127" s="1"/>
  <c r="A126"/>
  <c r="A127"/>
  <c r="A128"/>
  <c r="A129"/>
  <c r="A130"/>
  <c r="A132"/>
  <c r="A133"/>
  <c r="A134"/>
  <c r="A136"/>
  <c r="A137"/>
  <c r="A139"/>
  <c r="A140"/>
  <c r="A141"/>
  <c r="A142"/>
  <c r="A143"/>
  <c r="A144"/>
  <c r="A145"/>
  <c r="A165"/>
  <c r="D166"/>
  <c r="D167" s="1"/>
  <c r="D168" s="1"/>
  <c r="D169" s="1"/>
  <c r="D170" s="1"/>
  <c r="D171" s="1"/>
  <c r="D172" s="1"/>
  <c r="D173" s="1"/>
  <c r="D174" s="1"/>
  <c r="D175" s="1"/>
  <c r="D176" s="1"/>
  <c r="D177" s="1"/>
  <c r="D178" s="1"/>
  <c r="D179" s="1"/>
  <c r="D180" s="1"/>
  <c r="D181" s="1"/>
  <c r="D182" s="1"/>
  <c r="D183" s="1"/>
  <c r="D184" s="1"/>
  <c r="D185" s="1"/>
  <c r="D186" s="1"/>
  <c r="D187" s="1"/>
  <c r="D188" s="1"/>
  <c r="D189" s="1"/>
  <c r="D190" s="1"/>
  <c r="D191" s="1"/>
  <c r="D192" s="1"/>
  <c r="D193" s="1"/>
  <c r="D194" s="1"/>
  <c r="D195" s="1"/>
  <c r="D196" s="1"/>
  <c r="D197" s="1"/>
  <c r="D198" s="1"/>
  <c r="D199" s="1"/>
  <c r="D200" s="1"/>
  <c r="D201" s="1"/>
  <c r="D202" s="1"/>
  <c r="A166"/>
  <c r="A167"/>
  <c r="A169"/>
  <c r="A170"/>
  <c r="A171"/>
  <c r="A172"/>
  <c r="A173"/>
  <c r="A174"/>
  <c r="A176"/>
  <c r="A177"/>
  <c r="A179"/>
  <c r="A181"/>
  <c r="A182"/>
  <c r="A183"/>
  <c r="A185"/>
  <c r="L221"/>
  <c r="L222" s="1"/>
  <c r="K225"/>
  <c r="L225"/>
  <c r="M225" s="1"/>
  <c r="N225" s="1"/>
  <c r="O225" s="1"/>
  <c r="P225" s="1"/>
  <c r="Q225" s="1"/>
  <c r="R225" s="1"/>
  <c r="S225" s="1"/>
  <c r="T225" s="1"/>
  <c r="U225" s="1"/>
  <c r="V225" s="1"/>
  <c r="W225" s="1"/>
  <c r="X225" s="1"/>
  <c r="Y225" s="1"/>
  <c r="Z225" s="1"/>
  <c r="AA225" s="1"/>
  <c r="AB225" s="1"/>
  <c r="AC225" s="1"/>
  <c r="AD225" s="1"/>
  <c r="AE225" s="1"/>
  <c r="AF225" s="1"/>
  <c r="AG225" s="1"/>
  <c r="AH225" s="1"/>
  <c r="AI225" s="1"/>
  <c r="AJ225" s="1"/>
  <c r="AK225" s="1"/>
  <c r="AL225" s="1"/>
  <c r="AM225" s="1"/>
  <c r="AN225" s="1"/>
  <c r="AO225" s="1"/>
  <c r="AP225" s="1"/>
  <c r="AQ225" s="1"/>
  <c r="AR225" s="1"/>
  <c r="AS225" s="1"/>
  <c r="AT225" s="1"/>
  <c r="AU225" s="1"/>
  <c r="AV225" s="1"/>
  <c r="AW225" s="1"/>
  <c r="AX225" s="1"/>
  <c r="A19" i="54"/>
  <c r="B19"/>
  <c r="B10" i="80" s="1"/>
  <c r="A24" i="54"/>
  <c r="C6" i="90"/>
  <c r="C7"/>
  <c r="C8" s="1"/>
  <c r="C9" s="1"/>
  <c r="C10" s="1"/>
  <c r="C11" s="1"/>
  <c r="C12" s="1"/>
  <c r="C13" s="1"/>
  <c r="C14" s="1"/>
  <c r="C15" s="1"/>
  <c r="C16" s="1"/>
  <c r="C17" s="1"/>
  <c r="C18" s="1"/>
  <c r="C19" s="1"/>
  <c r="C20" s="1"/>
  <c r="C21" s="1"/>
  <c r="C22" s="1"/>
  <c r="C23" s="1"/>
  <c r="C24" s="1"/>
  <c r="C25" s="1"/>
  <c r="C26" s="1"/>
  <c r="C27" s="1"/>
  <c r="C28" s="1"/>
  <c r="A20" i="54"/>
  <c r="A100" s="1"/>
  <c r="A21"/>
  <c r="B21" s="1"/>
  <c r="A22"/>
  <c r="B22" s="1"/>
  <c r="A23"/>
  <c r="C32" i="90"/>
  <c r="C33" s="1"/>
  <c r="C34" s="1"/>
  <c r="A32"/>
  <c r="A33"/>
  <c r="A34"/>
  <c r="A35"/>
  <c r="A36"/>
  <c r="A37"/>
  <c r="D58"/>
  <c r="D59" s="1"/>
  <c r="D60" s="1"/>
  <c r="D61" s="1"/>
  <c r="D62" s="1"/>
  <c r="D63" s="1"/>
  <c r="D64" s="1"/>
  <c r="D65" s="1"/>
  <c r="D66" s="1"/>
  <c r="D67" s="1"/>
  <c r="D68" s="1"/>
  <c r="D69" s="1"/>
  <c r="D70" s="1"/>
  <c r="D71" s="1"/>
  <c r="D72" s="1"/>
  <c r="D73" s="1"/>
  <c r="D74" s="1"/>
  <c r="D75" s="1"/>
  <c r="D76" s="1"/>
  <c r="D77" s="1"/>
  <c r="D78" s="1"/>
  <c r="D79" s="1"/>
  <c r="D80" s="1"/>
  <c r="A58"/>
  <c r="A59"/>
  <c r="A60"/>
  <c r="A61"/>
  <c r="A62"/>
  <c r="A63"/>
  <c r="D84"/>
  <c r="A84"/>
  <c r="A85"/>
  <c r="A86"/>
  <c r="A87"/>
  <c r="A88"/>
  <c r="A89"/>
  <c r="D110"/>
  <c r="D111" s="1"/>
  <c r="A110"/>
  <c r="A111"/>
  <c r="A112"/>
  <c r="A113"/>
  <c r="A114"/>
  <c r="A115"/>
  <c r="L152"/>
  <c r="L153" s="1"/>
  <c r="N156"/>
  <c r="O156" s="1"/>
  <c r="P156" s="1"/>
  <c r="Q156" s="1"/>
  <c r="R156" s="1"/>
  <c r="S156" s="1"/>
  <c r="T156" s="1"/>
  <c r="U156" s="1"/>
  <c r="V156" s="1"/>
  <c r="W156" s="1"/>
  <c r="X156" s="1"/>
  <c r="Y156" s="1"/>
  <c r="Z156" s="1"/>
  <c r="AA156" s="1"/>
  <c r="AB156" s="1"/>
  <c r="AC156" s="1"/>
  <c r="AD156" s="1"/>
  <c r="AE156" s="1"/>
  <c r="AF156" s="1"/>
  <c r="AG156" s="1"/>
  <c r="AH156" s="1"/>
  <c r="AI156" s="1"/>
  <c r="A14" i="54"/>
  <c r="C6" i="80"/>
  <c r="C7" s="1"/>
  <c r="C8" s="1"/>
  <c r="C9" s="1"/>
  <c r="C10" s="1"/>
  <c r="C11" s="1"/>
  <c r="C12" s="1"/>
  <c r="C13" s="1"/>
  <c r="C14" s="1"/>
  <c r="C15" s="1"/>
  <c r="C16" s="1"/>
  <c r="C17" s="1"/>
  <c r="C18" s="1"/>
  <c r="C19" s="1"/>
  <c r="C20" s="1"/>
  <c r="C21" s="1"/>
  <c r="C22" s="1"/>
  <c r="C23" s="1"/>
  <c r="C24" s="1"/>
  <c r="C25" s="1"/>
  <c r="C26" s="1"/>
  <c r="C27" s="1"/>
  <c r="C28" s="1"/>
  <c r="C29" s="1"/>
  <c r="C30" s="1"/>
  <c r="C31" s="1"/>
  <c r="C32" s="1"/>
  <c r="C33" s="1"/>
  <c r="A6"/>
  <c r="A130" s="1"/>
  <c r="A15" i="54"/>
  <c r="B15" s="1"/>
  <c r="A7" i="80"/>
  <c r="A38" s="1"/>
  <c r="A16" i="54"/>
  <c r="B16" s="1"/>
  <c r="A8" i="80"/>
  <c r="A39" s="1"/>
  <c r="A17" i="54"/>
  <c r="B17" s="1"/>
  <c r="A9" i="80"/>
  <c r="A18" i="54"/>
  <c r="B18" s="1"/>
  <c r="A10" i="80"/>
  <c r="A41" s="1"/>
  <c r="A11"/>
  <c r="A73" s="1"/>
  <c r="A12"/>
  <c r="A43" s="1"/>
  <c r="A13"/>
  <c r="A44" s="1"/>
  <c r="A14"/>
  <c r="A76" s="1"/>
  <c r="A15"/>
  <c r="A77" s="1"/>
  <c r="L16"/>
  <c r="A36"/>
  <c r="C37"/>
  <c r="C38" s="1"/>
  <c r="C39" s="1"/>
  <c r="C40" s="1"/>
  <c r="C41" s="1"/>
  <c r="C42" s="1"/>
  <c r="C43" s="1"/>
  <c r="C44" s="1"/>
  <c r="C45" s="1"/>
  <c r="C46" s="1"/>
  <c r="C47" s="1"/>
  <c r="C48" s="1"/>
  <c r="C49" s="1"/>
  <c r="C50" s="1"/>
  <c r="C51" s="1"/>
  <c r="C52" s="1"/>
  <c r="C53" s="1"/>
  <c r="C54" s="1"/>
  <c r="C55" s="1"/>
  <c r="C56" s="1"/>
  <c r="C57" s="1"/>
  <c r="C58" s="1"/>
  <c r="C59" s="1"/>
  <c r="C60" s="1"/>
  <c r="C61" s="1"/>
  <c r="C62" s="1"/>
  <c r="C63" s="1"/>
  <c r="C64" s="1"/>
  <c r="A40"/>
  <c r="D68"/>
  <c r="D69"/>
  <c r="D70" s="1"/>
  <c r="D71" s="1"/>
  <c r="D72" s="1"/>
  <c r="D73" s="1"/>
  <c r="D74" s="1"/>
  <c r="D75" s="1"/>
  <c r="D76" s="1"/>
  <c r="D77" s="1"/>
  <c r="D78" s="1"/>
  <c r="D79" s="1"/>
  <c r="D80" s="1"/>
  <c r="D81" s="1"/>
  <c r="D82" s="1"/>
  <c r="D83" s="1"/>
  <c r="D84" s="1"/>
  <c r="D85" s="1"/>
  <c r="D86" s="1"/>
  <c r="D87" s="1"/>
  <c r="D88" s="1"/>
  <c r="D89" s="1"/>
  <c r="D90" s="1"/>
  <c r="D91" s="1"/>
  <c r="D92" s="1"/>
  <c r="D93" s="1"/>
  <c r="D94" s="1"/>
  <c r="D95" s="1"/>
  <c r="A71"/>
  <c r="D99"/>
  <c r="D100" s="1"/>
  <c r="D101" s="1"/>
  <c r="A102"/>
  <c r="D130"/>
  <c r="D131" s="1"/>
  <c r="A133"/>
  <c r="A135"/>
  <c r="N181"/>
  <c r="O181" s="1"/>
  <c r="P181" s="1"/>
  <c r="Q181" s="1"/>
  <c r="R181" s="1"/>
  <c r="S181" s="1"/>
  <c r="T181" s="1"/>
  <c r="U181" s="1"/>
  <c r="V181" s="1"/>
  <c r="W181" s="1"/>
  <c r="X181" s="1"/>
  <c r="Y181" s="1"/>
  <c r="Z181" s="1"/>
  <c r="AA181" s="1"/>
  <c r="AB181" s="1"/>
  <c r="AC181" s="1"/>
  <c r="AD181" s="1"/>
  <c r="AE181" s="1"/>
  <c r="AF181" s="1"/>
  <c r="AG181" s="1"/>
  <c r="AH181" s="1"/>
  <c r="AI181" s="1"/>
  <c r="AJ181" s="1"/>
  <c r="AK181" s="1"/>
  <c r="AL181" s="1"/>
  <c r="AM181" s="1"/>
  <c r="AN181" s="1"/>
  <c r="AO181" s="1"/>
  <c r="A5" i="54"/>
  <c r="B5" s="1"/>
  <c r="B165" s="1"/>
  <c r="L223" s="1"/>
  <c r="C6"/>
  <c r="C7" s="1"/>
  <c r="C8" s="1"/>
  <c r="C9" s="1"/>
  <c r="C10" s="1"/>
  <c r="C11" s="1"/>
  <c r="C12" s="1"/>
  <c r="C13" s="1"/>
  <c r="C14" s="1"/>
  <c r="C15" s="1"/>
  <c r="C16" s="1"/>
  <c r="C17" s="1"/>
  <c r="C18" s="1"/>
  <c r="C19" s="1"/>
  <c r="C20" s="1"/>
  <c r="C21" s="1"/>
  <c r="C22" s="1"/>
  <c r="C23" s="1"/>
  <c r="C24" s="1"/>
  <c r="C25" s="1"/>
  <c r="C26" s="1"/>
  <c r="C27" s="1"/>
  <c r="C28" s="1"/>
  <c r="C29" s="1"/>
  <c r="C30" s="1"/>
  <c r="C31" s="1"/>
  <c r="C32" s="1"/>
  <c r="C33" s="1"/>
  <c r="C34" s="1"/>
  <c r="C35" s="1"/>
  <c r="C36" s="1"/>
  <c r="C37" s="1"/>
  <c r="C38" s="1"/>
  <c r="C39" s="1"/>
  <c r="C40" s="1"/>
  <c r="C41" s="1"/>
  <c r="C42" s="1"/>
  <c r="A6"/>
  <c r="B6" s="1"/>
  <c r="A7"/>
  <c r="A127" s="1"/>
  <c r="A8"/>
  <c r="B8" s="1"/>
  <c r="A48"/>
  <c r="A9"/>
  <c r="B9" s="1"/>
  <c r="A10"/>
  <c r="B10"/>
  <c r="A11"/>
  <c r="A171" s="1"/>
  <c r="A12"/>
  <c r="A52"/>
  <c r="B12"/>
  <c r="A13"/>
  <c r="B13" s="1"/>
  <c r="B93" s="1"/>
  <c r="C93" s="1"/>
  <c r="L15"/>
  <c r="A45"/>
  <c r="B59"/>
  <c r="C46"/>
  <c r="A47"/>
  <c r="A49"/>
  <c r="A51"/>
  <c r="A53"/>
  <c r="A55"/>
  <c r="A56"/>
  <c r="A57"/>
  <c r="A58"/>
  <c r="A59"/>
  <c r="A61"/>
  <c r="A62"/>
  <c r="A63"/>
  <c r="A65"/>
  <c r="A85"/>
  <c r="D86"/>
  <c r="D87"/>
  <c r="D88" s="1"/>
  <c r="D89" s="1"/>
  <c r="D90" s="1"/>
  <c r="D91" s="1"/>
  <c r="D92" s="1"/>
  <c r="D93" s="1"/>
  <c r="D94" s="1"/>
  <c r="D95" s="1"/>
  <c r="D96" s="1"/>
  <c r="D97" s="1"/>
  <c r="D98" s="1"/>
  <c r="D99" s="1"/>
  <c r="D100" s="1"/>
  <c r="D101" s="1"/>
  <c r="D102" s="1"/>
  <c r="D103" s="1"/>
  <c r="D104" s="1"/>
  <c r="D105" s="1"/>
  <c r="D106" s="1"/>
  <c r="D107" s="1"/>
  <c r="D108" s="1"/>
  <c r="D109" s="1"/>
  <c r="D110" s="1"/>
  <c r="D111" s="1"/>
  <c r="D112" s="1"/>
  <c r="D113" s="1"/>
  <c r="D114" s="1"/>
  <c r="D115" s="1"/>
  <c r="D116" s="1"/>
  <c r="D117" s="1"/>
  <c r="D118" s="1"/>
  <c r="D119" s="1"/>
  <c r="D120" s="1"/>
  <c r="D121" s="1"/>
  <c r="D122" s="1"/>
  <c r="A86"/>
  <c r="A88"/>
  <c r="A89"/>
  <c r="A90"/>
  <c r="A92"/>
  <c r="A93"/>
  <c r="A95"/>
  <c r="A96"/>
  <c r="A97"/>
  <c r="A98"/>
  <c r="A99"/>
  <c r="B99"/>
  <c r="C99" s="1"/>
  <c r="A101"/>
  <c r="A102"/>
  <c r="A104"/>
  <c r="A105"/>
  <c r="A125"/>
  <c r="D126"/>
  <c r="A126"/>
  <c r="A128"/>
  <c r="A129"/>
  <c r="A130"/>
  <c r="A132"/>
  <c r="A133"/>
  <c r="A135"/>
  <c r="A136"/>
  <c r="A137"/>
  <c r="A138"/>
  <c r="A139"/>
  <c r="B139"/>
  <c r="A141"/>
  <c r="A142"/>
  <c r="A144"/>
  <c r="A145"/>
  <c r="A165"/>
  <c r="B179"/>
  <c r="Z223" s="1"/>
  <c r="D166"/>
  <c r="D167" s="1"/>
  <c r="A166"/>
  <c r="A168"/>
  <c r="A169"/>
  <c r="A170"/>
  <c r="A172"/>
  <c r="A173"/>
  <c r="A175"/>
  <c r="A176"/>
  <c r="A177"/>
  <c r="A178"/>
  <c r="A179"/>
  <c r="A181"/>
  <c r="A182"/>
  <c r="A185"/>
  <c r="L221"/>
  <c r="L222" s="1"/>
  <c r="K225"/>
  <c r="L225"/>
  <c r="M225" s="1"/>
  <c r="N225" s="1"/>
  <c r="O225" s="1"/>
  <c r="P225" s="1"/>
  <c r="Q225" s="1"/>
  <c r="R225" s="1"/>
  <c r="S225" s="1"/>
  <c r="T225" s="1"/>
  <c r="U225" s="1"/>
  <c r="V225" s="1"/>
  <c r="W225" s="1"/>
  <c r="X225" s="1"/>
  <c r="Y225" s="1"/>
  <c r="Z225" s="1"/>
  <c r="AA225" s="1"/>
  <c r="AB225" s="1"/>
  <c r="AC225" s="1"/>
  <c r="AD225" s="1"/>
  <c r="AE225" s="1"/>
  <c r="AF225" s="1"/>
  <c r="AG225" s="1"/>
  <c r="AH225" s="1"/>
  <c r="AI225" s="1"/>
  <c r="AJ225" s="1"/>
  <c r="AK225" s="1"/>
  <c r="AL225" s="1"/>
  <c r="AM225" s="1"/>
  <c r="AN225" s="1"/>
  <c r="AO225" s="1"/>
  <c r="AP225" s="1"/>
  <c r="AQ225" s="1"/>
  <c r="AR225" s="1"/>
  <c r="AS225" s="1"/>
  <c r="AT225" s="1"/>
  <c r="AU225" s="1"/>
  <c r="AV225" s="1"/>
  <c r="AW225" s="1"/>
  <c r="A19" i="51"/>
  <c r="B19"/>
  <c r="A24"/>
  <c r="B24"/>
  <c r="B184" s="1"/>
  <c r="AE223" s="1"/>
  <c r="AE226" s="1"/>
  <c r="AE227" s="1"/>
  <c r="AE228" s="1"/>
  <c r="AE229" s="1"/>
  <c r="AE230" s="1"/>
  <c r="AE231" s="1"/>
  <c r="C6" i="89"/>
  <c r="C7"/>
  <c r="C8" s="1"/>
  <c r="C9" s="1"/>
  <c r="C10" s="1"/>
  <c r="C11" s="1"/>
  <c r="C12" s="1"/>
  <c r="C13" s="1"/>
  <c r="C14" s="1"/>
  <c r="C15" s="1"/>
  <c r="C16" s="1"/>
  <c r="C17" s="1"/>
  <c r="C18" s="1"/>
  <c r="C19" s="1"/>
  <c r="C20" s="1"/>
  <c r="C21" s="1"/>
  <c r="C22" s="1"/>
  <c r="C23" s="1"/>
  <c r="C24" s="1"/>
  <c r="C25" s="1"/>
  <c r="C26" s="1"/>
  <c r="C27" s="1"/>
  <c r="C28" s="1"/>
  <c r="A20" i="51"/>
  <c r="B20" s="1"/>
  <c r="A21"/>
  <c r="B21" s="1"/>
  <c r="A22"/>
  <c r="B22" s="1"/>
  <c r="A23"/>
  <c r="C32" i="89"/>
  <c r="C33" s="1"/>
  <c r="A32"/>
  <c r="A33"/>
  <c r="A34"/>
  <c r="A35"/>
  <c r="A36"/>
  <c r="A37"/>
  <c r="D58"/>
  <c r="D59" s="1"/>
  <c r="D60" s="1"/>
  <c r="D61" s="1"/>
  <c r="D62" s="1"/>
  <c r="D63" s="1"/>
  <c r="D64" s="1"/>
  <c r="D65" s="1"/>
  <c r="D66" s="1"/>
  <c r="D67" s="1"/>
  <c r="D68" s="1"/>
  <c r="D69" s="1"/>
  <c r="D70" s="1"/>
  <c r="D71" s="1"/>
  <c r="D72" s="1"/>
  <c r="D73" s="1"/>
  <c r="D74" s="1"/>
  <c r="D75" s="1"/>
  <c r="D76" s="1"/>
  <c r="D77" s="1"/>
  <c r="D78" s="1"/>
  <c r="D79" s="1"/>
  <c r="D80" s="1"/>
  <c r="A58"/>
  <c r="A59"/>
  <c r="A60"/>
  <c r="A61"/>
  <c r="A62"/>
  <c r="A63"/>
  <c r="D84"/>
  <c r="D85" s="1"/>
  <c r="A84"/>
  <c r="A85"/>
  <c r="A86"/>
  <c r="A87"/>
  <c r="A88"/>
  <c r="A89"/>
  <c r="D110"/>
  <c r="D111" s="1"/>
  <c r="D112" s="1"/>
  <c r="A110"/>
  <c r="A111"/>
  <c r="A112"/>
  <c r="A113"/>
  <c r="A114"/>
  <c r="A115"/>
  <c r="L152"/>
  <c r="L153" s="1"/>
  <c r="N156"/>
  <c r="O156" s="1"/>
  <c r="P156" s="1"/>
  <c r="Q156" s="1"/>
  <c r="R156" s="1"/>
  <c r="S156" s="1"/>
  <c r="T156" s="1"/>
  <c r="U156" s="1"/>
  <c r="V156" s="1"/>
  <c r="W156" s="1"/>
  <c r="X156" s="1"/>
  <c r="Y156" s="1"/>
  <c r="Z156" s="1"/>
  <c r="AA156" s="1"/>
  <c r="AB156" s="1"/>
  <c r="AC156" s="1"/>
  <c r="AD156" s="1"/>
  <c r="AE156" s="1"/>
  <c r="AF156" s="1"/>
  <c r="AG156" s="1"/>
  <c r="AH156" s="1"/>
  <c r="AI156" s="1"/>
  <c r="A14" i="51"/>
  <c r="B14"/>
  <c r="C6" i="79"/>
  <c r="C7" s="1"/>
  <c r="C8" s="1"/>
  <c r="C9" s="1"/>
  <c r="C10" s="1"/>
  <c r="C11" s="1"/>
  <c r="C12" s="1"/>
  <c r="C13" s="1"/>
  <c r="C14" s="1"/>
  <c r="C15" s="1"/>
  <c r="C16" s="1"/>
  <c r="C17" s="1"/>
  <c r="C18" s="1"/>
  <c r="C19" s="1"/>
  <c r="C20" s="1"/>
  <c r="C21" s="1"/>
  <c r="C22" s="1"/>
  <c r="C23" s="1"/>
  <c r="C24" s="1"/>
  <c r="C25" s="1"/>
  <c r="C26" s="1"/>
  <c r="C27" s="1"/>
  <c r="C28" s="1"/>
  <c r="C29" s="1"/>
  <c r="C30" s="1"/>
  <c r="C31" s="1"/>
  <c r="C32" s="1"/>
  <c r="C33" s="1"/>
  <c r="A6"/>
  <c r="A130" s="1"/>
  <c r="A15" i="51"/>
  <c r="B15" s="1"/>
  <c r="A7" i="79"/>
  <c r="A131" s="1"/>
  <c r="A16" i="51"/>
  <c r="B16" s="1"/>
  <c r="A8" i="79"/>
  <c r="A101" s="1"/>
  <c r="A17" i="51"/>
  <c r="A9" i="79"/>
  <c r="A40" s="1"/>
  <c r="A18" i="51"/>
  <c r="B18" s="1"/>
  <c r="A10" i="79"/>
  <c r="A134" s="1"/>
  <c r="A11"/>
  <c r="A42" s="1"/>
  <c r="A12"/>
  <c r="A43" s="1"/>
  <c r="A13"/>
  <c r="A75" s="1"/>
  <c r="A14"/>
  <c r="A107" s="1"/>
  <c r="A15"/>
  <c r="L16"/>
  <c r="A36"/>
  <c r="C37"/>
  <c r="C38" s="1"/>
  <c r="A44"/>
  <c r="D68"/>
  <c r="D69" s="1"/>
  <c r="D70" s="1"/>
  <c r="D71" s="1"/>
  <c r="D72" s="1"/>
  <c r="D73" s="1"/>
  <c r="D74" s="1"/>
  <c r="D75" s="1"/>
  <c r="D76" s="1"/>
  <c r="D77" s="1"/>
  <c r="D78" s="1"/>
  <c r="D79" s="1"/>
  <c r="D80" s="1"/>
  <c r="D81" s="1"/>
  <c r="D82" s="1"/>
  <c r="D83" s="1"/>
  <c r="D84" s="1"/>
  <c r="D85" s="1"/>
  <c r="D86" s="1"/>
  <c r="D87" s="1"/>
  <c r="D88" s="1"/>
  <c r="D89" s="1"/>
  <c r="D90" s="1"/>
  <c r="D91" s="1"/>
  <c r="D92" s="1"/>
  <c r="D93" s="1"/>
  <c r="D94" s="1"/>
  <c r="D95" s="1"/>
  <c r="A70"/>
  <c r="A71"/>
  <c r="D99"/>
  <c r="D100" s="1"/>
  <c r="D101" s="1"/>
  <c r="A102"/>
  <c r="D130"/>
  <c r="D131" s="1"/>
  <c r="D132" s="1"/>
  <c r="D133" s="1"/>
  <c r="D134" s="1"/>
  <c r="D135" s="1"/>
  <c r="D136" s="1"/>
  <c r="D137" s="1"/>
  <c r="D138" s="1"/>
  <c r="D139" s="1"/>
  <c r="D140" s="1"/>
  <c r="D141" s="1"/>
  <c r="D142" s="1"/>
  <c r="D143" s="1"/>
  <c r="D144" s="1"/>
  <c r="D145" s="1"/>
  <c r="D146" s="1"/>
  <c r="D147" s="1"/>
  <c r="D148" s="1"/>
  <c r="D149" s="1"/>
  <c r="D150" s="1"/>
  <c r="D151" s="1"/>
  <c r="D152" s="1"/>
  <c r="D153" s="1"/>
  <c r="D154" s="1"/>
  <c r="D155" s="1"/>
  <c r="D156" s="1"/>
  <c r="D157" s="1"/>
  <c r="A133"/>
  <c r="A136"/>
  <c r="A137"/>
  <c r="L177"/>
  <c r="L178" s="1"/>
  <c r="M181"/>
  <c r="N181" s="1"/>
  <c r="O181" s="1"/>
  <c r="P181" s="1"/>
  <c r="Q181" s="1"/>
  <c r="R181" s="1"/>
  <c r="S181" s="1"/>
  <c r="T181" s="1"/>
  <c r="U181" s="1"/>
  <c r="V181" s="1"/>
  <c r="W181" s="1"/>
  <c r="X181" s="1"/>
  <c r="Y181" s="1"/>
  <c r="Z181" s="1"/>
  <c r="AA181" s="1"/>
  <c r="AB181" s="1"/>
  <c r="AC181" s="1"/>
  <c r="AD181" s="1"/>
  <c r="AE181" s="1"/>
  <c r="AF181" s="1"/>
  <c r="AG181" s="1"/>
  <c r="AH181" s="1"/>
  <c r="AI181" s="1"/>
  <c r="AJ181" s="1"/>
  <c r="AK181" s="1"/>
  <c r="AL181" s="1"/>
  <c r="AM181" s="1"/>
  <c r="AN181" s="1"/>
  <c r="A5" i="51"/>
  <c r="C6"/>
  <c r="C7" s="1"/>
  <c r="C8" s="1"/>
  <c r="C9" s="1"/>
  <c r="C10" s="1"/>
  <c r="C11" s="1"/>
  <c r="C12" s="1"/>
  <c r="C13" s="1"/>
  <c r="C14" s="1"/>
  <c r="C15" s="1"/>
  <c r="C16" s="1"/>
  <c r="C17" s="1"/>
  <c r="C18" s="1"/>
  <c r="C19" s="1"/>
  <c r="C20" s="1"/>
  <c r="C21" s="1"/>
  <c r="C22" s="1"/>
  <c r="C23" s="1"/>
  <c r="C24" s="1"/>
  <c r="C25" s="1"/>
  <c r="C26" s="1"/>
  <c r="C27" s="1"/>
  <c r="C28" s="1"/>
  <c r="C29" s="1"/>
  <c r="C30" s="1"/>
  <c r="C31" s="1"/>
  <c r="C32" s="1"/>
  <c r="C33" s="1"/>
  <c r="C34" s="1"/>
  <c r="C35" s="1"/>
  <c r="C36" s="1"/>
  <c r="C37" s="1"/>
  <c r="C38" s="1"/>
  <c r="C39" s="1"/>
  <c r="C40" s="1"/>
  <c r="C41" s="1"/>
  <c r="C42" s="1"/>
  <c r="A6"/>
  <c r="A7"/>
  <c r="A8"/>
  <c r="B8" s="1"/>
  <c r="A9"/>
  <c r="B9" s="1"/>
  <c r="A10"/>
  <c r="A11"/>
  <c r="A12"/>
  <c r="B12" s="1"/>
  <c r="A13"/>
  <c r="B13" s="1"/>
  <c r="L15"/>
  <c r="C46"/>
  <c r="C47" s="1"/>
  <c r="C48" s="1"/>
  <c r="C49" s="1"/>
  <c r="C50" s="1"/>
  <c r="C51" s="1"/>
  <c r="C52" s="1"/>
  <c r="C53" s="1"/>
  <c r="C54" s="1"/>
  <c r="C55" s="1"/>
  <c r="C56" s="1"/>
  <c r="C57" s="1"/>
  <c r="C58" s="1"/>
  <c r="C59" s="1"/>
  <c r="C60" s="1"/>
  <c r="C61" s="1"/>
  <c r="C62" s="1"/>
  <c r="C63" s="1"/>
  <c r="C64" s="1"/>
  <c r="C65" s="1"/>
  <c r="C66" s="1"/>
  <c r="C67" s="1"/>
  <c r="C68" s="1"/>
  <c r="C69" s="1"/>
  <c r="C70" s="1"/>
  <c r="C71" s="1"/>
  <c r="C72" s="1"/>
  <c r="C73" s="1"/>
  <c r="C74" s="1"/>
  <c r="C75" s="1"/>
  <c r="C76" s="1"/>
  <c r="C77" s="1"/>
  <c r="C78" s="1"/>
  <c r="C79" s="1"/>
  <c r="C80" s="1"/>
  <c r="C81" s="1"/>
  <c r="C82" s="1"/>
  <c r="A48"/>
  <c r="A49"/>
  <c r="A52"/>
  <c r="A53"/>
  <c r="A54"/>
  <c r="A55"/>
  <c r="A56"/>
  <c r="A58"/>
  <c r="A59"/>
  <c r="A60"/>
  <c r="A61"/>
  <c r="A62"/>
  <c r="A64"/>
  <c r="A65"/>
  <c r="D86"/>
  <c r="D87" s="1"/>
  <c r="D88" s="1"/>
  <c r="D89" s="1"/>
  <c r="D90" s="1"/>
  <c r="D91" s="1"/>
  <c r="D92" s="1"/>
  <c r="D93" s="1"/>
  <c r="D94" s="1"/>
  <c r="D95" s="1"/>
  <c r="D96" s="1"/>
  <c r="D97" s="1"/>
  <c r="D98" s="1"/>
  <c r="D99" s="1"/>
  <c r="D100" s="1"/>
  <c r="D101" s="1"/>
  <c r="D102" s="1"/>
  <c r="D103" s="1"/>
  <c r="D104" s="1"/>
  <c r="A86"/>
  <c r="A88"/>
  <c r="A89"/>
  <c r="A92"/>
  <c r="A93"/>
  <c r="A94"/>
  <c r="A95"/>
  <c r="A96"/>
  <c r="A97"/>
  <c r="A98"/>
  <c r="A99"/>
  <c r="A100"/>
  <c r="A101"/>
  <c r="A102"/>
  <c r="A104"/>
  <c r="A105"/>
  <c r="A125"/>
  <c r="D126"/>
  <c r="E126" s="1"/>
  <c r="A126"/>
  <c r="A128"/>
  <c r="A130"/>
  <c r="A132"/>
  <c r="A133"/>
  <c r="A134"/>
  <c r="A135"/>
  <c r="A136"/>
  <c r="A137"/>
  <c r="A138"/>
  <c r="A139"/>
  <c r="A140"/>
  <c r="A141"/>
  <c r="A142"/>
  <c r="A144"/>
  <c r="A145"/>
  <c r="A165"/>
  <c r="D166"/>
  <c r="D167" s="1"/>
  <c r="D168" s="1"/>
  <c r="D169" s="1"/>
  <c r="D170" s="1"/>
  <c r="D171" s="1"/>
  <c r="D172" s="1"/>
  <c r="D173" s="1"/>
  <c r="D174" s="1"/>
  <c r="D175" s="1"/>
  <c r="D176" s="1"/>
  <c r="D177" s="1"/>
  <c r="D178" s="1"/>
  <c r="D179" s="1"/>
  <c r="D180" s="1"/>
  <c r="D181" s="1"/>
  <c r="D182" s="1"/>
  <c r="D183" s="1"/>
  <c r="D184" s="1"/>
  <c r="D185" s="1"/>
  <c r="D186" s="1"/>
  <c r="D187" s="1"/>
  <c r="D188" s="1"/>
  <c r="D189" s="1"/>
  <c r="D190" s="1"/>
  <c r="D191" s="1"/>
  <c r="D192" s="1"/>
  <c r="D193" s="1"/>
  <c r="D194" s="1"/>
  <c r="D195" s="1"/>
  <c r="D196" s="1"/>
  <c r="D197" s="1"/>
  <c r="D198" s="1"/>
  <c r="D199" s="1"/>
  <c r="D200" s="1"/>
  <c r="D201" s="1"/>
  <c r="D202" s="1"/>
  <c r="A166"/>
  <c r="A168"/>
  <c r="A170"/>
  <c r="A172"/>
  <c r="A173"/>
  <c r="A174"/>
  <c r="A175"/>
  <c r="A176"/>
  <c r="A178"/>
  <c r="A179"/>
  <c r="A180"/>
  <c r="A181"/>
  <c r="A182"/>
  <c r="A184"/>
  <c r="A185"/>
  <c r="L221"/>
  <c r="L222" s="1"/>
  <c r="K225"/>
  <c r="L225"/>
  <c r="M225" s="1"/>
  <c r="N225" s="1"/>
  <c r="O225" s="1"/>
  <c r="P225" s="1"/>
  <c r="Q225" s="1"/>
  <c r="R225" s="1"/>
  <c r="S225" s="1"/>
  <c r="T225" s="1"/>
  <c r="U225" s="1"/>
  <c r="V225" s="1"/>
  <c r="W225" s="1"/>
  <c r="X225" s="1"/>
  <c r="Y225" s="1"/>
  <c r="Z225" s="1"/>
  <c r="AA225" s="1"/>
  <c r="AB225" s="1"/>
  <c r="AC225" s="1"/>
  <c r="AD225" s="1"/>
  <c r="AE225" s="1"/>
  <c r="AF225" s="1"/>
  <c r="AG225" s="1"/>
  <c r="AH225" s="1"/>
  <c r="AI225" s="1"/>
  <c r="AJ225" s="1"/>
  <c r="AK225" s="1"/>
  <c r="AL225" s="1"/>
  <c r="AM225" s="1"/>
  <c r="AN225" s="1"/>
  <c r="AO225" s="1"/>
  <c r="AP225" s="1"/>
  <c r="AQ225" s="1"/>
  <c r="AR225" s="1"/>
  <c r="AS225" s="1"/>
  <c r="AT225" s="1"/>
  <c r="AU225" s="1"/>
  <c r="AV225" s="1"/>
  <c r="AW225" s="1"/>
  <c r="A19" i="48"/>
  <c r="B19"/>
  <c r="B10" i="78" s="1"/>
  <c r="A24" i="48"/>
  <c r="B24"/>
  <c r="A20"/>
  <c r="B20" s="1"/>
  <c r="A21"/>
  <c r="B21" s="1"/>
  <c r="A22"/>
  <c r="B22" s="1"/>
  <c r="A23"/>
  <c r="A14"/>
  <c r="B14" s="1"/>
  <c r="C6" i="78"/>
  <c r="C7" s="1"/>
  <c r="C8" s="1"/>
  <c r="C9" s="1"/>
  <c r="C10" s="1"/>
  <c r="C11" s="1"/>
  <c r="C12" s="1"/>
  <c r="C13" s="1"/>
  <c r="C14" s="1"/>
  <c r="C15" s="1"/>
  <c r="C16" s="1"/>
  <c r="C17" s="1"/>
  <c r="C18" s="1"/>
  <c r="C19" s="1"/>
  <c r="C20" s="1"/>
  <c r="C21" s="1"/>
  <c r="C22" s="1"/>
  <c r="C23" s="1"/>
  <c r="C24" s="1"/>
  <c r="C25" s="1"/>
  <c r="C26" s="1"/>
  <c r="C27" s="1"/>
  <c r="C28" s="1"/>
  <c r="C29" s="1"/>
  <c r="C30" s="1"/>
  <c r="C31" s="1"/>
  <c r="C32" s="1"/>
  <c r="C33" s="1"/>
  <c r="A6"/>
  <c r="A37" s="1"/>
  <c r="A15" i="48"/>
  <c r="B15" s="1"/>
  <c r="A7" i="78"/>
  <c r="A69" s="1"/>
  <c r="A16" i="48"/>
  <c r="B16" s="1"/>
  <c r="A8" i="78"/>
  <c r="A132" s="1"/>
  <c r="A17" i="48"/>
  <c r="B17" s="1"/>
  <c r="A9" i="78"/>
  <c r="A102" s="1"/>
  <c r="A18" i="48"/>
  <c r="B18" s="1"/>
  <c r="B9" i="78" s="1"/>
  <c r="A10"/>
  <c r="A103" s="1"/>
  <c r="A11"/>
  <c r="A104" s="1"/>
  <c r="A12"/>
  <c r="A105" s="1"/>
  <c r="A13"/>
  <c r="A75" s="1"/>
  <c r="A14"/>
  <c r="A76" s="1"/>
  <c r="A15"/>
  <c r="A46" s="1"/>
  <c r="L16"/>
  <c r="A36"/>
  <c r="C37"/>
  <c r="D68"/>
  <c r="D69" s="1"/>
  <c r="D70" s="1"/>
  <c r="D71" s="1"/>
  <c r="D72" s="1"/>
  <c r="D73" s="1"/>
  <c r="D74" s="1"/>
  <c r="D75" s="1"/>
  <c r="D76" s="1"/>
  <c r="D77" s="1"/>
  <c r="D78" s="1"/>
  <c r="D79" s="1"/>
  <c r="D80" s="1"/>
  <c r="D81" s="1"/>
  <c r="D82" s="1"/>
  <c r="D83" s="1"/>
  <c r="D84" s="1"/>
  <c r="D85" s="1"/>
  <c r="D86" s="1"/>
  <c r="D87" s="1"/>
  <c r="D88" s="1"/>
  <c r="D89" s="1"/>
  <c r="D90" s="1"/>
  <c r="D91" s="1"/>
  <c r="D92" s="1"/>
  <c r="D93" s="1"/>
  <c r="D94" s="1"/>
  <c r="D95" s="1"/>
  <c r="D99"/>
  <c r="E99" s="1"/>
  <c r="D130"/>
  <c r="L177"/>
  <c r="L178" s="1"/>
  <c r="M181"/>
  <c r="N181" s="1"/>
  <c r="O181" s="1"/>
  <c r="P181" s="1"/>
  <c r="Q181" s="1"/>
  <c r="R181" s="1"/>
  <c r="S181" s="1"/>
  <c r="T181" s="1"/>
  <c r="U181" s="1"/>
  <c r="V181" s="1"/>
  <c r="W181" s="1"/>
  <c r="X181" s="1"/>
  <c r="Y181" s="1"/>
  <c r="Z181" s="1"/>
  <c r="AA181" s="1"/>
  <c r="AB181" s="1"/>
  <c r="AC181" s="1"/>
  <c r="AD181" s="1"/>
  <c r="AE181" s="1"/>
  <c r="AF181" s="1"/>
  <c r="AG181" s="1"/>
  <c r="AH181" s="1"/>
  <c r="AI181" s="1"/>
  <c r="AJ181" s="1"/>
  <c r="AK181" s="1"/>
  <c r="AL181" s="1"/>
  <c r="AM181" s="1"/>
  <c r="AN181" s="1"/>
  <c r="AO181" s="1"/>
  <c r="A5" i="48"/>
  <c r="A45"/>
  <c r="C6"/>
  <c r="C7"/>
  <c r="C8" s="1"/>
  <c r="C9" s="1"/>
  <c r="C10" s="1"/>
  <c r="C11" s="1"/>
  <c r="C12" s="1"/>
  <c r="C13" s="1"/>
  <c r="C14" s="1"/>
  <c r="C15" s="1"/>
  <c r="C16" s="1"/>
  <c r="C17" s="1"/>
  <c r="C18" s="1"/>
  <c r="C19" s="1"/>
  <c r="C20" s="1"/>
  <c r="C21" s="1"/>
  <c r="C22" s="1"/>
  <c r="C23" s="1"/>
  <c r="C24" s="1"/>
  <c r="C25" s="1"/>
  <c r="C26" s="1"/>
  <c r="C27" s="1"/>
  <c r="C28" s="1"/>
  <c r="C29" s="1"/>
  <c r="C30" s="1"/>
  <c r="C31" s="1"/>
  <c r="C32" s="1"/>
  <c r="C33" s="1"/>
  <c r="C34" s="1"/>
  <c r="C35" s="1"/>
  <c r="C36" s="1"/>
  <c r="C37" s="1"/>
  <c r="C38" s="1"/>
  <c r="C39" s="1"/>
  <c r="C40" s="1"/>
  <c r="C41" s="1"/>
  <c r="C42" s="1"/>
  <c r="A6"/>
  <c r="B6" s="1"/>
  <c r="A7"/>
  <c r="B7" s="1"/>
  <c r="A8"/>
  <c r="A9"/>
  <c r="A49" s="1"/>
  <c r="A10"/>
  <c r="B10" s="1"/>
  <c r="A11"/>
  <c r="B11" s="1"/>
  <c r="A12"/>
  <c r="B12" s="1"/>
  <c r="A13"/>
  <c r="A53"/>
  <c r="L15"/>
  <c r="B58"/>
  <c r="C46"/>
  <c r="C47" s="1"/>
  <c r="C48" s="1"/>
  <c r="C49" s="1"/>
  <c r="C50" s="1"/>
  <c r="C51" s="1"/>
  <c r="C52" s="1"/>
  <c r="C53" s="1"/>
  <c r="C54" s="1"/>
  <c r="C55" s="1"/>
  <c r="C56" s="1"/>
  <c r="C57" s="1"/>
  <c r="C58" s="1"/>
  <c r="C59" s="1"/>
  <c r="C60" s="1"/>
  <c r="C61" s="1"/>
  <c r="C62" s="1"/>
  <c r="C63" s="1"/>
  <c r="C64" s="1"/>
  <c r="C65" s="1"/>
  <c r="C66" s="1"/>
  <c r="C67" s="1"/>
  <c r="C68" s="1"/>
  <c r="C69" s="1"/>
  <c r="C70" s="1"/>
  <c r="C71" s="1"/>
  <c r="C72" s="1"/>
  <c r="C73" s="1"/>
  <c r="C74" s="1"/>
  <c r="C75" s="1"/>
  <c r="C76" s="1"/>
  <c r="C77" s="1"/>
  <c r="C78" s="1"/>
  <c r="C79" s="1"/>
  <c r="C80" s="1"/>
  <c r="C81" s="1"/>
  <c r="C82" s="1"/>
  <c r="A47"/>
  <c r="A55"/>
  <c r="A56"/>
  <c r="A57"/>
  <c r="A58"/>
  <c r="A59"/>
  <c r="A60"/>
  <c r="A61"/>
  <c r="A62"/>
  <c r="A64"/>
  <c r="A65"/>
  <c r="D86"/>
  <c r="D87"/>
  <c r="D88" s="1"/>
  <c r="D89" s="1"/>
  <c r="D90" s="1"/>
  <c r="D91" s="1"/>
  <c r="D92" s="1"/>
  <c r="D93" s="1"/>
  <c r="D94" s="1"/>
  <c r="D95" s="1"/>
  <c r="D96" s="1"/>
  <c r="D97" s="1"/>
  <c r="D98" s="1"/>
  <c r="D99" s="1"/>
  <c r="D100" s="1"/>
  <c r="D101" s="1"/>
  <c r="D102" s="1"/>
  <c r="D103" s="1"/>
  <c r="D104" s="1"/>
  <c r="D105" s="1"/>
  <c r="D106" s="1"/>
  <c r="D107" s="1"/>
  <c r="D108" s="1"/>
  <c r="D109" s="1"/>
  <c r="D110" s="1"/>
  <c r="D111" s="1"/>
  <c r="D112" s="1"/>
  <c r="D113" s="1"/>
  <c r="D114" s="1"/>
  <c r="D115" s="1"/>
  <c r="D116" s="1"/>
  <c r="D117" s="1"/>
  <c r="D118" s="1"/>
  <c r="D119" s="1"/>
  <c r="D120" s="1"/>
  <c r="D121" s="1"/>
  <c r="D122" s="1"/>
  <c r="A86"/>
  <c r="A87"/>
  <c r="A89"/>
  <c r="A90"/>
  <c r="A91"/>
  <c r="A93"/>
  <c r="A94"/>
  <c r="A95"/>
  <c r="A96"/>
  <c r="A97"/>
  <c r="A98"/>
  <c r="B98"/>
  <c r="C98" s="1"/>
  <c r="A99"/>
  <c r="B99"/>
  <c r="C99" s="1"/>
  <c r="A100"/>
  <c r="A101"/>
  <c r="A102"/>
  <c r="A104"/>
  <c r="A105"/>
  <c r="A125"/>
  <c r="B138"/>
  <c r="B139"/>
  <c r="D126"/>
  <c r="D127" s="1"/>
  <c r="A126"/>
  <c r="A127"/>
  <c r="A129"/>
  <c r="A130"/>
  <c r="A131"/>
  <c r="A133"/>
  <c r="A134"/>
  <c r="A135"/>
  <c r="A136"/>
  <c r="A137"/>
  <c r="A138"/>
  <c r="A139"/>
  <c r="A140"/>
  <c r="A141"/>
  <c r="A142"/>
  <c r="A143"/>
  <c r="A144"/>
  <c r="A145"/>
  <c r="B178"/>
  <c r="Y223" s="1"/>
  <c r="B179"/>
  <c r="D166"/>
  <c r="D167" s="1"/>
  <c r="D168" s="1"/>
  <c r="A167"/>
  <c r="A169"/>
  <c r="A171"/>
  <c r="A173"/>
  <c r="A174"/>
  <c r="A175"/>
  <c r="A176"/>
  <c r="A177"/>
  <c r="A178"/>
  <c r="A179"/>
  <c r="A180"/>
  <c r="A181"/>
  <c r="A182"/>
  <c r="A183"/>
  <c r="A184"/>
  <c r="A185"/>
  <c r="L221"/>
  <c r="L222"/>
  <c r="Z223"/>
  <c r="B6" i="4"/>
  <c r="C7" s="1"/>
  <c r="B7"/>
  <c r="B8"/>
  <c r="C8" s="1"/>
  <c r="B9"/>
  <c r="B10"/>
  <c r="B11"/>
  <c r="B12"/>
  <c r="C12" s="1"/>
  <c r="B13"/>
  <c r="B14"/>
  <c r="E7"/>
  <c r="G7"/>
  <c r="I7"/>
  <c r="K7"/>
  <c r="M7"/>
  <c r="O7"/>
  <c r="Q7"/>
  <c r="S7"/>
  <c r="U7"/>
  <c r="W7"/>
  <c r="E8"/>
  <c r="G8"/>
  <c r="I8"/>
  <c r="K8"/>
  <c r="M8"/>
  <c r="O8"/>
  <c r="Q8"/>
  <c r="S8"/>
  <c r="U8"/>
  <c r="W8"/>
  <c r="C9"/>
  <c r="E9"/>
  <c r="G9"/>
  <c r="I9"/>
  <c r="K9"/>
  <c r="M9"/>
  <c r="O9"/>
  <c r="Q9"/>
  <c r="S9"/>
  <c r="U9"/>
  <c r="W9"/>
  <c r="E10"/>
  <c r="G10"/>
  <c r="I10"/>
  <c r="K10"/>
  <c r="M10"/>
  <c r="O10"/>
  <c r="Q10"/>
  <c r="S10"/>
  <c r="U10"/>
  <c r="W10"/>
  <c r="E11"/>
  <c r="G11"/>
  <c r="I11"/>
  <c r="K11"/>
  <c r="M11"/>
  <c r="O11"/>
  <c r="Q11"/>
  <c r="S11"/>
  <c r="U11"/>
  <c r="W11"/>
  <c r="E12"/>
  <c r="G12"/>
  <c r="I12"/>
  <c r="K12"/>
  <c r="M12"/>
  <c r="O12"/>
  <c r="Q12"/>
  <c r="S12"/>
  <c r="U12"/>
  <c r="W12"/>
  <c r="C13"/>
  <c r="E13"/>
  <c r="G13"/>
  <c r="I13"/>
  <c r="K13"/>
  <c r="M13"/>
  <c r="O13"/>
  <c r="Q13"/>
  <c r="S13"/>
  <c r="U13"/>
  <c r="W13"/>
  <c r="E14"/>
  <c r="G14"/>
  <c r="I14"/>
  <c r="K14"/>
  <c r="M14"/>
  <c r="O14"/>
  <c r="Q14"/>
  <c r="S14"/>
  <c r="U14"/>
  <c r="W14"/>
  <c r="E15"/>
  <c r="G15"/>
  <c r="I15"/>
  <c r="K15"/>
  <c r="M15"/>
  <c r="O15"/>
  <c r="Q15"/>
  <c r="S15"/>
  <c r="U15"/>
  <c r="W15"/>
  <c r="C16"/>
  <c r="E16"/>
  <c r="G16"/>
  <c r="I16"/>
  <c r="K16"/>
  <c r="M16"/>
  <c r="O16"/>
  <c r="Q16"/>
  <c r="S16"/>
  <c r="U16"/>
  <c r="W16"/>
  <c r="C17"/>
  <c r="E17"/>
  <c r="G17"/>
  <c r="I17"/>
  <c r="K17"/>
  <c r="M17"/>
  <c r="O17"/>
  <c r="Q17"/>
  <c r="S17"/>
  <c r="U17"/>
  <c r="W17"/>
  <c r="C18"/>
  <c r="E18"/>
  <c r="G18"/>
  <c r="I18"/>
  <c r="K18"/>
  <c r="M18"/>
  <c r="O18"/>
  <c r="Q18"/>
  <c r="S18"/>
  <c r="U18"/>
  <c r="W18"/>
  <c r="C19"/>
  <c r="E19"/>
  <c r="G19"/>
  <c r="I19"/>
  <c r="K19"/>
  <c r="M19"/>
  <c r="O19"/>
  <c r="Q19"/>
  <c r="S19"/>
  <c r="U19"/>
  <c r="W19"/>
  <c r="C20"/>
  <c r="E20"/>
  <c r="G20"/>
  <c r="I20"/>
  <c r="K20"/>
  <c r="M20"/>
  <c r="O20"/>
  <c r="Q20"/>
  <c r="S20"/>
  <c r="U20"/>
  <c r="W20"/>
  <c r="C21"/>
  <c r="E21"/>
  <c r="G21"/>
  <c r="I21"/>
  <c r="K21"/>
  <c r="M21"/>
  <c r="O21"/>
  <c r="Q21"/>
  <c r="S21"/>
  <c r="U21"/>
  <c r="W21"/>
  <c r="C22"/>
  <c r="E22"/>
  <c r="G22"/>
  <c r="G29" s="1"/>
  <c r="I22"/>
  <c r="K22"/>
  <c r="M22"/>
  <c r="O22"/>
  <c r="Q22"/>
  <c r="S22"/>
  <c r="U22"/>
  <c r="W22"/>
  <c r="C23"/>
  <c r="E23"/>
  <c r="G23"/>
  <c r="I23"/>
  <c r="K23"/>
  <c r="M23"/>
  <c r="O23"/>
  <c r="Q23"/>
  <c r="Q29" s="1"/>
  <c r="S23"/>
  <c r="U23"/>
  <c r="W23"/>
  <c r="C24"/>
  <c r="E24"/>
  <c r="G24"/>
  <c r="I24"/>
  <c r="K24"/>
  <c r="M24"/>
  <c r="O24"/>
  <c r="Q24"/>
  <c r="S24"/>
  <c r="U24"/>
  <c r="W24"/>
  <c r="C25"/>
  <c r="E25"/>
  <c r="G25"/>
  <c r="I25"/>
  <c r="K25"/>
  <c r="M25"/>
  <c r="O25"/>
  <c r="Q25"/>
  <c r="S25"/>
  <c r="U25"/>
  <c r="W25"/>
  <c r="G28"/>
  <c r="D39"/>
  <c r="E39"/>
  <c r="I39"/>
  <c r="D40"/>
  <c r="E40"/>
  <c r="D41"/>
  <c r="E41"/>
  <c r="I41" s="1"/>
  <c r="D42"/>
  <c r="E42"/>
  <c r="I42" s="1"/>
  <c r="D43"/>
  <c r="E43"/>
  <c r="I43"/>
  <c r="D44"/>
  <c r="E44"/>
  <c r="I44" s="1"/>
  <c r="D45"/>
  <c r="E45"/>
  <c r="D46"/>
  <c r="E46"/>
  <c r="I46" s="1"/>
  <c r="D47"/>
  <c r="E47"/>
  <c r="I47"/>
  <c r="D48"/>
  <c r="E48"/>
  <c r="I59" s="1"/>
  <c r="D49"/>
  <c r="E49"/>
  <c r="H49" s="1"/>
  <c r="D50"/>
  <c r="E50"/>
  <c r="D51"/>
  <c r="E51"/>
  <c r="D52"/>
  <c r="E52"/>
  <c r="H52" s="1"/>
  <c r="D53"/>
  <c r="E53"/>
  <c r="D54"/>
  <c r="E54"/>
  <c r="G54" s="1"/>
  <c r="D55"/>
  <c r="E55"/>
  <c r="I55" s="1"/>
  <c r="G55"/>
  <c r="D56"/>
  <c r="E56"/>
  <c r="G56" s="1"/>
  <c r="H56"/>
  <c r="I56"/>
  <c r="D57"/>
  <c r="E57"/>
  <c r="G57" s="1"/>
  <c r="I57"/>
  <c r="C59"/>
  <c r="B8" i="78"/>
  <c r="B97" i="48"/>
  <c r="C97"/>
  <c r="B137"/>
  <c r="B177"/>
  <c r="X223" s="1"/>
  <c r="B57"/>
  <c r="B64"/>
  <c r="B184"/>
  <c r="AE223" s="1"/>
  <c r="AE226" s="1"/>
  <c r="AE227" s="1"/>
  <c r="AE228" s="1"/>
  <c r="AE229" s="1"/>
  <c r="AE230" s="1"/>
  <c r="AE231" s="1"/>
  <c r="E85" i="89"/>
  <c r="D86"/>
  <c r="C34"/>
  <c r="C35" s="1"/>
  <c r="C36" s="1"/>
  <c r="C37" s="1"/>
  <c r="C38" s="1"/>
  <c r="C39" s="1"/>
  <c r="C40" s="1"/>
  <c r="C41" s="1"/>
  <c r="C42" s="1"/>
  <c r="C43" s="1"/>
  <c r="C44" s="1"/>
  <c r="C45" s="1"/>
  <c r="C46" s="1"/>
  <c r="C47" s="1"/>
  <c r="C48" s="1"/>
  <c r="C49" s="1"/>
  <c r="C50" s="1"/>
  <c r="C51" s="1"/>
  <c r="C52" s="1"/>
  <c r="C53" s="1"/>
  <c r="C54" s="1"/>
  <c r="B130" i="54"/>
  <c r="B7" i="80"/>
  <c r="B56" i="54"/>
  <c r="B96"/>
  <c r="C96" s="1"/>
  <c r="B136"/>
  <c r="B176"/>
  <c r="W223" s="1"/>
  <c r="H57" i="4"/>
  <c r="F56"/>
  <c r="H55"/>
  <c r="F54"/>
  <c r="I49"/>
  <c r="A170" i="48"/>
  <c r="A166"/>
  <c r="A165"/>
  <c r="L225" s="1"/>
  <c r="M225" s="1"/>
  <c r="N225" s="1"/>
  <c r="O225" s="1"/>
  <c r="P225" s="1"/>
  <c r="Q225" s="1"/>
  <c r="R225" s="1"/>
  <c r="S225" s="1"/>
  <c r="T225" s="1"/>
  <c r="U225" s="1"/>
  <c r="V225" s="1"/>
  <c r="W225" s="1"/>
  <c r="X225" s="1"/>
  <c r="Y225" s="1"/>
  <c r="Z225" s="1"/>
  <c r="AA225" s="1"/>
  <c r="AB225" s="1"/>
  <c r="AC225" s="1"/>
  <c r="AD225" s="1"/>
  <c r="AE225" s="1"/>
  <c r="AF225" s="1"/>
  <c r="AG225" s="1"/>
  <c r="AH225" s="1"/>
  <c r="AI225" s="1"/>
  <c r="AJ225" s="1"/>
  <c r="AK225" s="1"/>
  <c r="AL225" s="1"/>
  <c r="AM225" s="1"/>
  <c r="AN225" s="1"/>
  <c r="AO225" s="1"/>
  <c r="AP225" s="1"/>
  <c r="AQ225" s="1"/>
  <c r="AR225" s="1"/>
  <c r="AS225" s="1"/>
  <c r="AT225" s="1"/>
  <c r="AU225" s="1"/>
  <c r="AV225" s="1"/>
  <c r="AW225" s="1"/>
  <c r="AX225" s="1"/>
  <c r="A133" i="78"/>
  <c r="A131"/>
  <c r="A38"/>
  <c r="B10" i="51"/>
  <c r="A50"/>
  <c r="C39" i="79"/>
  <c r="C40" s="1"/>
  <c r="C41" s="1"/>
  <c r="C42" s="1"/>
  <c r="C43" s="1"/>
  <c r="C44" s="1"/>
  <c r="C45" s="1"/>
  <c r="C46" s="1"/>
  <c r="C47" s="1"/>
  <c r="C48" s="1"/>
  <c r="C49" s="1"/>
  <c r="C50" s="1"/>
  <c r="C51" s="1"/>
  <c r="C52" s="1"/>
  <c r="C53" s="1"/>
  <c r="C54" s="1"/>
  <c r="C55" s="1"/>
  <c r="C56" s="1"/>
  <c r="C57" s="1"/>
  <c r="C58" s="1"/>
  <c r="C59" s="1"/>
  <c r="C60" s="1"/>
  <c r="C61" s="1"/>
  <c r="C62" s="1"/>
  <c r="C63" s="1"/>
  <c r="C64" s="1"/>
  <c r="D102" i="80"/>
  <c r="E101"/>
  <c r="B138" i="54"/>
  <c r="B6" i="51"/>
  <c r="A46"/>
  <c r="A45"/>
  <c r="A85"/>
  <c r="B5"/>
  <c r="E101" i="79"/>
  <c r="D102"/>
  <c r="B12"/>
  <c r="B61" i="51"/>
  <c r="B101"/>
  <c r="C101" s="1"/>
  <c r="B141"/>
  <c r="B181"/>
  <c r="AB223"/>
  <c r="B10" i="79"/>
  <c r="B126" i="54"/>
  <c r="B166"/>
  <c r="M223" s="1"/>
  <c r="B86"/>
  <c r="C86"/>
  <c r="B46"/>
  <c r="F57" i="4"/>
  <c r="F55"/>
  <c r="F53"/>
  <c r="G49"/>
  <c r="H47"/>
  <c r="H46"/>
  <c r="H44"/>
  <c r="I28"/>
  <c r="E126" i="48"/>
  <c r="B91"/>
  <c r="C91" s="1"/>
  <c r="A50"/>
  <c r="A46"/>
  <c r="B5"/>
  <c r="D131" i="78"/>
  <c r="D132" s="1"/>
  <c r="D133" s="1"/>
  <c r="D134" s="1"/>
  <c r="D135" s="1"/>
  <c r="D136" s="1"/>
  <c r="D137" s="1"/>
  <c r="D138" s="1"/>
  <c r="D139" s="1"/>
  <c r="D140" s="1"/>
  <c r="D141" s="1"/>
  <c r="D142" s="1"/>
  <c r="D143" s="1"/>
  <c r="D144" s="1"/>
  <c r="D145" s="1"/>
  <c r="D146" s="1"/>
  <c r="D147" s="1"/>
  <c r="D148" s="1"/>
  <c r="D149" s="1"/>
  <c r="D150" s="1"/>
  <c r="D151" s="1"/>
  <c r="D152" s="1"/>
  <c r="D153" s="1"/>
  <c r="D154" s="1"/>
  <c r="D155" s="1"/>
  <c r="D156" s="1"/>
  <c r="D157" s="1"/>
  <c r="C38"/>
  <c r="C39" s="1"/>
  <c r="C40" s="1"/>
  <c r="C41" s="1"/>
  <c r="C42" s="1"/>
  <c r="C43" s="1"/>
  <c r="C44" s="1"/>
  <c r="C45" s="1"/>
  <c r="C46" s="1"/>
  <c r="C47" s="1"/>
  <c r="C48" s="1"/>
  <c r="C49" s="1"/>
  <c r="C50" s="1"/>
  <c r="C51" s="1"/>
  <c r="C52" s="1"/>
  <c r="C53" s="1"/>
  <c r="C54" s="1"/>
  <c r="C55" s="1"/>
  <c r="C56" s="1"/>
  <c r="C57" s="1"/>
  <c r="C58" s="1"/>
  <c r="C59" s="1"/>
  <c r="C60" s="1"/>
  <c r="C61" s="1"/>
  <c r="C62" s="1"/>
  <c r="C63" s="1"/>
  <c r="C64" s="1"/>
  <c r="A90" i="51"/>
  <c r="B53"/>
  <c r="B93"/>
  <c r="C93" s="1"/>
  <c r="B133"/>
  <c r="B173"/>
  <c r="T223"/>
  <c r="B15" i="79"/>
  <c r="B64" i="51"/>
  <c r="E5"/>
  <c r="B104"/>
  <c r="B144"/>
  <c r="E6" i="54"/>
  <c r="B125"/>
  <c r="B45"/>
  <c r="B85"/>
  <c r="A85" i="48"/>
  <c r="C35" i="90"/>
  <c r="C36"/>
  <c r="C37" s="1"/>
  <c r="C38" s="1"/>
  <c r="C39" s="1"/>
  <c r="C40" s="1"/>
  <c r="C41" s="1"/>
  <c r="C42" s="1"/>
  <c r="C43" s="1"/>
  <c r="C44" s="1"/>
  <c r="C45" s="1"/>
  <c r="C46" s="1"/>
  <c r="C47" s="1"/>
  <c r="C48" s="1"/>
  <c r="C49" s="1"/>
  <c r="C50" s="1"/>
  <c r="C51" s="1"/>
  <c r="C52" s="1"/>
  <c r="C53" s="1"/>
  <c r="C54" s="1"/>
  <c r="D128" i="45"/>
  <c r="E127"/>
  <c r="B170"/>
  <c r="Q223" s="1"/>
  <c r="D132" i="80"/>
  <c r="D133"/>
  <c r="D134"/>
  <c r="D135" s="1"/>
  <c r="D136" s="1"/>
  <c r="D137" s="1"/>
  <c r="D138" s="1"/>
  <c r="D139" s="1"/>
  <c r="D140" s="1"/>
  <c r="D141" s="1"/>
  <c r="D142" s="1"/>
  <c r="D143" s="1"/>
  <c r="D144" s="1"/>
  <c r="D145" s="1"/>
  <c r="D146" s="1"/>
  <c r="D147" s="1"/>
  <c r="D148" s="1"/>
  <c r="D149" s="1"/>
  <c r="D150" s="1"/>
  <c r="D151" s="1"/>
  <c r="D152" s="1"/>
  <c r="D153" s="1"/>
  <c r="D154" s="1"/>
  <c r="D155" s="1"/>
  <c r="D156" s="1"/>
  <c r="D157" s="1"/>
  <c r="E100"/>
  <c r="D112" i="90"/>
  <c r="D113"/>
  <c r="D114" s="1"/>
  <c r="D115" s="1"/>
  <c r="D116" s="1"/>
  <c r="D117" s="1"/>
  <c r="D118" s="1"/>
  <c r="D119" s="1"/>
  <c r="D120" s="1"/>
  <c r="D121" s="1"/>
  <c r="D122" s="1"/>
  <c r="D123" s="1"/>
  <c r="D124" s="1"/>
  <c r="D125" s="1"/>
  <c r="D126" s="1"/>
  <c r="D127" s="1"/>
  <c r="D128" s="1"/>
  <c r="D129" s="1"/>
  <c r="D130" s="1"/>
  <c r="D131" s="1"/>
  <c r="D132" s="1"/>
  <c r="D112" i="91"/>
  <c r="D113"/>
  <c r="D114" s="1"/>
  <c r="D115" s="1"/>
  <c r="D116" s="1"/>
  <c r="D117" s="1"/>
  <c r="D118" s="1"/>
  <c r="D119" s="1"/>
  <c r="D120" s="1"/>
  <c r="D121" s="1"/>
  <c r="D122" s="1"/>
  <c r="D123" s="1"/>
  <c r="D124" s="1"/>
  <c r="D125" s="1"/>
  <c r="D126" s="1"/>
  <c r="D127" s="1"/>
  <c r="D128" s="1"/>
  <c r="D129" s="1"/>
  <c r="D130" s="1"/>
  <c r="D131" s="1"/>
  <c r="D132" s="1"/>
  <c r="B10" i="81"/>
  <c r="B59" i="45"/>
  <c r="B169" i="57"/>
  <c r="P223" s="1"/>
  <c r="E100" i="79"/>
  <c r="D113" i="89"/>
  <c r="E84"/>
  <c r="D168" i="54"/>
  <c r="D169"/>
  <c r="D170" s="1"/>
  <c r="D171" s="1"/>
  <c r="D172" s="1"/>
  <c r="D173" s="1"/>
  <c r="D174" s="1"/>
  <c r="D175" s="1"/>
  <c r="D176" s="1"/>
  <c r="D177" s="1"/>
  <c r="D178" s="1"/>
  <c r="D179" s="1"/>
  <c r="D180" s="1"/>
  <c r="D181" s="1"/>
  <c r="D182" s="1"/>
  <c r="D183" s="1"/>
  <c r="D184" s="1"/>
  <c r="D185" s="1"/>
  <c r="D186" s="1"/>
  <c r="D187" s="1"/>
  <c r="D188" s="1"/>
  <c r="D189" s="1"/>
  <c r="D190" s="1"/>
  <c r="D191" s="1"/>
  <c r="D192" s="1"/>
  <c r="D193" s="1"/>
  <c r="D194" s="1"/>
  <c r="D195" s="1"/>
  <c r="D196" s="1"/>
  <c r="D197" s="1"/>
  <c r="D198" s="1"/>
  <c r="D199" s="1"/>
  <c r="D200" s="1"/>
  <c r="D201" s="1"/>
  <c r="D202" s="1"/>
  <c r="B168"/>
  <c r="O223" s="1"/>
  <c r="A131"/>
  <c r="A91"/>
  <c r="A87"/>
  <c r="C47"/>
  <c r="B11"/>
  <c r="B7"/>
  <c r="B46" i="45"/>
  <c r="B126"/>
  <c r="B166"/>
  <c r="M223" s="1"/>
  <c r="B86"/>
  <c r="C86" s="1"/>
  <c r="E127" i="57"/>
  <c r="A132" i="79"/>
  <c r="B173" i="54"/>
  <c r="T223"/>
  <c r="B169"/>
  <c r="P223" s="1"/>
  <c r="B133"/>
  <c r="B129"/>
  <c r="B88"/>
  <c r="C88" s="1"/>
  <c r="A50"/>
  <c r="A46"/>
  <c r="B52" i="45"/>
  <c r="B137"/>
  <c r="B8" i="81"/>
  <c r="B97" i="45"/>
  <c r="C97" s="1"/>
  <c r="B177"/>
  <c r="X223"/>
  <c r="B134"/>
  <c r="C35" i="91"/>
  <c r="C36" s="1"/>
  <c r="C37" s="1"/>
  <c r="C38" s="1"/>
  <c r="C39" s="1"/>
  <c r="C40" s="1"/>
  <c r="C41" s="1"/>
  <c r="C42" s="1"/>
  <c r="C43" s="1"/>
  <c r="C44" s="1"/>
  <c r="C45" s="1"/>
  <c r="C46" s="1"/>
  <c r="C47" s="1"/>
  <c r="C48" s="1"/>
  <c r="C49" s="1"/>
  <c r="C50" s="1"/>
  <c r="C51" s="1"/>
  <c r="C52" s="1"/>
  <c r="C53" s="1"/>
  <c r="C54" s="1"/>
  <c r="B62" i="45"/>
  <c r="B13" i="81"/>
  <c r="B142" i="45"/>
  <c r="B182"/>
  <c r="AC223" s="1"/>
  <c r="B102"/>
  <c r="C102" s="1"/>
  <c r="C77" i="82"/>
  <c r="A167" i="54"/>
  <c r="E127" i="42"/>
  <c r="C25"/>
  <c r="C26"/>
  <c r="C27"/>
  <c r="C28" s="1"/>
  <c r="C29" s="1"/>
  <c r="C30" s="1"/>
  <c r="C31" s="1"/>
  <c r="C32" s="1"/>
  <c r="C33" s="1"/>
  <c r="C34" s="1"/>
  <c r="C35" s="1"/>
  <c r="C36" s="1"/>
  <c r="C37" s="1"/>
  <c r="C38" s="1"/>
  <c r="C39" s="1"/>
  <c r="C40" s="1"/>
  <c r="C41" s="1"/>
  <c r="C42" s="1"/>
  <c r="B9" i="83"/>
  <c r="B178" i="42"/>
  <c r="Y223" s="1"/>
  <c r="B98"/>
  <c r="C98" s="1"/>
  <c r="B138"/>
  <c r="B58"/>
  <c r="U223"/>
  <c r="B54"/>
  <c r="E126" i="45"/>
  <c r="B91"/>
  <c r="C91"/>
  <c r="B87"/>
  <c r="C87" s="1"/>
  <c r="A52"/>
  <c r="A50"/>
  <c r="A48"/>
  <c r="A46"/>
  <c r="C48"/>
  <c r="C49"/>
  <c r="C50"/>
  <c r="C51" s="1"/>
  <c r="C52" s="1"/>
  <c r="C53" s="1"/>
  <c r="C54" s="1"/>
  <c r="C55" s="1"/>
  <c r="C56" s="1"/>
  <c r="C57" s="1"/>
  <c r="C58" s="1"/>
  <c r="C59" s="1"/>
  <c r="C60" s="1"/>
  <c r="C61" s="1"/>
  <c r="C62" s="1"/>
  <c r="C63" s="1"/>
  <c r="C64" s="1"/>
  <c r="C65" s="1"/>
  <c r="C66" s="1"/>
  <c r="C67" s="1"/>
  <c r="C68" s="1"/>
  <c r="C69" s="1"/>
  <c r="C70" s="1"/>
  <c r="C71" s="1"/>
  <c r="C72" s="1"/>
  <c r="C73" s="1"/>
  <c r="C74" s="1"/>
  <c r="C75" s="1"/>
  <c r="C76" s="1"/>
  <c r="C77" s="1"/>
  <c r="C78" s="1"/>
  <c r="C79" s="1"/>
  <c r="C80" s="1"/>
  <c r="C81" s="1"/>
  <c r="C82" s="1"/>
  <c r="B5"/>
  <c r="A133" i="57"/>
  <c r="B128"/>
  <c r="A48"/>
  <c r="B51"/>
  <c r="D100" i="82"/>
  <c r="E99"/>
  <c r="D133" i="83"/>
  <c r="D134"/>
  <c r="D135" s="1"/>
  <c r="D136" s="1"/>
  <c r="D137" s="1"/>
  <c r="D138" s="1"/>
  <c r="D139" s="1"/>
  <c r="D140" s="1"/>
  <c r="D141" s="1"/>
  <c r="D142" s="1"/>
  <c r="D143" s="1"/>
  <c r="D144" s="1"/>
  <c r="D145" s="1"/>
  <c r="D146" s="1"/>
  <c r="D147" s="1"/>
  <c r="D148" s="1"/>
  <c r="D149" s="1"/>
  <c r="D150" s="1"/>
  <c r="D151" s="1"/>
  <c r="D152" s="1"/>
  <c r="D153" s="1"/>
  <c r="D154" s="1"/>
  <c r="D155" s="1"/>
  <c r="D156" s="1"/>
  <c r="D157" s="1"/>
  <c r="D101"/>
  <c r="E100"/>
  <c r="B130"/>
  <c r="D131" i="81"/>
  <c r="C38"/>
  <c r="D112" i="92"/>
  <c r="D113" s="1"/>
  <c r="D114" s="1"/>
  <c r="D115" s="1"/>
  <c r="D116" s="1"/>
  <c r="D117" s="1"/>
  <c r="D118" s="1"/>
  <c r="D119" s="1"/>
  <c r="D120" s="1"/>
  <c r="D121" s="1"/>
  <c r="D122" s="1"/>
  <c r="D123" s="1"/>
  <c r="D124" s="1"/>
  <c r="D125" s="1"/>
  <c r="D126" s="1"/>
  <c r="D127" s="1"/>
  <c r="D128" s="1"/>
  <c r="D129" s="1"/>
  <c r="D130" s="1"/>
  <c r="D131" s="1"/>
  <c r="D132" s="1"/>
  <c r="B103" i="82"/>
  <c r="B5" i="92"/>
  <c r="B72" i="82"/>
  <c r="C72"/>
  <c r="B134"/>
  <c r="Q179" s="1"/>
  <c r="A172" i="57"/>
  <c r="A168"/>
  <c r="A166"/>
  <c r="B168"/>
  <c r="O223"/>
  <c r="A132"/>
  <c r="A128"/>
  <c r="A126"/>
  <c r="A92"/>
  <c r="A89"/>
  <c r="A88"/>
  <c r="A86"/>
  <c r="A49"/>
  <c r="B6"/>
  <c r="D132" i="82"/>
  <c r="D133" s="1"/>
  <c r="D134" s="1"/>
  <c r="D135" s="1"/>
  <c r="D136" s="1"/>
  <c r="D137" s="1"/>
  <c r="D138" s="1"/>
  <c r="D139" s="1"/>
  <c r="D140" s="1"/>
  <c r="D141" s="1"/>
  <c r="D142" s="1"/>
  <c r="D143" s="1"/>
  <c r="D144" s="1"/>
  <c r="D145" s="1"/>
  <c r="D146" s="1"/>
  <c r="D147" s="1"/>
  <c r="D148" s="1"/>
  <c r="D149" s="1"/>
  <c r="D150" s="1"/>
  <c r="D151" s="1"/>
  <c r="D152" s="1"/>
  <c r="D153" s="1"/>
  <c r="D154" s="1"/>
  <c r="D155" s="1"/>
  <c r="D156" s="1"/>
  <c r="D157" s="1"/>
  <c r="D87" i="92"/>
  <c r="E86"/>
  <c r="B108" i="82"/>
  <c r="B10" i="92"/>
  <c r="B139" i="82"/>
  <c r="V179"/>
  <c r="V182" s="1"/>
  <c r="V183" s="1"/>
  <c r="V184" s="1"/>
  <c r="V185" s="1"/>
  <c r="V186" s="1"/>
  <c r="V187" s="1"/>
  <c r="B46"/>
  <c r="D111" i="93"/>
  <c r="C25" i="39"/>
  <c r="C26" s="1"/>
  <c r="C27" s="1"/>
  <c r="C28" s="1"/>
  <c r="C29" s="1"/>
  <c r="C30" s="1"/>
  <c r="C31" s="1"/>
  <c r="C32" s="1"/>
  <c r="C33" s="1"/>
  <c r="C34" s="1"/>
  <c r="C35" s="1"/>
  <c r="C36" s="1"/>
  <c r="C37" s="1"/>
  <c r="C38" s="1"/>
  <c r="C39" s="1"/>
  <c r="C40" s="1"/>
  <c r="C41" s="1"/>
  <c r="C42" s="1"/>
  <c r="B5" i="84"/>
  <c r="B174" i="39"/>
  <c r="U223"/>
  <c r="B94"/>
  <c r="C94" s="1"/>
  <c r="B134"/>
  <c r="B54"/>
  <c r="C36" i="94"/>
  <c r="C37" s="1"/>
  <c r="C38" s="1"/>
  <c r="C39" s="1"/>
  <c r="C40" s="1"/>
  <c r="C41" s="1"/>
  <c r="C42" s="1"/>
  <c r="C43" s="1"/>
  <c r="C44" s="1"/>
  <c r="C45" s="1"/>
  <c r="C46" s="1"/>
  <c r="C47" s="1"/>
  <c r="C48" s="1"/>
  <c r="C49" s="1"/>
  <c r="C50" s="1"/>
  <c r="C51" s="1"/>
  <c r="C52" s="1"/>
  <c r="C53" s="1"/>
  <c r="C54" s="1"/>
  <c r="D168" i="42"/>
  <c r="B172"/>
  <c r="S223" s="1"/>
  <c r="A133"/>
  <c r="A131"/>
  <c r="A127"/>
  <c r="A93"/>
  <c r="A91"/>
  <c r="A87"/>
  <c r="C47"/>
  <c r="B50"/>
  <c r="B11"/>
  <c r="B7"/>
  <c r="D86" i="93"/>
  <c r="D102" i="84"/>
  <c r="D103" s="1"/>
  <c r="E101"/>
  <c r="B99"/>
  <c r="B37"/>
  <c r="B130"/>
  <c r="M179" s="1"/>
  <c r="B68"/>
  <c r="C68" s="1"/>
  <c r="D128" i="39"/>
  <c r="C40" i="84"/>
  <c r="C41" s="1"/>
  <c r="C42" s="1"/>
  <c r="C43" s="1"/>
  <c r="C44" s="1"/>
  <c r="C45" s="1"/>
  <c r="C46" s="1"/>
  <c r="C47" s="1"/>
  <c r="C48" s="1"/>
  <c r="C49" s="1"/>
  <c r="C50" s="1"/>
  <c r="C51" s="1"/>
  <c r="C52" s="1"/>
  <c r="C53" s="1"/>
  <c r="C54" s="1"/>
  <c r="C55" s="1"/>
  <c r="C56" s="1"/>
  <c r="C57" s="1"/>
  <c r="C58" s="1"/>
  <c r="C59" s="1"/>
  <c r="C60" s="1"/>
  <c r="C61" s="1"/>
  <c r="C62" s="1"/>
  <c r="C63" s="1"/>
  <c r="C64" s="1"/>
  <c r="B39"/>
  <c r="B70"/>
  <c r="C70" s="1"/>
  <c r="B101"/>
  <c r="B132"/>
  <c r="O179" s="1"/>
  <c r="A135" i="82"/>
  <c r="E85" i="92"/>
  <c r="A173" i="42"/>
  <c r="B166"/>
  <c r="M223" s="1"/>
  <c r="B13"/>
  <c r="E99" i="83"/>
  <c r="D105" i="39"/>
  <c r="D106" s="1"/>
  <c r="D107" s="1"/>
  <c r="D108" s="1"/>
  <c r="D109" s="1"/>
  <c r="D110" s="1"/>
  <c r="D111" s="1"/>
  <c r="D112" s="1"/>
  <c r="D113" s="1"/>
  <c r="D114" s="1"/>
  <c r="D115" s="1"/>
  <c r="D116" s="1"/>
  <c r="D117" s="1"/>
  <c r="D118" s="1"/>
  <c r="D119" s="1"/>
  <c r="D120" s="1"/>
  <c r="D121" s="1"/>
  <c r="D122" s="1"/>
  <c r="A53" i="60"/>
  <c r="B13"/>
  <c r="A173"/>
  <c r="A93"/>
  <c r="A133"/>
  <c r="B126"/>
  <c r="B166"/>
  <c r="M223" s="1"/>
  <c r="B46"/>
  <c r="D168" i="39"/>
  <c r="B168"/>
  <c r="O223" s="1"/>
  <c r="A133"/>
  <c r="A131"/>
  <c r="A129"/>
  <c r="A127"/>
  <c r="A93"/>
  <c r="A91"/>
  <c r="A89"/>
  <c r="A87"/>
  <c r="C47"/>
  <c r="B50"/>
  <c r="B11"/>
  <c r="B51" s="1"/>
  <c r="B7"/>
  <c r="E100" i="84"/>
  <c r="A49" i="60"/>
  <c r="B9"/>
  <c r="A169"/>
  <c r="A89"/>
  <c r="A129"/>
  <c r="B37" i="85"/>
  <c r="B130"/>
  <c r="M179" s="1"/>
  <c r="B99"/>
  <c r="B68"/>
  <c r="C68" s="1"/>
  <c r="A173" i="39"/>
  <c r="A169"/>
  <c r="B13"/>
  <c r="D85" i="94"/>
  <c r="B170" i="60"/>
  <c r="Q223" s="1"/>
  <c r="B50"/>
  <c r="D168"/>
  <c r="B172"/>
  <c r="S223" s="1"/>
  <c r="B168"/>
  <c r="O223"/>
  <c r="A137"/>
  <c r="A131"/>
  <c r="A97"/>
  <c r="A91"/>
  <c r="A87"/>
  <c r="C47"/>
  <c r="B11"/>
  <c r="B7"/>
  <c r="B171" i="36"/>
  <c r="R223"/>
  <c r="B51"/>
  <c r="B91"/>
  <c r="C91" s="1"/>
  <c r="B131"/>
  <c r="B48"/>
  <c r="B88"/>
  <c r="C88" s="1"/>
  <c r="B128"/>
  <c r="B168"/>
  <c r="O223"/>
  <c r="D112" i="95"/>
  <c r="D113" s="1"/>
  <c r="D114" s="1"/>
  <c r="D115" s="1"/>
  <c r="D116" s="1"/>
  <c r="D117" s="1"/>
  <c r="D118" s="1"/>
  <c r="D119" s="1"/>
  <c r="D120" s="1"/>
  <c r="D121" s="1"/>
  <c r="D122" s="1"/>
  <c r="D123" s="1"/>
  <c r="D124" s="1"/>
  <c r="D125" s="1"/>
  <c r="D126" s="1"/>
  <c r="D127" s="1"/>
  <c r="D128" s="1"/>
  <c r="D129" s="1"/>
  <c r="D130" s="1"/>
  <c r="D131" s="1"/>
  <c r="D132" s="1"/>
  <c r="A167" i="60"/>
  <c r="D131" i="85"/>
  <c r="C38"/>
  <c r="C39" s="1"/>
  <c r="C40" s="1"/>
  <c r="C41" s="1"/>
  <c r="C42" s="1"/>
  <c r="C43" s="1"/>
  <c r="C44" s="1"/>
  <c r="C45" s="1"/>
  <c r="C46" s="1"/>
  <c r="C47" s="1"/>
  <c r="C48" s="1"/>
  <c r="C49" s="1"/>
  <c r="C50" s="1"/>
  <c r="C51" s="1"/>
  <c r="C52" s="1"/>
  <c r="C53" s="1"/>
  <c r="C54" s="1"/>
  <c r="C55" s="1"/>
  <c r="C56" s="1"/>
  <c r="C57" s="1"/>
  <c r="C58" s="1"/>
  <c r="C59" s="1"/>
  <c r="C60" s="1"/>
  <c r="C61" s="1"/>
  <c r="C62" s="1"/>
  <c r="C63" s="1"/>
  <c r="C64" s="1"/>
  <c r="C48" i="36"/>
  <c r="C49" s="1"/>
  <c r="C50" s="1"/>
  <c r="C51" s="1"/>
  <c r="C52" s="1"/>
  <c r="C53" s="1"/>
  <c r="C54" s="1"/>
  <c r="C55" s="1"/>
  <c r="C56" s="1"/>
  <c r="C57" s="1"/>
  <c r="C58" s="1"/>
  <c r="C59" s="1"/>
  <c r="C60" s="1"/>
  <c r="C61" s="1"/>
  <c r="C62" s="1"/>
  <c r="C63" s="1"/>
  <c r="C64" s="1"/>
  <c r="C65" s="1"/>
  <c r="C66" s="1"/>
  <c r="C67" s="1"/>
  <c r="C68" s="1"/>
  <c r="C69" s="1"/>
  <c r="C70"/>
  <c r="C71" s="1"/>
  <c r="C72" s="1"/>
  <c r="C73" s="1"/>
  <c r="C74" s="1"/>
  <c r="C75" s="1"/>
  <c r="C76" s="1"/>
  <c r="C77" s="1"/>
  <c r="C78" s="1"/>
  <c r="C79" s="1"/>
  <c r="C80" s="1"/>
  <c r="C81" s="1"/>
  <c r="C82" s="1"/>
  <c r="D131" i="86"/>
  <c r="D105" i="63"/>
  <c r="D106"/>
  <c r="D107" s="1"/>
  <c r="D108" s="1"/>
  <c r="D109" s="1"/>
  <c r="D110" s="1"/>
  <c r="D111" s="1"/>
  <c r="D112" s="1"/>
  <c r="D113" s="1"/>
  <c r="D114" s="1"/>
  <c r="D115" s="1"/>
  <c r="D116" s="1"/>
  <c r="D117" s="1"/>
  <c r="D118" s="1"/>
  <c r="D119" s="1"/>
  <c r="D120" s="1"/>
  <c r="D121" s="1"/>
  <c r="D122" s="1"/>
  <c r="A172" i="36"/>
  <c r="A170"/>
  <c r="A168"/>
  <c r="A166"/>
  <c r="A165"/>
  <c r="L225" s="1"/>
  <c r="M225" s="1"/>
  <c r="N225" s="1"/>
  <c r="O225" s="1"/>
  <c r="P225" s="1"/>
  <c r="Q225" s="1"/>
  <c r="R225" s="1"/>
  <c r="S225" s="1"/>
  <c r="T225" s="1"/>
  <c r="U225" s="1"/>
  <c r="V225" s="1"/>
  <c r="W225" s="1"/>
  <c r="X225" s="1"/>
  <c r="Y225" s="1"/>
  <c r="Z225" s="1"/>
  <c r="AA225" s="1"/>
  <c r="AB225" s="1"/>
  <c r="AC225" s="1"/>
  <c r="AD225" s="1"/>
  <c r="AE225" s="1"/>
  <c r="AF225" s="1"/>
  <c r="AG225" s="1"/>
  <c r="AH225" s="1"/>
  <c r="AI225" s="1"/>
  <c r="AJ225" s="1"/>
  <c r="AK225" s="1"/>
  <c r="AL225" s="1"/>
  <c r="AM225" s="1"/>
  <c r="AN225" s="1"/>
  <c r="AO225" s="1"/>
  <c r="AP225" s="1"/>
  <c r="AQ225" s="1"/>
  <c r="AR225" s="1"/>
  <c r="AS225" s="1"/>
  <c r="AT225" s="1"/>
  <c r="AU225" s="1"/>
  <c r="AV225" s="1"/>
  <c r="AW225" s="1"/>
  <c r="AX225" s="1"/>
  <c r="A132"/>
  <c r="A131"/>
  <c r="A130"/>
  <c r="A128"/>
  <c r="A126"/>
  <c r="D127"/>
  <c r="A125"/>
  <c r="A91"/>
  <c r="A90"/>
  <c r="A88"/>
  <c r="A87"/>
  <c r="A86"/>
  <c r="B62"/>
  <c r="D102" i="86"/>
  <c r="B44"/>
  <c r="B137"/>
  <c r="T179" s="1"/>
  <c r="B75"/>
  <c r="C75"/>
  <c r="B8" i="96"/>
  <c r="D112"/>
  <c r="D113"/>
  <c r="D114" s="1"/>
  <c r="D115" s="1"/>
  <c r="D116" s="1"/>
  <c r="D117" s="1"/>
  <c r="D118" s="1"/>
  <c r="D119" s="1"/>
  <c r="D120" s="1"/>
  <c r="D121" s="1"/>
  <c r="D122" s="1"/>
  <c r="D123" s="1"/>
  <c r="D124" s="1"/>
  <c r="D125" s="1"/>
  <c r="D126" s="1"/>
  <c r="D127" s="1"/>
  <c r="D128" s="1"/>
  <c r="D129" s="1"/>
  <c r="D130" s="1"/>
  <c r="D131" s="1"/>
  <c r="D132" s="1"/>
  <c r="B76" i="86"/>
  <c r="C76" s="1"/>
  <c r="B9" i="96"/>
  <c r="B45" i="86"/>
  <c r="B138"/>
  <c r="U179" s="1"/>
  <c r="C39"/>
  <c r="C40" s="1"/>
  <c r="C41" s="1"/>
  <c r="C42" s="1"/>
  <c r="C43" s="1"/>
  <c r="C44" s="1"/>
  <c r="C45" s="1"/>
  <c r="C46" s="1"/>
  <c r="C47" s="1"/>
  <c r="C48" s="1"/>
  <c r="C49" s="1"/>
  <c r="C50" s="1"/>
  <c r="C51" s="1"/>
  <c r="C52" s="1"/>
  <c r="C53" s="1"/>
  <c r="C54" s="1"/>
  <c r="C55" s="1"/>
  <c r="C56" s="1"/>
  <c r="C57" s="1"/>
  <c r="C58" s="1"/>
  <c r="C59" s="1"/>
  <c r="C60" s="1"/>
  <c r="C61" s="1"/>
  <c r="C62" s="1"/>
  <c r="C63" s="1"/>
  <c r="C64" s="1"/>
  <c r="D87" i="96"/>
  <c r="E86"/>
  <c r="B85" i="36"/>
  <c r="E100" i="86"/>
  <c r="C25" i="63"/>
  <c r="C26" s="1"/>
  <c r="B87"/>
  <c r="C87" s="1"/>
  <c r="D168"/>
  <c r="D169" s="1"/>
  <c r="D170" s="1"/>
  <c r="D171" s="1"/>
  <c r="D172" s="1"/>
  <c r="D173" s="1"/>
  <c r="D174" s="1"/>
  <c r="D175" s="1"/>
  <c r="D176" s="1"/>
  <c r="D177" s="1"/>
  <c r="D178" s="1"/>
  <c r="D179" s="1"/>
  <c r="D180" s="1"/>
  <c r="D181" s="1"/>
  <c r="D182" s="1"/>
  <c r="D183" s="1"/>
  <c r="D184" s="1"/>
  <c r="D185" s="1"/>
  <c r="D186" s="1"/>
  <c r="D187" s="1"/>
  <c r="D188" s="1"/>
  <c r="D189" s="1"/>
  <c r="D190" s="1"/>
  <c r="D191" s="1"/>
  <c r="D192" s="1"/>
  <c r="D193" s="1"/>
  <c r="D194" s="1"/>
  <c r="D195" s="1"/>
  <c r="D196" s="1"/>
  <c r="D197" s="1"/>
  <c r="D198" s="1"/>
  <c r="D199" s="1"/>
  <c r="D200" s="1"/>
  <c r="D201" s="1"/>
  <c r="D202" s="1"/>
  <c r="B11"/>
  <c r="B51" s="1"/>
  <c r="A91"/>
  <c r="A131"/>
  <c r="A171"/>
  <c r="B130" i="87"/>
  <c r="B37"/>
  <c r="B68"/>
  <c r="C68"/>
  <c r="B99"/>
  <c r="E85" i="96"/>
  <c r="C47" i="63"/>
  <c r="C48" s="1"/>
  <c r="C49" s="1"/>
  <c r="C50" s="1"/>
  <c r="C51" s="1"/>
  <c r="C52" s="1"/>
  <c r="C53" s="1"/>
  <c r="C54" s="1"/>
  <c r="C55" s="1"/>
  <c r="C56" s="1"/>
  <c r="C57" s="1"/>
  <c r="C58" s="1"/>
  <c r="C59" s="1"/>
  <c r="C60" s="1"/>
  <c r="C61" s="1"/>
  <c r="C62" s="1"/>
  <c r="C63" s="1"/>
  <c r="C64" s="1"/>
  <c r="C65" s="1"/>
  <c r="C66" s="1"/>
  <c r="C67" s="1"/>
  <c r="C68" s="1"/>
  <c r="C69" s="1"/>
  <c r="C70" s="1"/>
  <c r="C71" s="1"/>
  <c r="C72" s="1"/>
  <c r="C73" s="1"/>
  <c r="C74" s="1"/>
  <c r="C75" s="1"/>
  <c r="C76" s="1"/>
  <c r="C77" s="1"/>
  <c r="C78" s="1"/>
  <c r="C79" s="1"/>
  <c r="C80" s="1"/>
  <c r="C81" s="1"/>
  <c r="C82" s="1"/>
  <c r="K38" i="69"/>
  <c r="J39"/>
  <c r="J40" s="1"/>
  <c r="J41" s="1"/>
  <c r="A173" i="63"/>
  <c r="A169"/>
  <c r="A167"/>
  <c r="B170"/>
  <c r="Q223" s="1"/>
  <c r="B166"/>
  <c r="B126"/>
  <c r="B48"/>
  <c r="B13"/>
  <c r="B9"/>
  <c r="A131" i="87"/>
  <c r="A100"/>
  <c r="A69"/>
  <c r="C34" i="97"/>
  <c r="C35" s="1"/>
  <c r="C36" s="1"/>
  <c r="C37" s="1"/>
  <c r="C38" s="1"/>
  <c r="C39" s="1"/>
  <c r="C40" s="1"/>
  <c r="C41" s="1"/>
  <c r="C42" s="1"/>
  <c r="C43" s="1"/>
  <c r="C44" s="1"/>
  <c r="C45" s="1"/>
  <c r="C46" s="1"/>
  <c r="C47" s="1"/>
  <c r="C48" s="1"/>
  <c r="C49" s="1"/>
  <c r="C50" s="1"/>
  <c r="C51" s="1"/>
  <c r="C52" s="1"/>
  <c r="C53" s="1"/>
  <c r="C54" s="1"/>
  <c r="A133" i="63"/>
  <c r="A129"/>
  <c r="A127"/>
  <c r="A87"/>
  <c r="D131" i="87"/>
  <c r="D132"/>
  <c r="D133" s="1"/>
  <c r="D134" s="1"/>
  <c r="D135" s="1"/>
  <c r="D136" s="1"/>
  <c r="D137" s="1"/>
  <c r="D138" s="1"/>
  <c r="D139" s="1"/>
  <c r="D140" s="1"/>
  <c r="D141" s="1"/>
  <c r="D142" s="1"/>
  <c r="D143" s="1"/>
  <c r="D144" s="1"/>
  <c r="D145" s="1"/>
  <c r="D146" s="1"/>
  <c r="D147" s="1"/>
  <c r="D148" s="1"/>
  <c r="D149" s="1"/>
  <c r="D150" s="1"/>
  <c r="D151" s="1"/>
  <c r="D152" s="1"/>
  <c r="D153" s="1"/>
  <c r="D154" s="1"/>
  <c r="D155" s="1"/>
  <c r="D156" s="1"/>
  <c r="D157" s="1"/>
  <c r="C38"/>
  <c r="C39"/>
  <c r="C40"/>
  <c r="C41" s="1"/>
  <c r="C42" s="1"/>
  <c r="C43" s="1"/>
  <c r="C44" s="1"/>
  <c r="C45" s="1"/>
  <c r="C46" s="1"/>
  <c r="C47" s="1"/>
  <c r="C48" s="1"/>
  <c r="C49" s="1"/>
  <c r="C50" s="1"/>
  <c r="C51" s="1"/>
  <c r="C52" s="1"/>
  <c r="C53" s="1"/>
  <c r="C54" s="1"/>
  <c r="C55" s="1"/>
  <c r="C56" s="1"/>
  <c r="C57" s="1"/>
  <c r="C58" s="1"/>
  <c r="C59" s="1"/>
  <c r="C60" s="1"/>
  <c r="C61" s="1"/>
  <c r="C62" s="1"/>
  <c r="C63" s="1"/>
  <c r="C64" s="1"/>
  <c r="L78" i="108"/>
  <c r="K95"/>
  <c r="K96"/>
  <c r="K97" s="1"/>
  <c r="L86"/>
  <c r="L87"/>
  <c r="L88" s="1"/>
  <c r="L69"/>
  <c r="L70" s="1"/>
  <c r="L71" s="1"/>
  <c r="L72" s="1"/>
  <c r="L74" s="1"/>
  <c r="I47"/>
  <c r="I31"/>
  <c r="I40" s="1"/>
  <c r="K81" i="69"/>
  <c r="K82" s="1"/>
  <c r="K83" s="1"/>
  <c r="L72"/>
  <c r="L73" s="1"/>
  <c r="L74" s="1"/>
  <c r="I38"/>
  <c r="I39" s="1"/>
  <c r="I40" s="1"/>
  <c r="I41" s="1"/>
  <c r="I23"/>
  <c r="I28" s="1"/>
  <c r="K17"/>
  <c r="K28" s="1"/>
  <c r="K39" i="108"/>
  <c r="K27"/>
  <c r="C23" i="70"/>
  <c r="E118" i="119"/>
  <c r="E144" i="101"/>
  <c r="M179" i="87"/>
  <c r="B131" i="63"/>
  <c r="B91"/>
  <c r="C91" s="1"/>
  <c r="B171"/>
  <c r="R223" s="1"/>
  <c r="D128" i="36"/>
  <c r="E127"/>
  <c r="C48" i="60"/>
  <c r="D169"/>
  <c r="B53" i="42"/>
  <c r="B93"/>
  <c r="C93" s="1"/>
  <c r="B133"/>
  <c r="B173"/>
  <c r="T223" s="1"/>
  <c r="E102" i="84"/>
  <c r="B167" i="42"/>
  <c r="N223" s="1"/>
  <c r="B47"/>
  <c r="B87"/>
  <c r="C87" s="1"/>
  <c r="B127"/>
  <c r="C48"/>
  <c r="C49"/>
  <c r="C50" s="1"/>
  <c r="C51" s="1"/>
  <c r="C52" s="1"/>
  <c r="C53" s="1"/>
  <c r="C54" s="1"/>
  <c r="C55" s="1"/>
  <c r="C56" s="1"/>
  <c r="C57" s="1"/>
  <c r="C58" s="1"/>
  <c r="C59" s="1"/>
  <c r="C60" s="1"/>
  <c r="C61" s="1"/>
  <c r="C62" s="1"/>
  <c r="C63" s="1"/>
  <c r="C64" s="1"/>
  <c r="C65" s="1"/>
  <c r="C66" s="1"/>
  <c r="C67" s="1"/>
  <c r="C68" s="1"/>
  <c r="C69" s="1"/>
  <c r="C70" s="1"/>
  <c r="C71" s="1"/>
  <c r="C72" s="1"/>
  <c r="C73" s="1"/>
  <c r="C74" s="1"/>
  <c r="C75" s="1"/>
  <c r="C76" s="1"/>
  <c r="C77" s="1"/>
  <c r="C78" s="1"/>
  <c r="C79" s="1"/>
  <c r="C80" s="1"/>
  <c r="C81" s="1"/>
  <c r="C82" s="1"/>
  <c r="B86" i="57"/>
  <c r="C86" s="1"/>
  <c r="B46"/>
  <c r="B126"/>
  <c r="B166"/>
  <c r="M223" s="1"/>
  <c r="D103" i="79"/>
  <c r="E102"/>
  <c r="D103" i="80"/>
  <c r="E102"/>
  <c r="B53" i="39"/>
  <c r="B93"/>
  <c r="C93"/>
  <c r="B133"/>
  <c r="B173"/>
  <c r="T223" s="1"/>
  <c r="D132" i="81"/>
  <c r="D133"/>
  <c r="D134" s="1"/>
  <c r="D135" s="1"/>
  <c r="D136" s="1"/>
  <c r="D137" s="1"/>
  <c r="D138" s="1"/>
  <c r="D139" s="1"/>
  <c r="D140" s="1"/>
  <c r="D141" s="1"/>
  <c r="D142" s="1"/>
  <c r="D143" s="1"/>
  <c r="D144" s="1"/>
  <c r="D145" s="1"/>
  <c r="D146" s="1"/>
  <c r="D147" s="1"/>
  <c r="D148" s="1"/>
  <c r="D149" s="1"/>
  <c r="D150" s="1"/>
  <c r="D151" s="1"/>
  <c r="D152" s="1"/>
  <c r="D153" s="1"/>
  <c r="D154" s="1"/>
  <c r="D155" s="1"/>
  <c r="D156" s="1"/>
  <c r="D157" s="1"/>
  <c r="D102" i="83"/>
  <c r="E101"/>
  <c r="B40"/>
  <c r="B133"/>
  <c r="P179" s="1"/>
  <c r="B71"/>
  <c r="C71" s="1"/>
  <c r="B102"/>
  <c r="C48" i="54"/>
  <c r="C49" s="1"/>
  <c r="C50" s="1"/>
  <c r="C51" s="1"/>
  <c r="C52" s="1"/>
  <c r="C53" s="1"/>
  <c r="C54" s="1"/>
  <c r="C55" s="1"/>
  <c r="C56" s="1"/>
  <c r="C57" s="1"/>
  <c r="C58" s="1"/>
  <c r="C59" s="1"/>
  <c r="C60" s="1"/>
  <c r="C61" s="1"/>
  <c r="C62" s="1"/>
  <c r="C63" s="1"/>
  <c r="C64" s="1"/>
  <c r="C65" s="1"/>
  <c r="C66" s="1"/>
  <c r="C67" s="1"/>
  <c r="C68" s="1"/>
  <c r="C69" s="1"/>
  <c r="C70" s="1"/>
  <c r="C71" s="1"/>
  <c r="C72" s="1"/>
  <c r="C73" s="1"/>
  <c r="C74" s="1"/>
  <c r="C75" s="1"/>
  <c r="C76" s="1"/>
  <c r="C77" s="1"/>
  <c r="C78" s="1"/>
  <c r="C79" s="1"/>
  <c r="C80" s="1"/>
  <c r="C81" s="1"/>
  <c r="C82" s="1"/>
  <c r="B41" i="81"/>
  <c r="B134"/>
  <c r="Q179" s="1"/>
  <c r="B5" i="91"/>
  <c r="B72" i="81"/>
  <c r="C72" s="1"/>
  <c r="B103"/>
  <c r="F86" i="54"/>
  <c r="C85"/>
  <c r="E6" i="48"/>
  <c r="B125"/>
  <c r="B165"/>
  <c r="L223" s="1"/>
  <c r="B45"/>
  <c r="B85"/>
  <c r="B43" i="79"/>
  <c r="B74"/>
  <c r="C74" s="1"/>
  <c r="B105"/>
  <c r="B136"/>
  <c r="S179" s="1"/>
  <c r="B7" i="89"/>
  <c r="B170" i="51"/>
  <c r="Q223" s="1"/>
  <c r="B90"/>
  <c r="C90" s="1"/>
  <c r="B130"/>
  <c r="B50"/>
  <c r="D169" i="48"/>
  <c r="D170" s="1"/>
  <c r="D171" s="1"/>
  <c r="D172" s="1"/>
  <c r="D173" s="1"/>
  <c r="D174" s="1"/>
  <c r="D175" s="1"/>
  <c r="D176" s="1"/>
  <c r="D177" s="1"/>
  <c r="D178" s="1"/>
  <c r="D179" s="1"/>
  <c r="D180" s="1"/>
  <c r="D181" s="1"/>
  <c r="D182" s="1"/>
  <c r="D183" s="1"/>
  <c r="D184" s="1"/>
  <c r="D185" s="1"/>
  <c r="D186" s="1"/>
  <c r="D187" s="1"/>
  <c r="D188" s="1"/>
  <c r="D189" s="1"/>
  <c r="D190" s="1"/>
  <c r="D191" s="1"/>
  <c r="D192" s="1"/>
  <c r="D193" s="1"/>
  <c r="D194" s="1"/>
  <c r="D195" s="1"/>
  <c r="D196" s="1"/>
  <c r="D197" s="1"/>
  <c r="D198" s="1"/>
  <c r="D199" s="1"/>
  <c r="D200" s="1"/>
  <c r="D201" s="1"/>
  <c r="D202" s="1"/>
  <c r="J47" i="108"/>
  <c r="I49"/>
  <c r="I50"/>
  <c r="I51" s="1"/>
  <c r="I52" s="1"/>
  <c r="I53" s="1"/>
  <c r="I75" s="1"/>
  <c r="B169" i="63"/>
  <c r="P223" s="1"/>
  <c r="B49"/>
  <c r="B129"/>
  <c r="B89"/>
  <c r="C89" s="1"/>
  <c r="M223"/>
  <c r="D88" i="96"/>
  <c r="E87"/>
  <c r="B35"/>
  <c r="B113"/>
  <c r="P154" s="1"/>
  <c r="B61"/>
  <c r="C61" s="1"/>
  <c r="B87"/>
  <c r="B112"/>
  <c r="O154" s="1"/>
  <c r="D103" i="86"/>
  <c r="E102"/>
  <c r="D132" i="85"/>
  <c r="D133" s="1"/>
  <c r="D134" s="1"/>
  <c r="D135" s="1"/>
  <c r="D136" s="1"/>
  <c r="D137" s="1"/>
  <c r="D138" s="1"/>
  <c r="D139" s="1"/>
  <c r="D140" s="1"/>
  <c r="D141" s="1"/>
  <c r="D142" s="1"/>
  <c r="D143" s="1"/>
  <c r="D144" s="1"/>
  <c r="D145" s="1"/>
  <c r="D146" s="1"/>
  <c r="D147" s="1"/>
  <c r="D148" s="1"/>
  <c r="D149" s="1"/>
  <c r="D150" s="1"/>
  <c r="D151" s="1"/>
  <c r="D152" s="1"/>
  <c r="D153" s="1"/>
  <c r="D154" s="1"/>
  <c r="D155" s="1"/>
  <c r="D156" s="1"/>
  <c r="D157" s="1"/>
  <c r="B167" i="60"/>
  <c r="B127"/>
  <c r="B87"/>
  <c r="C87" s="1"/>
  <c r="B47"/>
  <c r="B171" i="39"/>
  <c r="R223" s="1"/>
  <c r="B91"/>
  <c r="C91" s="1"/>
  <c r="B131"/>
  <c r="D169"/>
  <c r="E7" i="84"/>
  <c r="B67"/>
  <c r="F69" s="1"/>
  <c r="B98"/>
  <c r="B36"/>
  <c r="B129"/>
  <c r="B36" i="92"/>
  <c r="B114"/>
  <c r="Q154" s="1"/>
  <c r="Q157" s="1"/>
  <c r="Q158" s="1"/>
  <c r="Q159" s="1"/>
  <c r="Q160" s="1"/>
  <c r="Q161" s="1"/>
  <c r="Q162" s="1"/>
  <c r="E6"/>
  <c r="B62"/>
  <c r="B88"/>
  <c r="D88"/>
  <c r="E87"/>
  <c r="B31"/>
  <c r="B109"/>
  <c r="E7"/>
  <c r="B57"/>
  <c r="B83"/>
  <c r="C39" i="81"/>
  <c r="C40" s="1"/>
  <c r="C41" s="1"/>
  <c r="C42" s="1"/>
  <c r="C43" s="1"/>
  <c r="C44" s="1"/>
  <c r="C45" s="1"/>
  <c r="C46" s="1"/>
  <c r="C47" s="1"/>
  <c r="C48" s="1"/>
  <c r="C49" s="1"/>
  <c r="C50" s="1"/>
  <c r="C51" s="1"/>
  <c r="C52" s="1"/>
  <c r="C53" s="1"/>
  <c r="C54" s="1"/>
  <c r="C55" s="1"/>
  <c r="C56" s="1"/>
  <c r="C57" s="1"/>
  <c r="C58" s="1"/>
  <c r="C59" s="1"/>
  <c r="C60" s="1"/>
  <c r="C61" s="1"/>
  <c r="C62" s="1"/>
  <c r="C63" s="1"/>
  <c r="C64" s="1"/>
  <c r="B45" i="45"/>
  <c r="B85"/>
  <c r="E6"/>
  <c r="B125"/>
  <c r="B165"/>
  <c r="D129" i="42"/>
  <c r="E128"/>
  <c r="D129" i="57"/>
  <c r="E128"/>
  <c r="B51" i="54"/>
  <c r="B91"/>
  <c r="C91" s="1"/>
  <c r="B131"/>
  <c r="C131" s="1"/>
  <c r="B171"/>
  <c r="R223"/>
  <c r="C129"/>
  <c r="C130"/>
  <c r="C133"/>
  <c r="C136"/>
  <c r="C138"/>
  <c r="C139"/>
  <c r="C126"/>
  <c r="C104" i="51"/>
  <c r="B45"/>
  <c r="B85"/>
  <c r="E6"/>
  <c r="I9" s="1"/>
  <c r="B125"/>
  <c r="B165"/>
  <c r="B126"/>
  <c r="B166"/>
  <c r="M223" s="1"/>
  <c r="B86"/>
  <c r="C86" s="1"/>
  <c r="B46"/>
  <c r="D87" i="89"/>
  <c r="E86"/>
  <c r="B39" i="78"/>
  <c r="B70"/>
  <c r="C70" s="1"/>
  <c r="B101"/>
  <c r="B132"/>
  <c r="O179" s="1"/>
  <c r="E5" i="48"/>
  <c r="B53" i="63"/>
  <c r="B93"/>
  <c r="C93" s="1"/>
  <c r="B173"/>
  <c r="T223" s="1"/>
  <c r="B133"/>
  <c r="B171" i="60"/>
  <c r="R223" s="1"/>
  <c r="B131"/>
  <c r="B51"/>
  <c r="B91"/>
  <c r="C91" s="1"/>
  <c r="K39" i="69"/>
  <c r="K40" s="1"/>
  <c r="K41" s="1"/>
  <c r="L38"/>
  <c r="L39" s="1"/>
  <c r="L40" s="1"/>
  <c r="L41" s="1"/>
  <c r="D132" i="86"/>
  <c r="D133" s="1"/>
  <c r="D134" s="1"/>
  <c r="D135" s="1"/>
  <c r="D136" s="1"/>
  <c r="D137" s="1"/>
  <c r="D138" s="1"/>
  <c r="D139" s="1"/>
  <c r="D140" s="1"/>
  <c r="D141" s="1"/>
  <c r="D142" s="1"/>
  <c r="D143" s="1"/>
  <c r="D144" s="1"/>
  <c r="D145" s="1"/>
  <c r="D146" s="1"/>
  <c r="D147" s="1"/>
  <c r="D148" s="1"/>
  <c r="D149" s="1"/>
  <c r="D150" s="1"/>
  <c r="D151" s="1"/>
  <c r="D152" s="1"/>
  <c r="D153" s="1"/>
  <c r="D154" s="1"/>
  <c r="D155" s="1"/>
  <c r="D156" s="1"/>
  <c r="D157" s="1"/>
  <c r="E85" i="94"/>
  <c r="D86"/>
  <c r="B167" i="39"/>
  <c r="N223" s="1"/>
  <c r="B47"/>
  <c r="B87"/>
  <c r="C87" s="1"/>
  <c r="B127"/>
  <c r="C48"/>
  <c r="B53" i="60"/>
  <c r="B93"/>
  <c r="C93"/>
  <c r="B133"/>
  <c r="B173"/>
  <c r="T223" s="1"/>
  <c r="D129" i="39"/>
  <c r="D130" s="1"/>
  <c r="E128"/>
  <c r="E86" i="93"/>
  <c r="D87"/>
  <c r="B171" i="42"/>
  <c r="R223" s="1"/>
  <c r="B51"/>
  <c r="B91"/>
  <c r="C91" s="1"/>
  <c r="B131"/>
  <c r="D169"/>
  <c r="D170" s="1"/>
  <c r="D171" s="1"/>
  <c r="D172" s="1"/>
  <c r="D173" s="1"/>
  <c r="D174" s="1"/>
  <c r="D175" s="1"/>
  <c r="D176" s="1"/>
  <c r="D177" s="1"/>
  <c r="D112" i="93"/>
  <c r="D113" s="1"/>
  <c r="D114" s="1"/>
  <c r="D115" s="1"/>
  <c r="D116" s="1"/>
  <c r="D117" s="1"/>
  <c r="D118" s="1"/>
  <c r="D119" s="1"/>
  <c r="D120" s="1"/>
  <c r="D121" s="1"/>
  <c r="D122" s="1"/>
  <c r="D123" s="1"/>
  <c r="D124" s="1"/>
  <c r="D125" s="1"/>
  <c r="D126" s="1"/>
  <c r="D127" s="1"/>
  <c r="D128" s="1"/>
  <c r="D129" s="1"/>
  <c r="D130" s="1"/>
  <c r="D131" s="1"/>
  <c r="D132" s="1"/>
  <c r="E100" i="82"/>
  <c r="D101"/>
  <c r="B8" i="91"/>
  <c r="B112" s="1"/>
  <c r="O154" s="1"/>
  <c r="B44" i="81"/>
  <c r="B137"/>
  <c r="T179" s="1"/>
  <c r="B75"/>
  <c r="C75" s="1"/>
  <c r="B106"/>
  <c r="B39"/>
  <c r="B70"/>
  <c r="C70" s="1"/>
  <c r="B101"/>
  <c r="B132"/>
  <c r="O179" s="1"/>
  <c r="B47" i="54"/>
  <c r="B87"/>
  <c r="C87" s="1"/>
  <c r="B127"/>
  <c r="C127"/>
  <c r="B167"/>
  <c r="D114" i="89"/>
  <c r="D115" s="1"/>
  <c r="D116" s="1"/>
  <c r="D117" s="1"/>
  <c r="D118" s="1"/>
  <c r="D119" s="1"/>
  <c r="D120" s="1"/>
  <c r="D121" s="1"/>
  <c r="D122" s="1"/>
  <c r="D123" s="1"/>
  <c r="D124" s="1"/>
  <c r="D125" s="1"/>
  <c r="D126" s="1"/>
  <c r="D127" s="1"/>
  <c r="D128" s="1"/>
  <c r="D129" s="1"/>
  <c r="D130" s="1"/>
  <c r="D131" s="1"/>
  <c r="D132" s="1"/>
  <c r="D129" i="45"/>
  <c r="E128"/>
  <c r="B10" i="89"/>
  <c r="B36" s="1"/>
  <c r="B77" i="79"/>
  <c r="B108"/>
  <c r="B46"/>
  <c r="B139"/>
  <c r="V179" s="1"/>
  <c r="V182" s="1"/>
  <c r="V183" s="1"/>
  <c r="V184" s="1"/>
  <c r="V185" s="1"/>
  <c r="V186" s="1"/>
  <c r="V187" s="1"/>
  <c r="B5" i="89"/>
  <c r="B31" s="1"/>
  <c r="B41" i="79"/>
  <c r="B134"/>
  <c r="Q179"/>
  <c r="B72"/>
  <c r="C72" s="1"/>
  <c r="B103"/>
  <c r="B100" i="80"/>
  <c r="B69"/>
  <c r="C69" s="1"/>
  <c r="B38"/>
  <c r="B131"/>
  <c r="N179" s="1"/>
  <c r="F86" i="51"/>
  <c r="C85"/>
  <c r="L154" i="92"/>
  <c r="K47" i="108"/>
  <c r="L47"/>
  <c r="J49"/>
  <c r="E7" i="91"/>
  <c r="B57"/>
  <c r="B83"/>
  <c r="B31"/>
  <c r="B109"/>
  <c r="D103" i="83"/>
  <c r="E102"/>
  <c r="D170" i="60"/>
  <c r="B26" i="51"/>
  <c r="B29"/>
  <c r="I25"/>
  <c r="I13"/>
  <c r="E7" i="89"/>
  <c r="B57"/>
  <c r="B83"/>
  <c r="B62"/>
  <c r="D130" i="45"/>
  <c r="E129"/>
  <c r="E87" i="93"/>
  <c r="D88"/>
  <c r="C49" i="39"/>
  <c r="C50" s="1"/>
  <c r="C51" s="1"/>
  <c r="C52" s="1"/>
  <c r="C53" s="1"/>
  <c r="C54" s="1"/>
  <c r="C55" s="1"/>
  <c r="C56" s="1"/>
  <c r="C57" s="1"/>
  <c r="C58" s="1"/>
  <c r="C59" s="1"/>
  <c r="C60" s="1"/>
  <c r="C61" s="1"/>
  <c r="C62" s="1"/>
  <c r="C63" s="1"/>
  <c r="C64" s="1"/>
  <c r="C65" s="1"/>
  <c r="C66" s="1"/>
  <c r="C67" s="1"/>
  <c r="C68" s="1"/>
  <c r="C69" s="1"/>
  <c r="C70" s="1"/>
  <c r="C71" s="1"/>
  <c r="C72" s="1"/>
  <c r="C73" s="1"/>
  <c r="C74" s="1"/>
  <c r="C75" s="1"/>
  <c r="C76" s="1"/>
  <c r="C77" s="1"/>
  <c r="C78" s="1"/>
  <c r="C79" s="1"/>
  <c r="C80" s="1"/>
  <c r="C81" s="1"/>
  <c r="C82" s="1"/>
  <c r="I6" i="48"/>
  <c r="I23"/>
  <c r="I25"/>
  <c r="B32"/>
  <c r="I33"/>
  <c r="B40"/>
  <c r="I41"/>
  <c r="I15"/>
  <c r="I18"/>
  <c r="I26"/>
  <c r="B29"/>
  <c r="I34"/>
  <c r="B37"/>
  <c r="I42"/>
  <c r="I8"/>
  <c r="I17"/>
  <c r="I21"/>
  <c r="B30"/>
  <c r="I31"/>
  <c r="B38"/>
  <c r="I39"/>
  <c r="I9"/>
  <c r="I13"/>
  <c r="I24"/>
  <c r="B27"/>
  <c r="I32"/>
  <c r="B35"/>
  <c r="I40"/>
  <c r="E88" i="92"/>
  <c r="D89"/>
  <c r="D90" s="1"/>
  <c r="D91" s="1"/>
  <c r="D92" s="1"/>
  <c r="D93" s="1"/>
  <c r="D94" s="1"/>
  <c r="D95" s="1"/>
  <c r="D96" s="1"/>
  <c r="D97" s="1"/>
  <c r="D98" s="1"/>
  <c r="D99" s="1"/>
  <c r="D100" s="1"/>
  <c r="D101" s="1"/>
  <c r="D102" s="1"/>
  <c r="D103" s="1"/>
  <c r="D104" s="1"/>
  <c r="D105" s="1"/>
  <c r="D106" s="1"/>
  <c r="C101" i="84"/>
  <c r="C99"/>
  <c r="E88" i="96"/>
  <c r="D89"/>
  <c r="D90" s="1"/>
  <c r="D91" s="1"/>
  <c r="D92" s="1"/>
  <c r="D93" s="1"/>
  <c r="D94" s="1"/>
  <c r="D95" s="1"/>
  <c r="D96" s="1"/>
  <c r="D97" s="1"/>
  <c r="D98" s="1"/>
  <c r="D99" s="1"/>
  <c r="D100" s="1"/>
  <c r="D101" s="1"/>
  <c r="D102" s="1"/>
  <c r="D103" s="1"/>
  <c r="D104" s="1"/>
  <c r="D105" s="1"/>
  <c r="D106" s="1"/>
  <c r="D104" i="80"/>
  <c r="E103"/>
  <c r="I35" i="51"/>
  <c r="I38"/>
  <c r="B36"/>
  <c r="I28"/>
  <c r="B34" i="91"/>
  <c r="B86"/>
  <c r="C126" i="51"/>
  <c r="C130"/>
  <c r="C133"/>
  <c r="C141"/>
  <c r="C144"/>
  <c r="E129" i="57"/>
  <c r="D130"/>
  <c r="E129" i="42"/>
  <c r="D130"/>
  <c r="L223" i="45"/>
  <c r="F59" i="92"/>
  <c r="C57"/>
  <c r="I6"/>
  <c r="I10"/>
  <c r="B13"/>
  <c r="I14"/>
  <c r="B17"/>
  <c r="I18"/>
  <c r="B21"/>
  <c r="I22"/>
  <c r="B25"/>
  <c r="I26"/>
  <c r="I5"/>
  <c r="I9"/>
  <c r="I11"/>
  <c r="B14"/>
  <c r="I15"/>
  <c r="B18"/>
  <c r="I19"/>
  <c r="B22"/>
  <c r="I23"/>
  <c r="B26"/>
  <c r="I27"/>
  <c r="I8"/>
  <c r="B11"/>
  <c r="I12"/>
  <c r="B15"/>
  <c r="I16"/>
  <c r="B19"/>
  <c r="I20"/>
  <c r="B23"/>
  <c r="I24"/>
  <c r="B27"/>
  <c r="I28"/>
  <c r="I7"/>
  <c r="B12"/>
  <c r="I13"/>
  <c r="B16"/>
  <c r="I17"/>
  <c r="B20"/>
  <c r="I21"/>
  <c r="B24"/>
  <c r="I25"/>
  <c r="B28"/>
  <c r="F86" i="48"/>
  <c r="C85"/>
  <c r="B42" i="51"/>
  <c r="I27"/>
  <c r="B34"/>
  <c r="AO226" s="1"/>
  <c r="B41"/>
  <c r="B33"/>
  <c r="B25"/>
  <c r="I11"/>
  <c r="I37"/>
  <c r="I29"/>
  <c r="I19"/>
  <c r="B39"/>
  <c r="B220" s="1"/>
  <c r="B31"/>
  <c r="I20"/>
  <c r="I5"/>
  <c r="C77" i="79"/>
  <c r="D102" i="82"/>
  <c r="E101"/>
  <c r="E86" i="94"/>
  <c r="D87"/>
  <c r="E87" i="89"/>
  <c r="D88"/>
  <c r="L223" i="51"/>
  <c r="C85" i="45"/>
  <c r="F86"/>
  <c r="C88" i="92"/>
  <c r="F58"/>
  <c r="C62"/>
  <c r="L179" i="84"/>
  <c r="D170" i="39"/>
  <c r="D171" s="1"/>
  <c r="D172" s="1"/>
  <c r="D173" s="1"/>
  <c r="D174" s="1"/>
  <c r="D175" s="1"/>
  <c r="D176" s="1"/>
  <c r="D177" s="1"/>
  <c r="D178" s="1"/>
  <c r="D179" s="1"/>
  <c r="D180" s="1"/>
  <c r="D181" s="1"/>
  <c r="D182" s="1"/>
  <c r="D183" s="1"/>
  <c r="D184" s="1"/>
  <c r="D185" s="1"/>
  <c r="D186" s="1"/>
  <c r="D187" s="1"/>
  <c r="D188" s="1"/>
  <c r="D189" s="1"/>
  <c r="D190" s="1"/>
  <c r="D191" s="1"/>
  <c r="D192" s="1"/>
  <c r="D193" s="1"/>
  <c r="D194" s="1"/>
  <c r="D195" s="1"/>
  <c r="D196" s="1"/>
  <c r="D197" s="1"/>
  <c r="D198" s="1"/>
  <c r="D199" s="1"/>
  <c r="D200" s="1"/>
  <c r="D201" s="1"/>
  <c r="D202" s="1"/>
  <c r="N223" i="60"/>
  <c r="E103" i="86"/>
  <c r="D104"/>
  <c r="B111" i="89"/>
  <c r="N154"/>
  <c r="B59"/>
  <c r="C59" s="1"/>
  <c r="B33"/>
  <c r="B85"/>
  <c r="C137" i="48"/>
  <c r="C139"/>
  <c r="C138"/>
  <c r="E103" i="79"/>
  <c r="D104"/>
  <c r="D105" s="1"/>
  <c r="C49" i="60"/>
  <c r="C50" s="1"/>
  <c r="C51" s="1"/>
  <c r="C52" s="1"/>
  <c r="C53" s="1"/>
  <c r="C54" s="1"/>
  <c r="C55" s="1"/>
  <c r="C56" s="1"/>
  <c r="C57" s="1"/>
  <c r="C58" s="1"/>
  <c r="C59" s="1"/>
  <c r="C60" s="1"/>
  <c r="C61" s="1"/>
  <c r="C62" s="1"/>
  <c r="C63" s="1"/>
  <c r="C64" s="1"/>
  <c r="C65" s="1"/>
  <c r="C66" s="1"/>
  <c r="C67" s="1"/>
  <c r="C68" s="1"/>
  <c r="C69" s="1"/>
  <c r="C70" s="1"/>
  <c r="C71" s="1"/>
  <c r="C72" s="1"/>
  <c r="C73" s="1"/>
  <c r="C74" s="1"/>
  <c r="C75" s="1"/>
  <c r="C76" s="1"/>
  <c r="C77" s="1"/>
  <c r="C78" s="1"/>
  <c r="C79" s="1"/>
  <c r="C80" s="1"/>
  <c r="C81" s="1"/>
  <c r="C82" s="1"/>
  <c r="E128" i="36"/>
  <c r="D129"/>
  <c r="I14" i="51"/>
  <c r="B38"/>
  <c r="I39"/>
  <c r="I42"/>
  <c r="I34"/>
  <c r="I26"/>
  <c r="I15"/>
  <c r="B40"/>
  <c r="AU226" s="1"/>
  <c r="B32"/>
  <c r="I23"/>
  <c r="I40"/>
  <c r="I32"/>
  <c r="I24"/>
  <c r="B215"/>
  <c r="AI157" i="92"/>
  <c r="B153"/>
  <c r="B145"/>
  <c r="AA157"/>
  <c r="B137"/>
  <c r="S157"/>
  <c r="B147"/>
  <c r="AC157"/>
  <c r="B139"/>
  <c r="U157"/>
  <c r="B217" i="51"/>
  <c r="AQ226"/>
  <c r="L154" i="91"/>
  <c r="K49" i="108"/>
  <c r="J50"/>
  <c r="J51" s="1"/>
  <c r="J52" s="1"/>
  <c r="J53" s="1"/>
  <c r="J75" s="1"/>
  <c r="D130" i="36"/>
  <c r="E129"/>
  <c r="E104" i="79"/>
  <c r="E88" i="89"/>
  <c r="D89"/>
  <c r="D90" s="1"/>
  <c r="D91" s="1"/>
  <c r="D92" s="1"/>
  <c r="D93" s="1"/>
  <c r="D94" s="1"/>
  <c r="D95" s="1"/>
  <c r="D96" s="1"/>
  <c r="D97" s="1"/>
  <c r="D98" s="1"/>
  <c r="D99" s="1"/>
  <c r="D100" s="1"/>
  <c r="D101" s="1"/>
  <c r="D102" s="1"/>
  <c r="D103" s="1"/>
  <c r="D104" s="1"/>
  <c r="D105" s="1"/>
  <c r="D106" s="1"/>
  <c r="B212" i="51"/>
  <c r="AL226"/>
  <c r="B222"/>
  <c r="AV226"/>
  <c r="AH157" i="92"/>
  <c r="B152"/>
  <c r="Z157"/>
  <c r="B144"/>
  <c r="R157"/>
  <c r="B136"/>
  <c r="B146"/>
  <c r="AB157"/>
  <c r="B138"/>
  <c r="T157"/>
  <c r="I57"/>
  <c r="I58"/>
  <c r="I59"/>
  <c r="I60"/>
  <c r="I61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62"/>
  <c r="B63"/>
  <c r="B64"/>
  <c r="B65"/>
  <c r="C65" s="1"/>
  <c r="B66"/>
  <c r="B67"/>
  <c r="B68"/>
  <c r="B69"/>
  <c r="D142" s="1"/>
  <c r="B70"/>
  <c r="B71"/>
  <c r="B72"/>
  <c r="B73"/>
  <c r="D146" s="1"/>
  <c r="B74"/>
  <c r="B75"/>
  <c r="B76"/>
  <c r="B77"/>
  <c r="AF159" s="1"/>
  <c r="B78"/>
  <c r="B79"/>
  <c r="B80"/>
  <c r="D131" i="57"/>
  <c r="D132" s="1"/>
  <c r="E130"/>
  <c r="D105" i="80"/>
  <c r="E105" s="1"/>
  <c r="E104"/>
  <c r="B210" i="51"/>
  <c r="AJ226"/>
  <c r="B207"/>
  <c r="AG226"/>
  <c r="F59" i="91"/>
  <c r="C57"/>
  <c r="B213" i="51"/>
  <c r="AM226"/>
  <c r="D105" i="86"/>
  <c r="E104"/>
  <c r="E102" i="82"/>
  <c r="D103"/>
  <c r="AN226" i="51"/>
  <c r="B214"/>
  <c r="B223"/>
  <c r="AW226"/>
  <c r="B149" i="92"/>
  <c r="AE157"/>
  <c r="B141"/>
  <c r="W157"/>
  <c r="B151"/>
  <c r="AG157"/>
  <c r="B143"/>
  <c r="Y157"/>
  <c r="AS226" i="48"/>
  <c r="B219"/>
  <c r="AK226"/>
  <c r="B211"/>
  <c r="B221"/>
  <c r="AU226"/>
  <c r="B213"/>
  <c r="AM226"/>
  <c r="E88" i="93"/>
  <c r="D89"/>
  <c r="D90" s="1"/>
  <c r="D91" s="1"/>
  <c r="D92" s="1"/>
  <c r="D93" s="1"/>
  <c r="D94" s="1"/>
  <c r="D95" s="1"/>
  <c r="D96" s="1"/>
  <c r="D97" s="1"/>
  <c r="D98" s="1"/>
  <c r="D99" s="1"/>
  <c r="D100" s="1"/>
  <c r="D101" s="1"/>
  <c r="D102" s="1"/>
  <c r="D103" s="1"/>
  <c r="D104" s="1"/>
  <c r="D105" s="1"/>
  <c r="D106" s="1"/>
  <c r="D131" i="45"/>
  <c r="E130"/>
  <c r="C57" i="89"/>
  <c r="F59"/>
  <c r="D171" i="60"/>
  <c r="D172" s="1"/>
  <c r="D173" s="1"/>
  <c r="C86" i="91"/>
  <c r="B219" i="51"/>
  <c r="AS226"/>
  <c r="E87" i="94"/>
  <c r="D88"/>
  <c r="B206" i="51"/>
  <c r="AF226"/>
  <c r="AD157" i="92"/>
  <c r="B148"/>
  <c r="V157"/>
  <c r="B140"/>
  <c r="B150"/>
  <c r="AF157"/>
  <c r="B142"/>
  <c r="X157"/>
  <c r="D131" i="42"/>
  <c r="E130"/>
  <c r="B216" i="48"/>
  <c r="AP226"/>
  <c r="B208"/>
  <c r="AH226"/>
  <c r="B218"/>
  <c r="AR226"/>
  <c r="B210"/>
  <c r="AJ226"/>
  <c r="F58" i="89"/>
  <c r="I66" s="1"/>
  <c r="C62"/>
  <c r="C85"/>
  <c r="D104" i="83"/>
  <c r="E103"/>
  <c r="D105"/>
  <c r="E104"/>
  <c r="B65" i="89"/>
  <c r="I74"/>
  <c r="E131" i="57"/>
  <c r="D150" i="92"/>
  <c r="C69"/>
  <c r="T159"/>
  <c r="E131" i="42"/>
  <c r="D132"/>
  <c r="D151" i="92"/>
  <c r="AG159"/>
  <c r="C78"/>
  <c r="D147"/>
  <c r="AC159"/>
  <c r="C74"/>
  <c r="D143"/>
  <c r="Y159"/>
  <c r="C70"/>
  <c r="D139"/>
  <c r="U159"/>
  <c r="C66"/>
  <c r="C79"/>
  <c r="D152"/>
  <c r="AH159"/>
  <c r="C75"/>
  <c r="D148"/>
  <c r="AD159"/>
  <c r="C71"/>
  <c r="D144"/>
  <c r="Z159"/>
  <c r="C67"/>
  <c r="D140"/>
  <c r="V159"/>
  <c r="C63"/>
  <c r="D136"/>
  <c r="R159"/>
  <c r="E130" i="36"/>
  <c r="D131"/>
  <c r="E88" i="94"/>
  <c r="D89"/>
  <c r="D90" s="1"/>
  <c r="D91" s="1"/>
  <c r="D92" s="1"/>
  <c r="D93" s="1"/>
  <c r="D94" s="1"/>
  <c r="D95" s="1"/>
  <c r="D96" s="1"/>
  <c r="D97" s="1"/>
  <c r="D98" s="1"/>
  <c r="D99" s="1"/>
  <c r="D100" s="1"/>
  <c r="D101" s="1"/>
  <c r="D102" s="1"/>
  <c r="D103" s="1"/>
  <c r="D104" s="1"/>
  <c r="D105" s="1"/>
  <c r="D106" s="1"/>
  <c r="D132" i="45"/>
  <c r="E132" s="1"/>
  <c r="E131"/>
  <c r="D104" i="82"/>
  <c r="E103"/>
  <c r="E105" i="86"/>
  <c r="D106"/>
  <c r="E106" s="1"/>
  <c r="C80" i="92"/>
  <c r="D153"/>
  <c r="AI159"/>
  <c r="C76"/>
  <c r="D149"/>
  <c r="AE159"/>
  <c r="C72"/>
  <c r="D145"/>
  <c r="AA159"/>
  <c r="C68"/>
  <c r="D141"/>
  <c r="W159"/>
  <c r="C64"/>
  <c r="D137"/>
  <c r="S159"/>
  <c r="L49" i="108"/>
  <c r="L50" s="1"/>
  <c r="L51" s="1"/>
  <c r="L52" s="1"/>
  <c r="L53" s="1"/>
  <c r="L75" s="1"/>
  <c r="K50"/>
  <c r="K51" s="1"/>
  <c r="K52" s="1"/>
  <c r="K53" s="1"/>
  <c r="D106" i="83"/>
  <c r="E106" s="1"/>
  <c r="E105"/>
  <c r="D133" i="42"/>
  <c r="E133" s="1"/>
  <c r="E132"/>
  <c r="D107" i="86"/>
  <c r="E107" s="1"/>
  <c r="C65" i="89"/>
  <c r="D138"/>
  <c r="T159"/>
  <c r="E104" i="82"/>
  <c r="D105"/>
  <c r="E105" s="1"/>
  <c r="D132" i="36"/>
  <c r="E132" s="1"/>
  <c r="E131"/>
  <c r="D108" i="86"/>
  <c r="D109" s="1"/>
  <c r="D110" s="1"/>
  <c r="D111" s="1"/>
  <c r="D112" s="1"/>
  <c r="D113" s="1"/>
  <c r="D114" s="1"/>
  <c r="D115" s="1"/>
  <c r="D116" s="1"/>
  <c r="D117" s="1"/>
  <c r="D118" s="1"/>
  <c r="D119" s="1"/>
  <c r="D120" s="1"/>
  <c r="D121" s="1"/>
  <c r="D122" s="1"/>
  <c r="D123" s="1"/>
  <c r="D124" s="1"/>
  <c r="D125" s="1"/>
  <c r="D126" s="1"/>
  <c r="D174" i="60"/>
  <c r="D175" s="1"/>
  <c r="D176" s="1"/>
  <c r="D177" s="1"/>
  <c r="D178" s="1"/>
  <c r="D179" s="1"/>
  <c r="D180" s="1"/>
  <c r="D181" s="1"/>
  <c r="D182" s="1"/>
  <c r="D183" s="1"/>
  <c r="D184" s="1"/>
  <c r="D185" s="1"/>
  <c r="D186" s="1"/>
  <c r="D187" s="1"/>
  <c r="D188" s="1"/>
  <c r="D189" s="1"/>
  <c r="D190" s="1"/>
  <c r="D191" s="1"/>
  <c r="D192" s="1"/>
  <c r="D193" s="1"/>
  <c r="D194" s="1"/>
  <c r="D195" s="1"/>
  <c r="D196" s="1"/>
  <c r="D197" s="1"/>
  <c r="D198" s="1"/>
  <c r="D199" s="1"/>
  <c r="D200" s="1"/>
  <c r="D201" s="1"/>
  <c r="D202" s="1"/>
  <c r="D133" i="36"/>
  <c r="D134" s="1"/>
  <c r="D134" i="42"/>
  <c r="D178"/>
  <c r="D179" s="1"/>
  <c r="D180" s="1"/>
  <c r="D181" s="1"/>
  <c r="D182" s="1"/>
  <c r="D183" s="1"/>
  <c r="D184" s="1"/>
  <c r="D185" s="1"/>
  <c r="D186" s="1"/>
  <c r="D187" s="1"/>
  <c r="D188" s="1"/>
  <c r="D189" s="1"/>
  <c r="D190" s="1"/>
  <c r="D191" s="1"/>
  <c r="D192" s="1"/>
  <c r="D193" s="1"/>
  <c r="D194" s="1"/>
  <c r="D195" s="1"/>
  <c r="D196" s="1"/>
  <c r="D197" s="1"/>
  <c r="D198" s="1"/>
  <c r="D199" s="1"/>
  <c r="D200" s="1"/>
  <c r="D201" s="1"/>
  <c r="D202" s="1"/>
  <c r="F99" i="119"/>
  <c r="F125" i="101"/>
  <c r="F125" i="119"/>
  <c r="F151" i="101"/>
  <c r="F72" i="119"/>
  <c r="F98" i="101"/>
  <c r="F139"/>
  <c r="F113" i="119"/>
  <c r="E65"/>
  <c r="E91" i="101"/>
  <c r="F73" i="119"/>
  <c r="F99" i="101"/>
  <c r="F118" i="119"/>
  <c r="F144" i="101"/>
  <c r="E95" i="119"/>
  <c r="E121" i="101"/>
  <c r="E63" i="119"/>
  <c r="E89" i="101"/>
  <c r="F116" i="119"/>
  <c r="F142" i="101"/>
  <c r="F88" i="119"/>
  <c r="F114" i="101"/>
  <c r="E100" i="119"/>
  <c r="E126" i="101"/>
  <c r="F122" i="119"/>
  <c r="F148" i="101"/>
  <c r="F58"/>
  <c r="F32" i="119"/>
  <c r="E65" i="101"/>
  <c r="E39" i="119"/>
  <c r="F141" i="101"/>
  <c r="F115" i="119"/>
  <c r="E85" i="101"/>
  <c r="E59" i="119"/>
  <c r="F70"/>
  <c r="F96" i="101"/>
  <c r="E117" i="119"/>
  <c r="E143" i="101"/>
  <c r="E112"/>
  <c r="E86" i="119"/>
  <c r="E73"/>
  <c r="E99" i="101"/>
  <c r="E124" i="119"/>
  <c r="E150" i="101"/>
  <c r="E84"/>
  <c r="E58" i="119"/>
  <c r="E109" i="101"/>
  <c r="E83" i="119"/>
  <c r="E49"/>
  <c r="E75" i="101"/>
  <c r="F102"/>
  <c r="F76" i="119"/>
  <c r="F127"/>
  <c r="F153" i="101"/>
  <c r="E125" i="119"/>
  <c r="E151" i="101"/>
  <c r="E69" i="119"/>
  <c r="E95" i="101"/>
  <c r="F121" i="119"/>
  <c r="F147" i="101"/>
  <c r="E121" i="119"/>
  <c r="E147" i="101"/>
  <c r="E114"/>
  <c r="E88" i="119"/>
  <c r="E113"/>
  <c r="E139" i="101"/>
  <c r="E138"/>
  <c r="E112" i="119"/>
  <c r="E74" i="101"/>
  <c r="E48" i="119"/>
  <c r="F75"/>
  <c r="F101" i="101"/>
  <c r="E96" i="119"/>
  <c r="E122" i="101"/>
  <c r="F40" i="119"/>
  <c r="F66" i="101"/>
  <c r="E66"/>
  <c r="E40" i="119"/>
  <c r="F66"/>
  <c r="F92" i="101"/>
  <c r="E64" i="119"/>
  <c r="E90" i="101"/>
  <c r="E61"/>
  <c r="E35" i="119"/>
  <c r="F112"/>
  <c r="F138" i="101"/>
  <c r="F83"/>
  <c r="F57" i="119"/>
  <c r="F60" i="101"/>
  <c r="F34" i="119"/>
  <c r="F59" i="101"/>
  <c r="F33" i="119"/>
  <c r="F84" i="101"/>
  <c r="F58" i="119"/>
  <c r="E91"/>
  <c r="E117" i="101"/>
  <c r="E88"/>
  <c r="E62" i="119"/>
  <c r="F110" i="101"/>
  <c r="F84" i="119"/>
  <c r="E102"/>
  <c r="E128" i="101"/>
  <c r="F124" i="119"/>
  <c r="F150" i="101"/>
  <c r="E68"/>
  <c r="E42" i="119"/>
  <c r="F95"/>
  <c r="F121" i="101"/>
  <c r="E67"/>
  <c r="E41" i="119"/>
  <c r="E94"/>
  <c r="E120" i="101"/>
  <c r="E118"/>
  <c r="E92" i="119"/>
  <c r="E116" i="101"/>
  <c r="E90" i="119"/>
  <c r="E89"/>
  <c r="E115" i="101"/>
  <c r="E111"/>
  <c r="E85" i="119"/>
  <c r="F91" i="101"/>
  <c r="F65" i="119"/>
  <c r="F63"/>
  <c r="F89" i="101"/>
  <c r="F113"/>
  <c r="F87" i="119"/>
  <c r="F154" i="101"/>
  <c r="F128" i="119"/>
  <c r="F137" i="101"/>
  <c r="F111" i="119"/>
  <c r="F135" i="101"/>
  <c r="F109" i="119"/>
  <c r="F126"/>
  <c r="F152" i="101"/>
  <c r="F149"/>
  <c r="F123" i="119"/>
  <c r="F145" i="101"/>
  <c r="F119" i="119"/>
  <c r="F143" i="101"/>
  <c r="F117" i="119"/>
  <c r="F140" i="101"/>
  <c r="F114" i="119"/>
  <c r="F146" i="101"/>
  <c r="F120" i="119"/>
  <c r="F110"/>
  <c r="F136" i="101"/>
  <c r="E119" i="119"/>
  <c r="E145" i="101"/>
  <c r="E142"/>
  <c r="E116" i="119"/>
  <c r="E154" i="101"/>
  <c r="E128" i="119"/>
  <c r="E126"/>
  <c r="E152" i="101"/>
  <c r="E140"/>
  <c r="E114" i="119"/>
  <c r="E137" i="101"/>
  <c r="E111" i="119"/>
  <c r="E120"/>
  <c r="E146" i="101"/>
  <c r="E141"/>
  <c r="E115" i="119"/>
  <c r="E136" i="101"/>
  <c r="E110" i="119"/>
  <c r="E127"/>
  <c r="E153" i="101"/>
  <c r="E149"/>
  <c r="E123" i="119"/>
  <c r="E122"/>
  <c r="E148" i="101"/>
  <c r="E135"/>
  <c r="E109" i="119"/>
  <c r="F126" i="101"/>
  <c r="F100" i="119"/>
  <c r="F98"/>
  <c r="F124" i="101"/>
  <c r="F92" i="119"/>
  <c r="F118" i="101"/>
  <c r="F86" i="119"/>
  <c r="F112" i="101"/>
  <c r="F102" i="119"/>
  <c r="F128" i="101"/>
  <c r="F123"/>
  <c r="F97" i="119"/>
  <c r="F96"/>
  <c r="F122" i="101"/>
  <c r="F83" i="119"/>
  <c r="F109" i="101"/>
  <c r="F115"/>
  <c r="F89" i="119"/>
  <c r="F127" i="101"/>
  <c r="F101" i="119"/>
  <c r="F94"/>
  <c r="F120" i="101"/>
  <c r="F93" i="119"/>
  <c r="F119" i="101"/>
  <c r="F117"/>
  <c r="F91" i="119"/>
  <c r="F116" i="101"/>
  <c r="F90" i="119"/>
  <c r="F111" i="101"/>
  <c r="F85" i="119"/>
  <c r="E98"/>
  <c r="E124" i="101"/>
  <c r="E87" i="119"/>
  <c r="E113" i="101"/>
  <c r="E99" i="119"/>
  <c r="E125" i="101"/>
  <c r="E127"/>
  <c r="E101" i="119"/>
  <c r="E97"/>
  <c r="E123" i="101"/>
  <c r="E119"/>
  <c r="E93" i="119"/>
  <c r="E110" i="101"/>
  <c r="E84" i="119"/>
  <c r="F71"/>
  <c r="F97" i="101"/>
  <c r="F90"/>
  <c r="F64" i="119"/>
  <c r="F62"/>
  <c r="F88" i="101"/>
  <c r="F85"/>
  <c r="F59" i="119"/>
  <c r="F69"/>
  <c r="F95" i="101"/>
  <c r="F68" i="119"/>
  <c r="F94" i="101"/>
  <c r="F93"/>
  <c r="F67" i="119"/>
  <c r="F87" i="101"/>
  <c r="F61" i="119"/>
  <c r="F74"/>
  <c r="F100" i="101"/>
  <c r="F60" i="119"/>
  <c r="F86" i="101"/>
  <c r="E101"/>
  <c r="E75" i="119"/>
  <c r="E97" i="101"/>
  <c r="E71" i="119"/>
  <c r="E68"/>
  <c r="E94" i="101"/>
  <c r="E72" i="119"/>
  <c r="E98" i="101"/>
  <c r="E87"/>
  <c r="E61" i="119"/>
  <c r="E74"/>
  <c r="E100" i="101"/>
  <c r="E67" i="119"/>
  <c r="E93" i="101"/>
  <c r="E86"/>
  <c r="E60" i="119"/>
  <c r="E76"/>
  <c r="E102" i="101"/>
  <c r="E96"/>
  <c r="E70" i="119"/>
  <c r="E92" i="101"/>
  <c r="E66" i="119"/>
  <c r="E83" i="101"/>
  <c r="E57" i="119"/>
  <c r="F50"/>
  <c r="F76" i="101"/>
  <c r="F44" i="119"/>
  <c r="F70" i="101"/>
  <c r="F35" i="119"/>
  <c r="F61" i="101"/>
  <c r="F75"/>
  <c r="F49" i="119"/>
  <c r="H50" s="1"/>
  <c r="D207" s="1"/>
  <c r="F43"/>
  <c r="F69" i="101"/>
  <c r="F65"/>
  <c r="F39" i="119"/>
  <c r="F38"/>
  <c r="F64" i="101"/>
  <c r="F57"/>
  <c r="F31" i="119"/>
  <c r="F48"/>
  <c r="F74" i="101"/>
  <c r="F47" i="119"/>
  <c r="F73" i="101"/>
  <c r="F46" i="119"/>
  <c r="F72" i="101"/>
  <c r="F42" i="119"/>
  <c r="F68" i="101"/>
  <c r="F63"/>
  <c r="F37" i="119"/>
  <c r="F45"/>
  <c r="F71" i="101"/>
  <c r="F67"/>
  <c r="F41" i="119"/>
  <c r="F36"/>
  <c r="F62" i="101"/>
  <c r="E47" i="119"/>
  <c r="E73" i="101"/>
  <c r="E72"/>
  <c r="E46" i="119"/>
  <c r="E71" i="101"/>
  <c r="E45" i="119"/>
  <c r="E60" i="101"/>
  <c r="E34" i="119"/>
  <c r="E59" i="101"/>
  <c r="E33" i="119"/>
  <c r="E50"/>
  <c r="E76" i="101"/>
  <c r="E64"/>
  <c r="E38" i="119"/>
  <c r="E63" i="101"/>
  <c r="E37" i="119"/>
  <c r="E62" i="101"/>
  <c r="E36" i="119"/>
  <c r="E58" i="101"/>
  <c r="E32" i="119"/>
  <c r="E31"/>
  <c r="E57" i="101"/>
  <c r="E70"/>
  <c r="E44" i="119"/>
  <c r="E69" i="101"/>
  <c r="E43" i="119"/>
  <c r="A103" i="79"/>
  <c r="A72"/>
  <c r="A41"/>
  <c r="A107" i="80"/>
  <c r="A72"/>
  <c r="A37" i="81"/>
  <c r="A104" i="84"/>
  <c r="A71"/>
  <c r="A42"/>
  <c r="A132" i="85"/>
  <c r="A72" i="86"/>
  <c r="A43" i="87"/>
  <c r="A39"/>
  <c r="A100" i="79"/>
  <c r="A69"/>
  <c r="A138" i="81"/>
  <c r="A72"/>
  <c r="A72" i="78"/>
  <c r="A105" i="79"/>
  <c r="A74"/>
  <c r="A138" i="80"/>
  <c r="A45"/>
  <c r="A102" i="84"/>
  <c r="A40"/>
  <c r="A132" i="87"/>
  <c r="A101"/>
  <c r="A108" i="84"/>
  <c r="A134" i="80"/>
  <c r="A108"/>
  <c r="A103"/>
  <c r="A137" i="82"/>
  <c r="A71" i="78"/>
  <c r="A135" i="79"/>
  <c r="A73"/>
  <c r="A46" i="80"/>
  <c r="A40" i="81"/>
  <c r="A77" i="82"/>
  <c r="A73"/>
  <c r="A44"/>
  <c r="A69" i="83"/>
  <c r="A37"/>
  <c r="A134" i="87"/>
  <c r="A70" i="78"/>
  <c r="A106" i="85"/>
  <c r="A100" i="81"/>
  <c r="A99" i="79"/>
  <c r="A101" i="78"/>
  <c r="A40"/>
  <c r="A39"/>
  <c r="A68" i="80"/>
  <c r="A131" i="81"/>
  <c r="A70"/>
  <c r="A45"/>
  <c r="A39"/>
  <c r="A69"/>
  <c r="A75" i="82"/>
  <c r="A46"/>
  <c r="A42"/>
  <c r="A108"/>
  <c r="A43" i="83"/>
  <c r="A139" i="84"/>
  <c r="A77"/>
  <c r="A137" i="85"/>
  <c r="A101"/>
  <c r="A76" i="81"/>
  <c r="A133"/>
  <c r="A74" i="80"/>
  <c r="C14" i="70"/>
  <c r="C18" s="1"/>
  <c r="A39" i="79"/>
  <c r="A38"/>
  <c r="A136" i="85"/>
  <c r="A131"/>
  <c r="A99"/>
  <c r="A68"/>
  <c r="A40"/>
  <c r="A71"/>
  <c r="A105" i="82"/>
  <c r="A103"/>
  <c r="A136" i="83"/>
  <c r="A133" i="85"/>
  <c r="A100"/>
  <c r="A139" i="86"/>
  <c r="A108"/>
  <c r="A105"/>
  <c r="A102"/>
  <c r="A41"/>
  <c r="A108" i="87"/>
  <c r="A46"/>
  <c r="A73"/>
  <c r="A139" i="78"/>
  <c r="A108"/>
  <c r="A77"/>
  <c r="A139" i="79"/>
  <c r="A139" i="80"/>
  <c r="A105"/>
  <c r="A134" i="82"/>
  <c r="A130"/>
  <c r="A139" i="83"/>
  <c r="A77"/>
  <c r="A131" i="84"/>
  <c r="A106" i="87"/>
  <c r="A75"/>
  <c r="B129" i="60"/>
  <c r="B169"/>
  <c r="B49"/>
  <c r="B89"/>
  <c r="M179" i="83"/>
  <c r="I19" i="48"/>
  <c r="I29"/>
  <c r="I37"/>
  <c r="I11"/>
  <c r="B25"/>
  <c r="B33"/>
  <c r="B41"/>
  <c r="AV226" s="1"/>
  <c r="I14"/>
  <c r="I27"/>
  <c r="I35"/>
  <c r="I5"/>
  <c r="I20"/>
  <c r="B31"/>
  <c r="B39"/>
  <c r="AT226" s="1"/>
  <c r="I10"/>
  <c r="B28"/>
  <c r="B36"/>
  <c r="AQ226" s="1"/>
  <c r="I7"/>
  <c r="I22"/>
  <c r="I30"/>
  <c r="I38"/>
  <c r="I12"/>
  <c r="B26"/>
  <c r="B34"/>
  <c r="B42"/>
  <c r="I16"/>
  <c r="I28"/>
  <c r="I36"/>
  <c r="C126" i="45"/>
  <c r="C134"/>
  <c r="C142"/>
  <c r="C137"/>
  <c r="B95" i="48"/>
  <c r="C95"/>
  <c r="B55"/>
  <c r="B135"/>
  <c r="C135" s="1"/>
  <c r="B6" i="78"/>
  <c r="B175" i="48"/>
  <c r="V223" s="1"/>
  <c r="B12" i="78"/>
  <c r="B181" i="48"/>
  <c r="AB223" s="1"/>
  <c r="B141"/>
  <c r="C141"/>
  <c r="B61"/>
  <c r="B101"/>
  <c r="C101" s="1"/>
  <c r="B134" i="78"/>
  <c r="Q179" s="1"/>
  <c r="B103"/>
  <c r="B41"/>
  <c r="B72"/>
  <c r="C72" s="1"/>
  <c r="B129" i="51"/>
  <c r="C129"/>
  <c r="B89"/>
  <c r="C89" s="1"/>
  <c r="B49"/>
  <c r="B169"/>
  <c r="P223" s="1"/>
  <c r="B8" i="80"/>
  <c r="B57" i="54"/>
  <c r="B177"/>
  <c r="X223" s="1"/>
  <c r="B97"/>
  <c r="C97" s="1"/>
  <c r="B137"/>
  <c r="C137" s="1"/>
  <c r="B52" i="57"/>
  <c r="B92"/>
  <c r="C92" s="1"/>
  <c r="B132"/>
  <c r="B172"/>
  <c r="S223" s="1"/>
  <c r="B9" i="82"/>
  <c r="B40" s="1"/>
  <c r="B98" i="57"/>
  <c r="C98" s="1"/>
  <c r="B138"/>
  <c r="B178"/>
  <c r="Y223" s="1"/>
  <c r="B58"/>
  <c r="B6" i="82"/>
  <c r="B68" s="1"/>
  <c r="B135" i="57"/>
  <c r="B175"/>
  <c r="V223"/>
  <c r="B55"/>
  <c r="B95"/>
  <c r="C95" s="1"/>
  <c r="B130" i="42"/>
  <c r="B170"/>
  <c r="B90"/>
  <c r="C90" s="1"/>
  <c r="B99" i="83"/>
  <c r="B68"/>
  <c r="C68" s="1"/>
  <c r="B37"/>
  <c r="B61" i="42"/>
  <c r="B181"/>
  <c r="AB223" s="1"/>
  <c r="B12" i="83"/>
  <c r="B101" i="42"/>
  <c r="C101" s="1"/>
  <c r="B141"/>
  <c r="B45" i="39"/>
  <c r="B85"/>
  <c r="C85" s="1"/>
  <c r="B165"/>
  <c r="B125"/>
  <c r="C133" s="1"/>
  <c r="E6"/>
  <c r="E5"/>
  <c r="I28" s="1"/>
  <c r="C85" i="36"/>
  <c r="F86"/>
  <c r="B60" i="96"/>
  <c r="C60" s="1"/>
  <c r="B86"/>
  <c r="B34"/>
  <c r="N223" i="54"/>
  <c r="B100" i="48"/>
  <c r="C100" s="1"/>
  <c r="B11" i="78"/>
  <c r="B135" s="1"/>
  <c r="R179" s="1"/>
  <c r="B60" i="48"/>
  <c r="B140"/>
  <c r="C140" s="1"/>
  <c r="B180"/>
  <c r="AA223" s="1"/>
  <c r="B96" i="51"/>
  <c r="C96" s="1"/>
  <c r="B176"/>
  <c r="W223" s="1"/>
  <c r="B56"/>
  <c r="B7" i="79"/>
  <c r="B136" i="51"/>
  <c r="C136" s="1"/>
  <c r="B6" i="80"/>
  <c r="B99" s="1"/>
  <c r="B135" i="54"/>
  <c r="C135" s="1"/>
  <c r="B55"/>
  <c r="B95"/>
  <c r="C95" s="1"/>
  <c r="B175"/>
  <c r="V223" s="1"/>
  <c r="B13" i="80"/>
  <c r="B44" s="1"/>
  <c r="B62" i="54"/>
  <c r="B102"/>
  <c r="C102" s="1"/>
  <c r="B142"/>
  <c r="C142"/>
  <c r="B182"/>
  <c r="AC223" s="1"/>
  <c r="B72" i="80"/>
  <c r="C72" s="1"/>
  <c r="B5" i="90"/>
  <c r="B109" s="1"/>
  <c r="L154" s="1"/>
  <c r="B103" i="80"/>
  <c r="B41"/>
  <c r="B134"/>
  <c r="Q179" s="1"/>
  <c r="B173" i="45"/>
  <c r="T223"/>
  <c r="B53"/>
  <c r="B93"/>
  <c r="C93" s="1"/>
  <c r="B133"/>
  <c r="C133"/>
  <c r="B56"/>
  <c r="B7" i="81"/>
  <c r="B69" s="1"/>
  <c r="C69" s="1"/>
  <c r="B96" i="45"/>
  <c r="C96"/>
  <c r="B176"/>
  <c r="W223" s="1"/>
  <c r="B136"/>
  <c r="C136" s="1"/>
  <c r="B12" i="81"/>
  <c r="B43" s="1"/>
  <c r="B141" i="45"/>
  <c r="C141" s="1"/>
  <c r="B61"/>
  <c r="B101"/>
  <c r="C101" s="1"/>
  <c r="B181"/>
  <c r="AB223" s="1"/>
  <c r="B103" i="42"/>
  <c r="C103" s="1"/>
  <c r="B14" i="83"/>
  <c r="B76" s="1"/>
  <c r="C76" s="1"/>
  <c r="B63" i="42"/>
  <c r="B143"/>
  <c r="B183"/>
  <c r="AD223"/>
  <c r="B140"/>
  <c r="B60"/>
  <c r="B100"/>
  <c r="C100" s="1"/>
  <c r="B180"/>
  <c r="AA223" s="1"/>
  <c r="B11" i="83"/>
  <c r="B6" i="93" s="1"/>
  <c r="B144" i="42"/>
  <c r="B64"/>
  <c r="B184"/>
  <c r="AE223" s="1"/>
  <c r="AE226" s="1"/>
  <c r="AE227" s="1"/>
  <c r="AE228" s="1"/>
  <c r="AE229" s="1"/>
  <c r="AE230" s="1"/>
  <c r="AE231" s="1"/>
  <c r="B15" i="83"/>
  <c r="B139" s="1"/>
  <c r="V179" s="1"/>
  <c r="V182" s="1"/>
  <c r="V183" s="1"/>
  <c r="V184" s="1"/>
  <c r="V185" s="1"/>
  <c r="V186" s="1"/>
  <c r="V187" s="1"/>
  <c r="B104" i="42"/>
  <c r="B133" i="78"/>
  <c r="P179"/>
  <c r="B102"/>
  <c r="B40"/>
  <c r="B71"/>
  <c r="C71"/>
  <c r="B102" i="48"/>
  <c r="C102"/>
  <c r="B13" i="78"/>
  <c r="B62" i="48"/>
  <c r="B142"/>
  <c r="C142"/>
  <c r="B182"/>
  <c r="AC223" s="1"/>
  <c r="B58" i="51"/>
  <c r="B98"/>
  <c r="C98" s="1"/>
  <c r="B9" i="79"/>
  <c r="B138" i="51"/>
  <c r="C138" s="1"/>
  <c r="B178"/>
  <c r="Y223" s="1"/>
  <c r="B142"/>
  <c r="C142" s="1"/>
  <c r="B13" i="79"/>
  <c r="B44" s="1"/>
  <c r="B102" i="51"/>
  <c r="C102" s="1"/>
  <c r="B62"/>
  <c r="B182"/>
  <c r="AC223" s="1"/>
  <c r="B89" i="45"/>
  <c r="C89" s="1"/>
  <c r="B129"/>
  <c r="C129" s="1"/>
  <c r="B169"/>
  <c r="P223" s="1"/>
  <c r="B49"/>
  <c r="B48" i="57"/>
  <c r="B88"/>
  <c r="C88" s="1"/>
  <c r="B100"/>
  <c r="C100" s="1"/>
  <c r="B180"/>
  <c r="AA223" s="1"/>
  <c r="B11" i="82"/>
  <c r="B42" s="1"/>
  <c r="B60" i="57"/>
  <c r="B140"/>
  <c r="B180" i="51"/>
  <c r="AA223"/>
  <c r="B100"/>
  <c r="C100" s="1"/>
  <c r="B60"/>
  <c r="B11" i="79"/>
  <c r="B135" s="1"/>
  <c r="R179" s="1"/>
  <c r="B140" i="51"/>
  <c r="C140" s="1"/>
  <c r="B12" i="80"/>
  <c r="B136" s="1"/>
  <c r="S179" s="1"/>
  <c r="B101" i="54"/>
  <c r="C101" s="1"/>
  <c r="B61"/>
  <c r="B181"/>
  <c r="AB223" s="1"/>
  <c r="B141"/>
  <c r="C141" s="1"/>
  <c r="B172" i="45"/>
  <c r="S223" s="1"/>
  <c r="B92"/>
  <c r="C92" s="1"/>
  <c r="B132"/>
  <c r="C132" s="1"/>
  <c r="B57" i="57"/>
  <c r="B97"/>
  <c r="C97" s="1"/>
  <c r="B8" i="82"/>
  <c r="B137" i="57"/>
  <c r="B177"/>
  <c r="X223" s="1"/>
  <c r="B61"/>
  <c r="B141"/>
  <c r="B101"/>
  <c r="C101" s="1"/>
  <c r="B12" i="82"/>
  <c r="B181" i="57"/>
  <c r="AB223" s="1"/>
  <c r="B126" i="42"/>
  <c r="B86"/>
  <c r="C86" s="1"/>
  <c r="B170" i="39"/>
  <c r="Q223"/>
  <c r="B130"/>
  <c r="B90"/>
  <c r="C90" s="1"/>
  <c r="E5" i="42"/>
  <c r="B92" i="36"/>
  <c r="C92" s="1"/>
  <c r="B172"/>
  <c r="B52"/>
  <c r="B132"/>
  <c r="E177" i="101"/>
  <c r="E151" i="119"/>
  <c r="F169" i="101"/>
  <c r="F143" i="119"/>
  <c r="B13" i="48"/>
  <c r="B173" s="1"/>
  <c r="T223" s="1"/>
  <c r="B9"/>
  <c r="A137" i="78"/>
  <c r="B53" i="54"/>
  <c r="A108" i="83"/>
  <c r="A51" i="39"/>
  <c r="B12"/>
  <c r="B52" s="1"/>
  <c r="B9"/>
  <c r="B169" s="1"/>
  <c r="B6"/>
  <c r="B166" s="1"/>
  <c r="M223" s="1"/>
  <c r="B183" i="60"/>
  <c r="AD223" s="1"/>
  <c r="B14" i="85"/>
  <c r="B76" s="1"/>
  <c r="C76" s="1"/>
  <c r="B63" i="60"/>
  <c r="B103"/>
  <c r="C103" s="1"/>
  <c r="B143"/>
  <c r="B46" i="63"/>
  <c r="B86"/>
  <c r="C86" s="1"/>
  <c r="E145" i="119"/>
  <c r="E171" i="101"/>
  <c r="E141" i="119"/>
  <c r="E167" i="101"/>
  <c r="E137" i="119"/>
  <c r="E163" i="101"/>
  <c r="F144" i="119"/>
  <c r="F170" i="101"/>
  <c r="F140" i="119"/>
  <c r="F166" i="101"/>
  <c r="E172" i="119"/>
  <c r="E198" i="101"/>
  <c r="E168" i="119"/>
  <c r="E194" i="101"/>
  <c r="E164" i="119"/>
  <c r="E190" i="101"/>
  <c r="F166" i="119"/>
  <c r="F192" i="101"/>
  <c r="A86" i="39"/>
  <c r="A52"/>
  <c r="B7" i="86"/>
  <c r="B131" s="1"/>
  <c r="N179" s="1"/>
  <c r="B56" i="36"/>
  <c r="B96"/>
  <c r="C96" s="1"/>
  <c r="B176"/>
  <c r="W223"/>
  <c r="B136"/>
  <c r="B90" i="63"/>
  <c r="C90" s="1"/>
  <c r="B130"/>
  <c r="B50"/>
  <c r="B167"/>
  <c r="B127"/>
  <c r="B47"/>
  <c r="B56"/>
  <c r="B96"/>
  <c r="C96" s="1"/>
  <c r="B7" i="87"/>
  <c r="B69" s="1"/>
  <c r="C69" s="1"/>
  <c r="B136" i="63"/>
  <c r="B176"/>
  <c r="W223" s="1"/>
  <c r="E153" i="119"/>
  <c r="E179" i="101"/>
  <c r="E180" i="119"/>
  <c r="E206" i="101"/>
  <c r="F178" i="119"/>
  <c r="F204" i="101"/>
  <c r="A73" i="78"/>
  <c r="A44"/>
  <c r="A42"/>
  <c r="A58" i="39"/>
  <c r="B61" i="60"/>
  <c r="B12" i="85"/>
  <c r="B101" i="60"/>
  <c r="C101" s="1"/>
  <c r="B181"/>
  <c r="AB223" s="1"/>
  <c r="B141"/>
  <c r="B6" i="86"/>
  <c r="B99" s="1"/>
  <c r="B55" i="36"/>
  <c r="B135"/>
  <c r="B175"/>
  <c r="V223"/>
  <c r="B95"/>
  <c r="C95" s="1"/>
  <c r="F152" i="119"/>
  <c r="F178" i="101"/>
  <c r="A135" i="78"/>
  <c r="I64" i="101"/>
  <c r="I38"/>
  <c r="J38" s="1"/>
  <c r="E175"/>
  <c r="F174"/>
  <c r="F162"/>
  <c r="E205"/>
  <c r="E201"/>
  <c r="E197"/>
  <c r="E193"/>
  <c r="E189"/>
  <c r="F200"/>
  <c r="F196"/>
  <c r="F188"/>
  <c r="F135" i="119"/>
  <c r="F137"/>
  <c r="F139"/>
  <c r="F141"/>
  <c r="F145"/>
  <c r="F147"/>
  <c r="F149"/>
  <c r="F151"/>
  <c r="F153"/>
  <c r="F161"/>
  <c r="F163"/>
  <c r="F165"/>
  <c r="F167"/>
  <c r="F169"/>
  <c r="F171"/>
  <c r="F173"/>
  <c r="F175"/>
  <c r="F177"/>
  <c r="F179"/>
  <c r="E180" i="101"/>
  <c r="E176"/>
  <c r="E172"/>
  <c r="E168"/>
  <c r="E164"/>
  <c r="E202"/>
  <c r="E135" i="119"/>
  <c r="E139"/>
  <c r="E143"/>
  <c r="E147"/>
  <c r="E161"/>
  <c r="E165"/>
  <c r="E169"/>
  <c r="E173"/>
  <c r="E177"/>
  <c r="I60" i="101"/>
  <c r="I34"/>
  <c r="J34" s="1"/>
  <c r="A92" i="36"/>
  <c r="F180" i="101"/>
  <c r="F176"/>
  <c r="F172"/>
  <c r="F168"/>
  <c r="F164"/>
  <c r="F206"/>
  <c r="F202"/>
  <c r="F198"/>
  <c r="F194"/>
  <c r="F190"/>
  <c r="E178"/>
  <c r="E174"/>
  <c r="E170"/>
  <c r="E166"/>
  <c r="E162"/>
  <c r="E204"/>
  <c r="E200"/>
  <c r="E196"/>
  <c r="E192"/>
  <c r="E188"/>
  <c r="B131" i="87"/>
  <c r="N179" s="1"/>
  <c r="B37" i="86"/>
  <c r="B100"/>
  <c r="B38"/>
  <c r="B107" i="85"/>
  <c r="B9" i="95"/>
  <c r="B87" s="1"/>
  <c r="B129" i="39"/>
  <c r="B89"/>
  <c r="C89" s="1"/>
  <c r="S223" i="36"/>
  <c r="B73" i="79"/>
  <c r="C73" s="1"/>
  <c r="B42"/>
  <c r="B6" i="89"/>
  <c r="B32" s="1"/>
  <c r="B104" i="79"/>
  <c r="B73" i="82"/>
  <c r="C73" s="1"/>
  <c r="B6" i="92"/>
  <c r="B110" s="1"/>
  <c r="B135" i="82"/>
  <c r="R179"/>
  <c r="B75" i="79"/>
  <c r="C75" s="1"/>
  <c r="B137"/>
  <c r="T179" s="1"/>
  <c r="B106"/>
  <c r="B40"/>
  <c r="B71"/>
  <c r="C71" s="1"/>
  <c r="B133"/>
  <c r="P179" s="1"/>
  <c r="B102"/>
  <c r="C104" i="42"/>
  <c r="B131" i="81"/>
  <c r="B100"/>
  <c r="B38"/>
  <c r="B68" i="80"/>
  <c r="C68" s="1"/>
  <c r="B37"/>
  <c r="C130" i="39"/>
  <c r="C131"/>
  <c r="C134"/>
  <c r="C129"/>
  <c r="C135"/>
  <c r="C127"/>
  <c r="B130" i="82"/>
  <c r="M179" s="1"/>
  <c r="B99"/>
  <c r="B37"/>
  <c r="B70" i="80"/>
  <c r="C70" s="1"/>
  <c r="B101"/>
  <c r="B39"/>
  <c r="B132"/>
  <c r="O179"/>
  <c r="B220" i="48"/>
  <c r="B214"/>
  <c r="AN226"/>
  <c r="N223" i="63"/>
  <c r="B86" i="39"/>
  <c r="C86" s="1"/>
  <c r="B126"/>
  <c r="C126"/>
  <c r="B46"/>
  <c r="B133" i="48"/>
  <c r="C133"/>
  <c r="B53"/>
  <c r="B93"/>
  <c r="C93" s="1"/>
  <c r="B101" i="82"/>
  <c r="B39"/>
  <c r="B70"/>
  <c r="C70" s="1"/>
  <c r="B132"/>
  <c r="O179" s="1"/>
  <c r="B74" i="81"/>
  <c r="C74"/>
  <c r="B136"/>
  <c r="S179" s="1"/>
  <c r="B7" i="91"/>
  <c r="B105" i="81"/>
  <c r="B137" i="80"/>
  <c r="T179" s="1"/>
  <c r="B75"/>
  <c r="C75" s="1"/>
  <c r="B8" i="90"/>
  <c r="B207" i="48"/>
  <c r="AG226"/>
  <c r="B222"/>
  <c r="C89" i="60"/>
  <c r="B7" i="95"/>
  <c r="B85" s="1"/>
  <c r="B43" i="85"/>
  <c r="B74"/>
  <c r="C74"/>
  <c r="B105"/>
  <c r="B136"/>
  <c r="S179"/>
  <c r="B49" i="48"/>
  <c r="B89"/>
  <c r="B129"/>
  <c r="C129"/>
  <c r="B169"/>
  <c r="P223" s="1"/>
  <c r="B105" i="80"/>
  <c r="B43"/>
  <c r="B74"/>
  <c r="C74" s="1"/>
  <c r="B7" i="90"/>
  <c r="B111" s="1"/>
  <c r="N154" s="1"/>
  <c r="B44" i="78"/>
  <c r="B75"/>
  <c r="C75" s="1"/>
  <c r="B137"/>
  <c r="T179" s="1"/>
  <c r="B106"/>
  <c r="B100" i="79"/>
  <c r="B131"/>
  <c r="N179" s="1"/>
  <c r="B69"/>
  <c r="C69" s="1"/>
  <c r="B38"/>
  <c r="I16" i="39"/>
  <c r="I36"/>
  <c r="I10"/>
  <c r="B28"/>
  <c r="I7"/>
  <c r="I22"/>
  <c r="I30"/>
  <c r="I12"/>
  <c r="B26"/>
  <c r="AG226" s="1"/>
  <c r="B34"/>
  <c r="B215" s="1"/>
  <c r="I13"/>
  <c r="B27"/>
  <c r="B35"/>
  <c r="I25"/>
  <c r="I33"/>
  <c r="I41"/>
  <c r="B29"/>
  <c r="B37"/>
  <c r="AR226" s="1"/>
  <c r="I8"/>
  <c r="I31"/>
  <c r="I39"/>
  <c r="I9"/>
  <c r="I32"/>
  <c r="I40"/>
  <c r="I23"/>
  <c r="B40"/>
  <c r="AU226" s="1"/>
  <c r="I15"/>
  <c r="I26"/>
  <c r="I42"/>
  <c r="I17"/>
  <c r="B30"/>
  <c r="AK226" s="1"/>
  <c r="I5"/>
  <c r="I19"/>
  <c r="B25"/>
  <c r="B39"/>
  <c r="I11"/>
  <c r="I14"/>
  <c r="I37"/>
  <c r="B41"/>
  <c r="I20"/>
  <c r="B33"/>
  <c r="AN226" s="1"/>
  <c r="I35"/>
  <c r="F86"/>
  <c r="B7" i="93"/>
  <c r="B59" s="1"/>
  <c r="C59" s="1"/>
  <c r="B136" i="83"/>
  <c r="S179" s="1"/>
  <c r="B74"/>
  <c r="C74" s="1"/>
  <c r="B43"/>
  <c r="B105"/>
  <c r="Q223" i="42"/>
  <c r="B215" i="48"/>
  <c r="AO226"/>
  <c r="AI226"/>
  <c r="B209"/>
  <c r="B92" i="39"/>
  <c r="C92" s="1"/>
  <c r="B132"/>
  <c r="C132" s="1"/>
  <c r="B172"/>
  <c r="S223" s="1"/>
  <c r="B105" i="82"/>
  <c r="B43"/>
  <c r="B7" i="92"/>
  <c r="B74" i="82"/>
  <c r="C74" s="1"/>
  <c r="B136"/>
  <c r="S179" s="1"/>
  <c r="B46" i="83"/>
  <c r="B10" i="93"/>
  <c r="B77" i="83"/>
  <c r="B108"/>
  <c r="B42"/>
  <c r="B104"/>
  <c r="B135"/>
  <c r="R179" s="1"/>
  <c r="B73"/>
  <c r="C73" s="1"/>
  <c r="B107"/>
  <c r="B9" i="93"/>
  <c r="B87" s="1"/>
  <c r="B138" i="83"/>
  <c r="U179"/>
  <c r="E7" i="90"/>
  <c r="B31"/>
  <c r="B83"/>
  <c r="B57"/>
  <c r="C57" s="1"/>
  <c r="B42" i="78"/>
  <c r="B104"/>
  <c r="B73"/>
  <c r="C73" s="1"/>
  <c r="L223" i="39"/>
  <c r="B133" i="82"/>
  <c r="P179" s="1"/>
  <c r="B71"/>
  <c r="C71"/>
  <c r="B102"/>
  <c r="B105" i="78"/>
  <c r="B43"/>
  <c r="B136"/>
  <c r="S179" s="1"/>
  <c r="B74"/>
  <c r="C74"/>
  <c r="B130"/>
  <c r="M179" s="1"/>
  <c r="B99"/>
  <c r="B68"/>
  <c r="C68" s="1"/>
  <c r="B37"/>
  <c r="AW226" i="48"/>
  <c r="B223"/>
  <c r="B217"/>
  <c r="B212"/>
  <c r="AL226"/>
  <c r="AF226"/>
  <c r="B206"/>
  <c r="P223" i="60"/>
  <c r="C77" i="83"/>
  <c r="B33" i="90"/>
  <c r="B85"/>
  <c r="B59"/>
  <c r="C59" s="1"/>
  <c r="C89" i="48"/>
  <c r="B33" i="95"/>
  <c r="B59"/>
  <c r="C59" s="1"/>
  <c r="B111"/>
  <c r="N154" s="1"/>
  <c r="B112" i="90"/>
  <c r="O154" s="1"/>
  <c r="B60"/>
  <c r="C60" s="1"/>
  <c r="B34"/>
  <c r="B86"/>
  <c r="C68" i="82"/>
  <c r="N179" i="81"/>
  <c r="B84" i="89"/>
  <c r="C84" s="1"/>
  <c r="B58"/>
  <c r="B110"/>
  <c r="M154" s="1"/>
  <c r="B58" i="93"/>
  <c r="C58" s="1"/>
  <c r="B214" i="39"/>
  <c r="B220"/>
  <c r="AT226"/>
  <c r="B221"/>
  <c r="AJ226"/>
  <c r="B210"/>
  <c r="B113" i="95"/>
  <c r="P154" s="1"/>
  <c r="B35"/>
  <c r="B61"/>
  <c r="C61" s="1"/>
  <c r="F59" i="90"/>
  <c r="B111" i="93"/>
  <c r="N154" s="1"/>
  <c r="B85"/>
  <c r="B33"/>
  <c r="B218" i="39"/>
  <c r="B207"/>
  <c r="B61" i="93"/>
  <c r="C61" s="1"/>
  <c r="B35"/>
  <c r="B113"/>
  <c r="P154" s="1"/>
  <c r="B62"/>
  <c r="B206" i="39"/>
  <c r="AF226"/>
  <c r="B211"/>
  <c r="AP226"/>
  <c r="B216"/>
  <c r="AO226"/>
  <c r="B209"/>
  <c r="AI226"/>
  <c r="B33" i="91"/>
  <c r="B59"/>
  <c r="C59" s="1"/>
  <c r="B111"/>
  <c r="N154" s="1"/>
  <c r="B85"/>
  <c r="C85" s="1"/>
  <c r="B84" i="92"/>
  <c r="B58"/>
  <c r="B32"/>
  <c r="M154"/>
  <c r="C58" i="89"/>
  <c r="C84" i="92"/>
  <c r="C58"/>
  <c r="G84" i="89"/>
  <c r="G85"/>
  <c r="G88" s="1"/>
  <c r="C62" i="93"/>
  <c r="A45" i="82"/>
  <c r="E90" i="70"/>
  <c r="D66"/>
  <c r="F17"/>
  <c r="F18" s="1"/>
  <c r="G26"/>
  <c r="C16"/>
  <c r="C15"/>
  <c r="A103" i="81"/>
  <c r="C42" i="70"/>
  <c r="A137" i="81"/>
  <c r="A46" i="85"/>
  <c r="A131" i="86"/>
  <c r="A76" i="79"/>
  <c r="A107" i="87"/>
  <c r="A68" i="79"/>
  <c r="A105" i="87"/>
  <c r="A136"/>
  <c r="A106" i="83"/>
  <c r="A138" i="78"/>
  <c r="A45" i="79"/>
  <c r="A130" i="78"/>
  <c r="A77" i="85"/>
  <c r="A101" i="82"/>
  <c r="A45" i="78"/>
  <c r="A74"/>
  <c r="A41"/>
  <c r="A99"/>
  <c r="A138" i="79"/>
  <c r="A37"/>
  <c r="A131" i="80"/>
  <c r="A104"/>
  <c r="A75"/>
  <c r="A42"/>
  <c r="A37"/>
  <c r="A69"/>
  <c r="A99"/>
  <c r="A46" i="81"/>
  <c r="A75"/>
  <c r="A41"/>
  <c r="A71"/>
  <c r="A133" i="82"/>
  <c r="A39"/>
  <c r="A132" i="83"/>
  <c r="A103"/>
  <c r="A72"/>
  <c r="A75"/>
  <c r="A133"/>
  <c r="A39"/>
  <c r="A100"/>
  <c r="A101" i="84"/>
  <c r="A70"/>
  <c r="A69"/>
  <c r="A103" i="85"/>
  <c r="A134"/>
  <c r="A132" i="86"/>
  <c r="A101"/>
  <c r="A76"/>
  <c r="A136"/>
  <c r="A100"/>
  <c r="A99"/>
  <c r="A102" i="87"/>
  <c r="A71"/>
  <c r="A40"/>
  <c r="A45"/>
  <c r="A41"/>
  <c r="C87" i="70"/>
  <c r="A108" i="81"/>
  <c r="A74" i="86"/>
  <c r="A130"/>
  <c r="A107"/>
  <c r="A43" i="78"/>
  <c r="A76" i="87"/>
  <c r="A136" i="78"/>
  <c r="A132" i="84"/>
  <c r="A134" i="78"/>
  <c r="A107"/>
  <c r="A137" i="83"/>
  <c r="A68" i="78"/>
  <c r="A100"/>
  <c r="A137" i="80"/>
  <c r="A132"/>
  <c r="A106"/>
  <c r="A100"/>
  <c r="A38" i="83"/>
  <c r="A138" i="86"/>
  <c r="A103" i="87"/>
  <c r="A70" i="83"/>
  <c r="A68" i="86"/>
  <c r="A101" i="80"/>
  <c r="A70"/>
  <c r="A71" i="82"/>
  <c r="C51" i="101"/>
  <c r="J39"/>
  <c r="G45"/>
  <c r="C71" s="1"/>
  <c r="G41"/>
  <c r="C67" s="1"/>
  <c r="G37"/>
  <c r="C63" s="1"/>
  <c r="G33"/>
  <c r="C59" s="1"/>
  <c r="H47"/>
  <c r="D73" s="1"/>
  <c r="H43"/>
  <c r="D69" s="1"/>
  <c r="H39"/>
  <c r="D65" s="1"/>
  <c r="J65" s="1"/>
  <c r="H35"/>
  <c r="D61" s="1"/>
  <c r="H32"/>
  <c r="D58" s="1"/>
  <c r="D51"/>
  <c r="G32"/>
  <c r="C58" s="1"/>
  <c r="G59" s="1"/>
  <c r="B104" i="89" l="1"/>
  <c r="B94"/>
  <c r="I95"/>
  <c r="B100"/>
  <c r="I93"/>
  <c r="I103"/>
  <c r="B106"/>
  <c r="B89"/>
  <c r="I98"/>
  <c r="I100"/>
  <c r="B103"/>
  <c r="I96"/>
  <c r="B102"/>
  <c r="I91"/>
  <c r="B96"/>
  <c r="I106"/>
  <c r="I86"/>
  <c r="B101"/>
  <c r="I104"/>
  <c r="B105"/>
  <c r="B98"/>
  <c r="I105"/>
  <c r="B97"/>
  <c r="I101"/>
  <c r="B92"/>
  <c r="I90"/>
  <c r="I92"/>
  <c r="B95"/>
  <c r="I97"/>
  <c r="B99"/>
  <c r="I83"/>
  <c r="I82" s="1"/>
  <c r="G87" s="1"/>
  <c r="B93"/>
  <c r="I88"/>
  <c r="B91"/>
  <c r="I84"/>
  <c r="I87"/>
  <c r="B90"/>
  <c r="I102"/>
  <c r="I89"/>
  <c r="I99"/>
  <c r="I94"/>
  <c r="I85"/>
  <c r="C85" i="90"/>
  <c r="AV226" i="39"/>
  <c r="B222"/>
  <c r="B114" i="93"/>
  <c r="Q154" s="1"/>
  <c r="Q157" s="1"/>
  <c r="Q158" s="1"/>
  <c r="Q159" s="1"/>
  <c r="Q160" s="1"/>
  <c r="Q161" s="1"/>
  <c r="Q162" s="1"/>
  <c r="B36"/>
  <c r="B88"/>
  <c r="AH226" i="39"/>
  <c r="B208"/>
  <c r="B31" i="42"/>
  <c r="B33" i="92"/>
  <c r="B85"/>
  <c r="C85" s="1"/>
  <c r="B111"/>
  <c r="N154" s="1"/>
  <c r="B59"/>
  <c r="C59" s="1"/>
  <c r="D135" i="36"/>
  <c r="E135" s="1"/>
  <c r="E134"/>
  <c r="B32" i="93"/>
  <c r="B110"/>
  <c r="M154" s="1"/>
  <c r="B84"/>
  <c r="K42" i="69"/>
  <c r="K64"/>
  <c r="K66" s="1"/>
  <c r="E103" i="84"/>
  <c r="D104"/>
  <c r="D105" i="51"/>
  <c r="D106" s="1"/>
  <c r="D107" s="1"/>
  <c r="D108" s="1"/>
  <c r="D109" s="1"/>
  <c r="D110" s="1"/>
  <c r="D111" s="1"/>
  <c r="D112" s="1"/>
  <c r="D113" s="1"/>
  <c r="D114" s="1"/>
  <c r="D115" s="1"/>
  <c r="D116" s="1"/>
  <c r="D117" s="1"/>
  <c r="D118" s="1"/>
  <c r="D119" s="1"/>
  <c r="D120" s="1"/>
  <c r="D121" s="1"/>
  <c r="D122" s="1"/>
  <c r="F85"/>
  <c r="B45" i="83"/>
  <c r="I29" i="39"/>
  <c r="B31"/>
  <c r="I27"/>
  <c r="B38"/>
  <c r="I34"/>
  <c r="B32"/>
  <c r="I24"/>
  <c r="I21"/>
  <c r="I18"/>
  <c r="I6"/>
  <c r="B42"/>
  <c r="I38"/>
  <c r="B36"/>
  <c r="B106" i="80"/>
  <c r="I40" i="42"/>
  <c r="B37"/>
  <c r="I22"/>
  <c r="B104" i="82"/>
  <c r="B49" i="39"/>
  <c r="B45" i="85"/>
  <c r="B69" i="86"/>
  <c r="C69" s="1"/>
  <c r="B68"/>
  <c r="C68" s="1"/>
  <c r="B100" i="87"/>
  <c r="C126" i="42"/>
  <c r="D76" i="119"/>
  <c r="E133" i="36"/>
  <c r="D106" i="79"/>
  <c r="E105"/>
  <c r="B52" i="48"/>
  <c r="B172"/>
  <c r="S223" s="1"/>
  <c r="B92"/>
  <c r="C92" s="1"/>
  <c r="B132"/>
  <c r="C132" s="1"/>
  <c r="B138" i="85"/>
  <c r="U179" s="1"/>
  <c r="B130" i="86"/>
  <c r="M179" s="1"/>
  <c r="B38" i="87"/>
  <c r="I5" i="42"/>
  <c r="E108" i="86"/>
  <c r="D107" i="83"/>
  <c r="C86" i="90"/>
  <c r="C141" i="42"/>
  <c r="I45" i="4"/>
  <c r="H45"/>
  <c r="A103" i="48"/>
  <c r="A63"/>
  <c r="B23"/>
  <c r="B15" i="78"/>
  <c r="B104" i="48"/>
  <c r="B144"/>
  <c r="C144" s="1"/>
  <c r="A184" i="54"/>
  <c r="B24"/>
  <c r="A64"/>
  <c r="A88" i="45"/>
  <c r="A168"/>
  <c r="B8"/>
  <c r="D101" i="81"/>
  <c r="E100"/>
  <c r="B54" i="45"/>
  <c r="B5" i="81"/>
  <c r="B94" i="45"/>
  <c r="C94" s="1"/>
  <c r="B174"/>
  <c r="U223" s="1"/>
  <c r="B20"/>
  <c r="A180"/>
  <c r="A60"/>
  <c r="A100"/>
  <c r="A93" i="57"/>
  <c r="A53"/>
  <c r="A173"/>
  <c r="B13"/>
  <c r="A50"/>
  <c r="B10"/>
  <c r="A170"/>
  <c r="A130"/>
  <c r="A90"/>
  <c r="B14"/>
  <c r="A94"/>
  <c r="B73" i="89"/>
  <c r="I62"/>
  <c r="E129" i="39"/>
  <c r="H59" i="4"/>
  <c r="W27"/>
  <c r="M27"/>
  <c r="E27"/>
  <c r="A140" i="54"/>
  <c r="A106" i="81"/>
  <c r="J28" i="69"/>
  <c r="I53" i="4"/>
  <c r="H53"/>
  <c r="I51"/>
  <c r="G51"/>
  <c r="I40"/>
  <c r="E59"/>
  <c r="C14"/>
  <c r="C15"/>
  <c r="C10"/>
  <c r="C11"/>
  <c r="C27" s="1"/>
  <c r="A51" i="51"/>
  <c r="B11"/>
  <c r="A91"/>
  <c r="A131"/>
  <c r="A171"/>
  <c r="B7"/>
  <c r="A87"/>
  <c r="A127"/>
  <c r="A167"/>
  <c r="B14" i="54"/>
  <c r="A54"/>
  <c r="A94"/>
  <c r="A134"/>
  <c r="A174"/>
  <c r="D85" i="90"/>
  <c r="E84"/>
  <c r="B18" i="45"/>
  <c r="A58"/>
  <c r="A98"/>
  <c r="A138"/>
  <c r="A178"/>
  <c r="B179"/>
  <c r="Z223" s="1"/>
  <c r="B139"/>
  <c r="C139" s="1"/>
  <c r="B99"/>
  <c r="C99" s="1"/>
  <c r="B7" i="57"/>
  <c r="A87"/>
  <c r="A127"/>
  <c r="A167"/>
  <c r="B142" i="39"/>
  <c r="C142" s="1"/>
  <c r="B102"/>
  <c r="C102" s="1"/>
  <c r="B182"/>
  <c r="AC223" s="1"/>
  <c r="B59" i="60"/>
  <c r="B10" i="85"/>
  <c r="B179" i="60"/>
  <c r="Z223" s="1"/>
  <c r="B99"/>
  <c r="C99" s="1"/>
  <c r="B139"/>
  <c r="I57" i="89"/>
  <c r="AT226" i="51"/>
  <c r="B47" i="48"/>
  <c r="B127"/>
  <c r="C127" s="1"/>
  <c r="B167"/>
  <c r="N223" s="1"/>
  <c r="B87"/>
  <c r="C87" s="1"/>
  <c r="A108" i="79"/>
  <c r="A77"/>
  <c r="A46"/>
  <c r="B17" i="51"/>
  <c r="A177"/>
  <c r="A57"/>
  <c r="B52" i="54"/>
  <c r="B172"/>
  <c r="S223" s="1"/>
  <c r="B132"/>
  <c r="C132" s="1"/>
  <c r="B92"/>
  <c r="C92" s="1"/>
  <c r="B90"/>
  <c r="C90" s="1"/>
  <c r="B170"/>
  <c r="Q223" s="1"/>
  <c r="B50"/>
  <c r="B48"/>
  <c r="B128"/>
  <c r="C128" s="1"/>
  <c r="B23"/>
  <c r="A103"/>
  <c r="A143"/>
  <c r="A183"/>
  <c r="A132" i="81"/>
  <c r="A101"/>
  <c r="A184" i="45"/>
  <c r="B24"/>
  <c r="A64"/>
  <c r="A104"/>
  <c r="A125" i="57"/>
  <c r="B5"/>
  <c r="A165"/>
  <c r="L225" s="1"/>
  <c r="M225" s="1"/>
  <c r="N225" s="1"/>
  <c r="O225" s="1"/>
  <c r="P225" s="1"/>
  <c r="Q225" s="1"/>
  <c r="R225" s="1"/>
  <c r="S225" s="1"/>
  <c r="T225" s="1"/>
  <c r="U225" s="1"/>
  <c r="V225" s="1"/>
  <c r="W225" s="1"/>
  <c r="X225" s="1"/>
  <c r="Y225" s="1"/>
  <c r="Z225" s="1"/>
  <c r="AA225" s="1"/>
  <c r="AB225" s="1"/>
  <c r="AC225" s="1"/>
  <c r="AD225" s="1"/>
  <c r="AE225" s="1"/>
  <c r="AF225" s="1"/>
  <c r="AG225" s="1"/>
  <c r="AH225" s="1"/>
  <c r="AI225" s="1"/>
  <c r="AJ225" s="1"/>
  <c r="AK225" s="1"/>
  <c r="AL225" s="1"/>
  <c r="AM225" s="1"/>
  <c r="AN225" s="1"/>
  <c r="AO225" s="1"/>
  <c r="AP225" s="1"/>
  <c r="AQ225" s="1"/>
  <c r="AR225" s="1"/>
  <c r="AS225" s="1"/>
  <c r="AT225" s="1"/>
  <c r="AU225" s="1"/>
  <c r="AV225" s="1"/>
  <c r="AW225" s="1"/>
  <c r="A45"/>
  <c r="A85"/>
  <c r="A40" i="82"/>
  <c r="A102"/>
  <c r="B16" i="57"/>
  <c r="B7" i="82" s="1"/>
  <c r="A56" i="57"/>
  <c r="A136"/>
  <c r="A176"/>
  <c r="A96"/>
  <c r="B48" i="42"/>
  <c r="B88"/>
  <c r="C88" s="1"/>
  <c r="B128"/>
  <c r="B168"/>
  <c r="O223" s="1"/>
  <c r="B45"/>
  <c r="B165"/>
  <c r="L223" s="1"/>
  <c r="E6"/>
  <c r="I24" s="1"/>
  <c r="B85"/>
  <c r="B125"/>
  <c r="C133" s="1"/>
  <c r="B60" i="91"/>
  <c r="C60" s="1"/>
  <c r="C131" i="42"/>
  <c r="Q28" i="4"/>
  <c r="W28"/>
  <c r="O28"/>
  <c r="U28"/>
  <c r="E28"/>
  <c r="A47" i="51"/>
  <c r="I50" i="4"/>
  <c r="H50"/>
  <c r="G50"/>
  <c r="I48"/>
  <c r="H48"/>
  <c r="G59"/>
  <c r="A52" i="48"/>
  <c r="A92"/>
  <c r="A132"/>
  <c r="A172"/>
  <c r="A48"/>
  <c r="A168"/>
  <c r="A88"/>
  <c r="A128"/>
  <c r="B8"/>
  <c r="B5" i="79"/>
  <c r="B174" i="51"/>
  <c r="U223" s="1"/>
  <c r="B54"/>
  <c r="B94"/>
  <c r="C94" s="1"/>
  <c r="B134"/>
  <c r="C134" s="1"/>
  <c r="B23"/>
  <c r="A63"/>
  <c r="A103"/>
  <c r="A143"/>
  <c r="A183"/>
  <c r="B179"/>
  <c r="Z223" s="1"/>
  <c r="B139"/>
  <c r="C139" s="1"/>
  <c r="B99"/>
  <c r="C99" s="1"/>
  <c r="B59"/>
  <c r="E126" i="54"/>
  <c r="D127"/>
  <c r="B20"/>
  <c r="A180"/>
  <c r="A60"/>
  <c r="B130" i="45"/>
  <c r="C130" s="1"/>
  <c r="B50"/>
  <c r="B90"/>
  <c r="C90" s="1"/>
  <c r="A135"/>
  <c r="A95"/>
  <c r="A175"/>
  <c r="B15"/>
  <c r="B89" i="57"/>
  <c r="C89" s="1"/>
  <c r="B49"/>
  <c r="B129"/>
  <c r="I80" i="108"/>
  <c r="C127" i="42"/>
  <c r="C138"/>
  <c r="A89"/>
  <c r="A129"/>
  <c r="E5" i="45"/>
  <c r="I12" s="1"/>
  <c r="B94" i="42"/>
  <c r="C94" s="1"/>
  <c r="K29" i="4"/>
  <c r="O29"/>
  <c r="Q27"/>
  <c r="M28"/>
  <c r="O27"/>
  <c r="G27"/>
  <c r="S27"/>
  <c r="K27"/>
  <c r="A54" i="48"/>
  <c r="B59"/>
  <c r="A106" i="78"/>
  <c r="A106" i="79"/>
  <c r="A72" i="82"/>
  <c r="A43"/>
  <c r="A168" i="42"/>
  <c r="B182"/>
  <c r="AC223" s="1"/>
  <c r="A126"/>
  <c r="A125"/>
  <c r="A86"/>
  <c r="A85"/>
  <c r="A45"/>
  <c r="A138" i="83"/>
  <c r="A105"/>
  <c r="A45"/>
  <c r="A181" i="39"/>
  <c r="A168"/>
  <c r="A142"/>
  <c r="A128"/>
  <c r="A63"/>
  <c r="A50"/>
  <c r="B16"/>
  <c r="B23"/>
  <c r="B21"/>
  <c r="A179" i="60"/>
  <c r="A172"/>
  <c r="D127"/>
  <c r="B94"/>
  <c r="C94" s="1"/>
  <c r="A59"/>
  <c r="A50"/>
  <c r="B54"/>
  <c r="A171"/>
  <c r="A107" i="85"/>
  <c r="A42"/>
  <c r="A184" i="36"/>
  <c r="A89"/>
  <c r="A62"/>
  <c r="A52"/>
  <c r="B9"/>
  <c r="A106" i="86"/>
  <c r="A178" i="63"/>
  <c r="A140"/>
  <c r="A96"/>
  <c r="B24"/>
  <c r="K69" i="108"/>
  <c r="K70" s="1"/>
  <c r="K71" s="1"/>
  <c r="K72" s="1"/>
  <c r="K74" s="1"/>
  <c r="K75" s="1"/>
  <c r="J39"/>
  <c r="K20"/>
  <c r="I22"/>
  <c r="I76" i="69"/>
  <c r="I77" s="1"/>
  <c r="I78" s="1"/>
  <c r="J72"/>
  <c r="J73" s="1"/>
  <c r="J74" s="1"/>
  <c r="K52"/>
  <c r="K53" s="1"/>
  <c r="K54" s="1"/>
  <c r="J52"/>
  <c r="J53" s="1"/>
  <c r="J54" s="1"/>
  <c r="J56" s="1"/>
  <c r="L18"/>
  <c r="L28" s="1"/>
  <c r="E82" i="70"/>
  <c r="C66"/>
  <c r="E66"/>
  <c r="C47"/>
  <c r="I66" i="101"/>
  <c r="I61"/>
  <c r="B9" i="42"/>
  <c r="B134"/>
  <c r="B5" i="83"/>
  <c r="U27" i="4"/>
  <c r="M29"/>
  <c r="E29"/>
  <c r="S28"/>
  <c r="K28"/>
  <c r="A91" i="45"/>
  <c r="E99" i="81"/>
  <c r="A165" i="42"/>
  <c r="L225" s="1"/>
  <c r="M225" s="1"/>
  <c r="N225" s="1"/>
  <c r="O225" s="1"/>
  <c r="P225" s="1"/>
  <c r="Q225" s="1"/>
  <c r="R225" s="1"/>
  <c r="S225" s="1"/>
  <c r="T225" s="1"/>
  <c r="U225" s="1"/>
  <c r="V225" s="1"/>
  <c r="W225" s="1"/>
  <c r="X225" s="1"/>
  <c r="Y225" s="1"/>
  <c r="Z225" s="1"/>
  <c r="AA225" s="1"/>
  <c r="AB225" s="1"/>
  <c r="AC225" s="1"/>
  <c r="AD225" s="1"/>
  <c r="AE225" s="1"/>
  <c r="AF225" s="1"/>
  <c r="AG225" s="1"/>
  <c r="AH225" s="1"/>
  <c r="AI225" s="1"/>
  <c r="AJ225" s="1"/>
  <c r="AK225" s="1"/>
  <c r="AL225" s="1"/>
  <c r="AM225" s="1"/>
  <c r="AN225" s="1"/>
  <c r="AO225" s="1"/>
  <c r="AP225" s="1"/>
  <c r="AQ225" s="1"/>
  <c r="AR225" s="1"/>
  <c r="AS225" s="1"/>
  <c r="AT225" s="1"/>
  <c r="AU225" s="1"/>
  <c r="AV225" s="1"/>
  <c r="AW225" s="1"/>
  <c r="AX225" s="1"/>
  <c r="B142"/>
  <c r="B139"/>
  <c r="B99"/>
  <c r="C99" s="1"/>
  <c r="A176" i="39"/>
  <c r="A165"/>
  <c r="L225" s="1"/>
  <c r="M225" s="1"/>
  <c r="N225" s="1"/>
  <c r="O225" s="1"/>
  <c r="P225" s="1"/>
  <c r="Q225" s="1"/>
  <c r="R225" s="1"/>
  <c r="S225" s="1"/>
  <c r="T225" s="1"/>
  <c r="U225" s="1"/>
  <c r="V225" s="1"/>
  <c r="W225" s="1"/>
  <c r="X225" s="1"/>
  <c r="Y225" s="1"/>
  <c r="Z225" s="1"/>
  <c r="AA225" s="1"/>
  <c r="AB225" s="1"/>
  <c r="AC225" s="1"/>
  <c r="AD225" s="1"/>
  <c r="AE225" s="1"/>
  <c r="AF225" s="1"/>
  <c r="AG225" s="1"/>
  <c r="AH225" s="1"/>
  <c r="AI225" s="1"/>
  <c r="AJ225" s="1"/>
  <c r="AK225" s="1"/>
  <c r="AL225" s="1"/>
  <c r="AM225" s="1"/>
  <c r="AN225" s="1"/>
  <c r="AO225" s="1"/>
  <c r="AP225" s="1"/>
  <c r="AQ225" s="1"/>
  <c r="AR225" s="1"/>
  <c r="AS225" s="1"/>
  <c r="AT225" s="1"/>
  <c r="AU225" s="1"/>
  <c r="AV225" s="1"/>
  <c r="AW225" s="1"/>
  <c r="AX225" s="1"/>
  <c r="A143"/>
  <c r="B139"/>
  <c r="C139" s="1"/>
  <c r="A125"/>
  <c r="A103"/>
  <c r="A88"/>
  <c r="B174" i="60"/>
  <c r="U223" s="1"/>
  <c r="B55"/>
  <c r="A175" i="36"/>
  <c r="A135"/>
  <c r="A95"/>
  <c r="A55"/>
  <c r="A42" i="86"/>
  <c r="A64" i="63"/>
  <c r="J40" i="108"/>
  <c r="J80" s="1"/>
  <c r="K56" i="69"/>
  <c r="A169" i="42"/>
  <c r="I54" i="4"/>
  <c r="D59"/>
  <c r="I29"/>
  <c r="W29"/>
  <c r="U29"/>
  <c r="S29"/>
  <c r="C29"/>
  <c r="C28"/>
  <c r="I27"/>
  <c r="A169" i="51"/>
  <c r="A129"/>
  <c r="D127"/>
  <c r="A131" i="45"/>
  <c r="A92"/>
  <c r="A138" i="82"/>
  <c r="A46" i="42"/>
  <c r="A99" i="83"/>
  <c r="A71"/>
  <c r="E84" i="93"/>
  <c r="A172" i="39"/>
  <c r="B175"/>
  <c r="V223" s="1"/>
  <c r="A141"/>
  <c r="A132"/>
  <c r="A101"/>
  <c r="A90"/>
  <c r="A46"/>
  <c r="B55"/>
  <c r="A135" i="84"/>
  <c r="A72"/>
  <c r="B175" i="60"/>
  <c r="V223" s="1"/>
  <c r="A142"/>
  <c r="B135"/>
  <c r="A101"/>
  <c r="B95"/>
  <c r="C95" s="1"/>
  <c r="A92"/>
  <c r="A176" i="36"/>
  <c r="A169"/>
  <c r="A136"/>
  <c r="A96"/>
  <c r="A57"/>
  <c r="E99" i="86"/>
  <c r="A44"/>
  <c r="A136" i="63"/>
  <c r="A58"/>
  <c r="A45"/>
  <c r="H80" i="108"/>
  <c r="J22"/>
  <c r="J81" i="69"/>
  <c r="J82" s="1"/>
  <c r="J83" s="1"/>
  <c r="K76"/>
  <c r="K77" s="1"/>
  <c r="K78" s="1"/>
  <c r="I72"/>
  <c r="I73" s="1"/>
  <c r="I74" s="1"/>
  <c r="K16"/>
  <c r="G82" i="70"/>
  <c r="E26"/>
  <c r="J16" i="69"/>
  <c r="T25" i="101"/>
  <c r="C26" i="100" s="1"/>
  <c r="E26"/>
  <c r="C52" i="101"/>
  <c r="C25"/>
  <c r="F25"/>
  <c r="G43"/>
  <c r="C69" s="1"/>
  <c r="G69" s="1"/>
  <c r="D3" i="121"/>
  <c r="B4" i="100"/>
  <c r="D3" i="120"/>
  <c r="K4" s="1"/>
  <c r="E71"/>
  <c r="E449"/>
  <c r="E177"/>
  <c r="E140"/>
  <c r="E297"/>
  <c r="E14"/>
  <c r="E372"/>
  <c r="E433"/>
  <c r="E23"/>
  <c r="E187"/>
  <c r="E262"/>
  <c r="E244"/>
  <c r="E45"/>
  <c r="E464"/>
  <c r="E139"/>
  <c r="E414"/>
  <c r="E107"/>
  <c r="E245"/>
  <c r="E46"/>
  <c r="E429"/>
  <c r="E38"/>
  <c r="E75"/>
  <c r="E254"/>
  <c r="E61"/>
  <c r="E275"/>
  <c r="E343"/>
  <c r="E411"/>
  <c r="E223"/>
  <c r="E5"/>
  <c r="E341"/>
  <c r="E98"/>
  <c r="E456"/>
  <c r="E270"/>
  <c r="E55"/>
  <c r="E30"/>
  <c r="E260"/>
  <c r="E200"/>
  <c r="E82"/>
  <c r="E324"/>
  <c r="E398"/>
  <c r="E43"/>
  <c r="E314"/>
  <c r="E277"/>
  <c r="E423"/>
  <c r="E240"/>
  <c r="E50"/>
  <c r="E359"/>
  <c r="E47"/>
  <c r="E469"/>
  <c r="E169"/>
  <c r="E401"/>
  <c r="E371"/>
  <c r="E328"/>
  <c r="E204"/>
  <c r="E108"/>
  <c r="E138"/>
  <c r="E103"/>
  <c r="E289"/>
  <c r="E115"/>
  <c r="E233"/>
  <c r="E24"/>
  <c r="E257"/>
  <c r="E481"/>
  <c r="E176"/>
  <c r="E352"/>
  <c r="E351"/>
  <c r="E89"/>
  <c r="E327"/>
  <c r="E369"/>
  <c r="E389"/>
  <c r="E149"/>
  <c r="E145"/>
  <c r="E182"/>
  <c r="E221"/>
  <c r="E293"/>
  <c r="E366"/>
  <c r="E261"/>
  <c r="E136"/>
  <c r="E67"/>
  <c r="E298"/>
  <c r="E194"/>
  <c r="E421"/>
  <c r="E420"/>
  <c r="E348"/>
  <c r="E159"/>
  <c r="E490"/>
  <c r="E158"/>
  <c r="E69"/>
  <c r="E329"/>
  <c r="E81"/>
  <c r="E255"/>
  <c r="E96"/>
  <c r="E467"/>
  <c r="E161"/>
  <c r="E393"/>
  <c r="E367"/>
  <c r="E320"/>
  <c r="E128"/>
  <c r="E446"/>
  <c r="E272"/>
  <c r="E231"/>
  <c r="E410"/>
  <c r="E178"/>
  <c r="E171"/>
  <c r="E215"/>
  <c r="E485"/>
  <c r="E110"/>
  <c r="E468"/>
  <c r="E15"/>
  <c r="E21"/>
  <c r="E381"/>
  <c r="E304"/>
  <c r="E380"/>
  <c r="E258"/>
  <c r="E382"/>
  <c r="E211"/>
  <c r="E444"/>
  <c r="E199"/>
  <c r="E241"/>
  <c r="E72"/>
  <c r="E170"/>
  <c r="E49"/>
  <c r="E457"/>
  <c r="E118"/>
  <c r="E350"/>
  <c r="E390"/>
  <c r="E340"/>
  <c r="E151"/>
  <c r="E466"/>
  <c r="E319"/>
  <c r="E20"/>
  <c r="E208"/>
  <c r="E427"/>
  <c r="E247"/>
  <c r="E111"/>
  <c r="E451"/>
  <c r="E91"/>
  <c r="E322"/>
  <c r="E226"/>
  <c r="E448"/>
  <c r="E40"/>
  <c r="E121"/>
  <c r="E119"/>
  <c r="E195"/>
  <c r="E209"/>
  <c r="E56"/>
  <c r="E80"/>
  <c r="E475"/>
  <c r="E288"/>
  <c r="E450"/>
  <c r="E191"/>
  <c r="E438"/>
  <c r="E306"/>
  <c r="E374"/>
  <c r="E303"/>
  <c r="E432"/>
  <c r="E144"/>
  <c r="E130"/>
  <c r="E362"/>
  <c r="E281"/>
  <c r="E488"/>
  <c r="E345"/>
  <c r="E415"/>
  <c r="E235"/>
  <c r="E168"/>
  <c r="E224"/>
  <c r="E237"/>
  <c r="E193"/>
  <c r="E6"/>
  <c r="E349"/>
  <c r="E11"/>
  <c r="E453"/>
  <c r="E248"/>
  <c r="E460"/>
  <c r="E284"/>
  <c r="E387"/>
  <c r="E202"/>
  <c r="E132"/>
  <c r="E127"/>
  <c r="E68"/>
  <c r="E35"/>
  <c r="E256"/>
  <c r="E210"/>
  <c r="E355"/>
  <c r="E214"/>
  <c r="E331"/>
  <c r="E95"/>
  <c r="E296"/>
  <c r="E135"/>
  <c r="E316"/>
  <c r="E116"/>
  <c r="E41"/>
  <c r="E183"/>
  <c r="E34"/>
  <c r="E133"/>
  <c r="E406"/>
  <c r="E439"/>
  <c r="E217"/>
  <c r="E213"/>
  <c r="E198"/>
  <c r="E384"/>
  <c r="E60"/>
  <c r="E290"/>
  <c r="E181"/>
  <c r="E413"/>
  <c r="E315"/>
  <c r="E407"/>
  <c r="E220"/>
  <c r="E90"/>
  <c r="E150"/>
  <c r="E84"/>
  <c r="E299"/>
  <c r="E88"/>
  <c r="E333"/>
  <c r="E19"/>
  <c r="E437"/>
  <c r="E153"/>
  <c r="E385"/>
  <c r="E337"/>
  <c r="E312"/>
  <c r="E105"/>
  <c r="E426"/>
  <c r="E252"/>
  <c r="E294"/>
  <c r="E418"/>
  <c r="E476"/>
  <c r="E219"/>
  <c r="E334"/>
  <c r="E325"/>
  <c r="E124"/>
  <c r="E301"/>
  <c r="E287"/>
  <c r="E175"/>
  <c r="E37"/>
  <c r="E83"/>
  <c r="E212"/>
  <c r="E179"/>
  <c r="E282"/>
  <c r="E292"/>
  <c r="E347"/>
  <c r="E419"/>
  <c r="E361"/>
  <c r="E63"/>
  <c r="E267"/>
  <c r="E51"/>
  <c r="E477"/>
  <c r="E173"/>
  <c r="E405"/>
  <c r="E386"/>
  <c r="E332"/>
  <c r="E143"/>
  <c r="E474"/>
  <c r="E142"/>
  <c r="E86"/>
  <c r="E295"/>
  <c r="E101"/>
  <c r="E239"/>
  <c r="E113"/>
  <c r="E435"/>
  <c r="E13"/>
  <c r="E430"/>
  <c r="E53"/>
  <c r="E436"/>
  <c r="E422"/>
  <c r="E417"/>
  <c r="E491"/>
  <c r="E250"/>
  <c r="E395"/>
  <c r="E206"/>
  <c r="E26"/>
  <c r="E54"/>
  <c r="E33"/>
  <c r="E416"/>
  <c r="E141"/>
  <c r="E396"/>
  <c r="E364"/>
  <c r="E225"/>
  <c r="E302"/>
  <c r="E279"/>
  <c r="E58"/>
  <c r="E465"/>
  <c r="E122"/>
  <c r="E354"/>
  <c r="E266"/>
  <c r="E480"/>
  <c r="E155"/>
  <c r="E470"/>
  <c r="E321"/>
  <c r="E16"/>
  <c r="E222"/>
  <c r="E9"/>
  <c r="E441"/>
  <c r="E97"/>
  <c r="E459"/>
  <c r="E94"/>
  <c r="E326"/>
  <c r="E227"/>
  <c r="E452"/>
  <c r="E269"/>
  <c r="E379"/>
  <c r="E29"/>
  <c r="E308"/>
  <c r="E424"/>
  <c r="E156"/>
  <c r="E376"/>
  <c r="E265"/>
  <c r="E342"/>
  <c r="E251"/>
  <c r="E28"/>
  <c r="E273"/>
  <c r="E66"/>
  <c r="E190"/>
  <c r="E268"/>
  <c r="E412"/>
  <c r="E489"/>
  <c r="E276"/>
  <c r="E164"/>
  <c r="E125"/>
  <c r="E402"/>
  <c r="E184"/>
  <c r="E246"/>
  <c r="E172"/>
  <c r="E205"/>
  <c r="E232"/>
  <c r="E373"/>
  <c r="E114"/>
  <c r="E346"/>
  <c r="E264"/>
  <c r="E472"/>
  <c r="E311"/>
  <c r="E399"/>
  <c r="E218"/>
  <c r="E8"/>
  <c r="E207"/>
  <c r="E17"/>
  <c r="E431"/>
  <c r="E22"/>
  <c r="E317"/>
  <c r="E27"/>
  <c r="E479"/>
  <c r="E99"/>
  <c r="E160"/>
  <c r="E79"/>
  <c r="E64"/>
  <c r="E478"/>
  <c r="E234"/>
  <c r="E70"/>
  <c r="E146"/>
  <c r="E157"/>
  <c r="E36"/>
  <c r="E120"/>
  <c r="E52"/>
  <c r="E253"/>
  <c r="E186"/>
  <c r="E283"/>
  <c r="E196"/>
  <c r="E368"/>
  <c r="E57"/>
  <c r="E473"/>
  <c r="E126"/>
  <c r="E358"/>
  <c r="E280"/>
  <c r="E74"/>
  <c r="E162"/>
  <c r="E360"/>
  <c r="E197"/>
  <c r="E216"/>
  <c r="E357"/>
  <c r="E7"/>
  <c r="E461"/>
  <c r="E165"/>
  <c r="E397"/>
  <c r="E285"/>
  <c r="E391"/>
  <c r="E203"/>
  <c r="E109"/>
  <c r="E134"/>
  <c r="E104"/>
  <c r="E278"/>
  <c r="E458"/>
  <c r="E377"/>
  <c r="E434"/>
  <c r="E310"/>
  <c r="E486"/>
  <c r="E163"/>
  <c r="E77"/>
  <c r="E403"/>
  <c r="E286"/>
  <c r="E18"/>
  <c r="E487"/>
  <c r="E85"/>
  <c r="E463"/>
  <c r="K92"/>
  <c r="K428"/>
  <c r="K375"/>
  <c r="K131"/>
  <c r="J61" i="101"/>
  <c r="L42" i="69"/>
  <c r="L64"/>
  <c r="C27" i="63"/>
  <c r="D136" i="36"/>
  <c r="E130" i="39"/>
  <c r="D131"/>
  <c r="E134" i="42"/>
  <c r="D135"/>
  <c r="I42" i="69"/>
  <c r="I64"/>
  <c r="I66" s="1"/>
  <c r="E132" i="57"/>
  <c r="D133"/>
  <c r="J64" i="69"/>
  <c r="J66" s="1"/>
  <c r="J42"/>
  <c r="D128" i="48"/>
  <c r="E127"/>
  <c r="D138" i="92"/>
  <c r="X159"/>
  <c r="C73"/>
  <c r="I75" i="89"/>
  <c r="I67"/>
  <c r="I58"/>
  <c r="B74"/>
  <c r="B66"/>
  <c r="I16" i="51"/>
  <c r="B28"/>
  <c r="I30"/>
  <c r="I31"/>
  <c r="I6"/>
  <c r="I18"/>
  <c r="I12"/>
  <c r="D106" i="82"/>
  <c r="D133" i="45"/>
  <c r="AB159" i="92"/>
  <c r="C77"/>
  <c r="D106" i="80"/>
  <c r="I78" i="89"/>
  <c r="I70"/>
  <c r="I61"/>
  <c r="B77"/>
  <c r="B69"/>
  <c r="B64"/>
  <c r="S159" s="1"/>
  <c r="B221" i="51"/>
  <c r="I10"/>
  <c r="I22"/>
  <c r="I17"/>
  <c r="B35"/>
  <c r="I41"/>
  <c r="I8"/>
  <c r="I79" i="89"/>
  <c r="I71"/>
  <c r="I63"/>
  <c r="B78"/>
  <c r="B70"/>
  <c r="I36" i="51"/>
  <c r="I7"/>
  <c r="I21"/>
  <c r="B27"/>
  <c r="I33"/>
  <c r="B37"/>
  <c r="B30"/>
  <c r="B52"/>
  <c r="B132"/>
  <c r="C132" s="1"/>
  <c r="B172"/>
  <c r="S223" s="1"/>
  <c r="B92"/>
  <c r="C92" s="1"/>
  <c r="B89" i="54"/>
  <c r="C89" s="1"/>
  <c r="B49"/>
  <c r="H54" i="4"/>
  <c r="G53"/>
  <c r="G52"/>
  <c r="H51"/>
  <c r="A51" i="48"/>
  <c r="B47" i="45"/>
  <c r="B167"/>
  <c r="N223" s="1"/>
  <c r="B127"/>
  <c r="C127" s="1"/>
  <c r="F59" i="4"/>
  <c r="J59" s="1"/>
  <c r="I52"/>
  <c r="D100" i="78"/>
  <c r="A104" i="79"/>
  <c r="D85" i="91"/>
  <c r="D101" i="85"/>
  <c r="E100"/>
  <c r="E99" i="80"/>
  <c r="E99" i="79"/>
  <c r="B144" i="39"/>
  <c r="C144" s="1"/>
  <c r="B15" i="84"/>
  <c r="B64" i="39"/>
  <c r="B104"/>
  <c r="B184"/>
  <c r="AE223" s="1"/>
  <c r="AE226" s="1"/>
  <c r="AE227" s="1"/>
  <c r="AE228" s="1"/>
  <c r="AE229" s="1"/>
  <c r="AE230" s="1"/>
  <c r="AE231" s="1"/>
  <c r="A39" i="86"/>
  <c r="A70"/>
  <c r="A59" i="36"/>
  <c r="B19"/>
  <c r="B139" s="1"/>
  <c r="I90" i="108"/>
  <c r="I91" s="1"/>
  <c r="I92" s="1"/>
  <c r="J90"/>
  <c r="J91" s="1"/>
  <c r="J92" s="1"/>
  <c r="K90"/>
  <c r="K91" s="1"/>
  <c r="K92" s="1"/>
  <c r="A167" i="39"/>
  <c r="A41" i="85"/>
  <c r="D86" i="95"/>
  <c r="A56" i="36"/>
  <c r="B13"/>
  <c r="B93" s="1"/>
  <c r="C93" s="1"/>
  <c r="B10"/>
  <c r="A104"/>
  <c r="B24"/>
  <c r="B125" i="63"/>
  <c r="C133" s="1"/>
  <c r="B165"/>
  <c r="L223" s="1"/>
  <c r="E6"/>
  <c r="B85"/>
  <c r="E100" i="87"/>
  <c r="D101"/>
  <c r="B17" i="63"/>
  <c r="A57"/>
  <c r="A97"/>
  <c r="A177"/>
  <c r="H21" i="101"/>
  <c r="H22" s="1"/>
  <c r="B32" i="103"/>
  <c r="B33" s="1"/>
  <c r="H21" i="119"/>
  <c r="H22" s="1"/>
  <c r="A134" i="83"/>
  <c r="A47" i="36"/>
  <c r="A134" i="86"/>
  <c r="I86" i="108"/>
  <c r="I87" s="1"/>
  <c r="I88" s="1"/>
  <c r="L56" i="69"/>
  <c r="A40" i="86"/>
  <c r="A133"/>
  <c r="A52" i="63"/>
  <c r="A172"/>
  <c r="E84" i="92"/>
  <c r="B5" i="85"/>
  <c r="B7" i="36"/>
  <c r="B45" i="63"/>
  <c r="D127"/>
  <c r="E126"/>
  <c r="D85" i="97"/>
  <c r="E84"/>
  <c r="B19" i="63"/>
  <c r="A59"/>
  <c r="A139"/>
  <c r="A179"/>
  <c r="J86" i="108"/>
  <c r="J87" s="1"/>
  <c r="J88" s="1"/>
  <c r="K86"/>
  <c r="K87" s="1"/>
  <c r="K88" s="1"/>
  <c r="L76"/>
  <c r="L77" s="1"/>
  <c r="K77"/>
  <c r="L59" i="69"/>
  <c r="L60" s="1"/>
  <c r="L61" s="1"/>
  <c r="L62"/>
  <c r="A44" i="84"/>
  <c r="H36" i="101"/>
  <c r="D62" s="1"/>
  <c r="J62" s="1"/>
  <c r="L81" i="69"/>
  <c r="L82" s="1"/>
  <c r="L83" s="1"/>
  <c r="K58"/>
  <c r="J58"/>
  <c r="I16"/>
  <c r="G46" i="101"/>
  <c r="C72" s="1"/>
  <c r="G72" s="1"/>
  <c r="K21"/>
  <c r="K22" s="1"/>
  <c r="N21"/>
  <c r="N22" s="1"/>
  <c r="Q25" i="119"/>
  <c r="R26" s="1"/>
  <c r="G50" i="101"/>
  <c r="C76" s="1"/>
  <c r="H45"/>
  <c r="D71" s="1"/>
  <c r="G44"/>
  <c r="C70" s="1"/>
  <c r="G71" s="1"/>
  <c r="J35"/>
  <c r="J21"/>
  <c r="J22" s="1"/>
  <c r="M21"/>
  <c r="M22" s="1"/>
  <c r="K65" i="120"/>
  <c r="K236"/>
  <c r="E17" i="70"/>
  <c r="E18" s="1"/>
  <c r="D17"/>
  <c r="G49" i="101"/>
  <c r="C75" s="1"/>
  <c r="G42"/>
  <c r="C68" s="1"/>
  <c r="G68" s="1"/>
  <c r="G39"/>
  <c r="C65" s="1"/>
  <c r="G36"/>
  <c r="C62" s="1"/>
  <c r="G63" s="1"/>
  <c r="H38"/>
  <c r="D64" s="1"/>
  <c r="I21"/>
  <c r="I22" s="1"/>
  <c r="K65" s="1"/>
  <c r="L65" s="1"/>
  <c r="L21" i="119"/>
  <c r="L22" s="1"/>
  <c r="G17" i="70"/>
  <c r="G18" s="1"/>
  <c r="H41" i="101"/>
  <c r="D67" s="1"/>
  <c r="H33"/>
  <c r="D59" s="1"/>
  <c r="H59" s="1"/>
  <c r="C85"/>
  <c r="G86" s="1"/>
  <c r="C216"/>
  <c r="P223" i="39"/>
  <c r="I27" i="42"/>
  <c r="B25"/>
  <c r="I19"/>
  <c r="B130" i="80"/>
  <c r="B8" i="89"/>
  <c r="I80"/>
  <c r="I76"/>
  <c r="I72"/>
  <c r="I68"/>
  <c r="I64"/>
  <c r="I59"/>
  <c r="B79"/>
  <c r="B75"/>
  <c r="B71"/>
  <c r="B67"/>
  <c r="B63"/>
  <c r="I77"/>
  <c r="I73"/>
  <c r="I69"/>
  <c r="I65"/>
  <c r="I60"/>
  <c r="B80"/>
  <c r="B76"/>
  <c r="B72"/>
  <c r="B68"/>
  <c r="G50" i="119"/>
  <c r="B126" i="48"/>
  <c r="C126" s="1"/>
  <c r="B166"/>
  <c r="B86"/>
  <c r="C86" s="1"/>
  <c r="B46"/>
  <c r="B130" i="60"/>
  <c r="B90"/>
  <c r="C90" s="1"/>
  <c r="B104"/>
  <c r="B15" i="85"/>
  <c r="B64" i="60"/>
  <c r="B144"/>
  <c r="B184"/>
  <c r="AE223" s="1"/>
  <c r="AE226" s="1"/>
  <c r="AE227" s="1"/>
  <c r="AE228" s="1"/>
  <c r="AE229" s="1"/>
  <c r="AE230" s="1"/>
  <c r="AE231" s="1"/>
  <c r="E6" i="89"/>
  <c r="B114"/>
  <c r="Q154" s="1"/>
  <c r="Q157" s="1"/>
  <c r="Q158" s="1"/>
  <c r="Q159" s="1"/>
  <c r="Q160" s="1"/>
  <c r="Q161" s="1"/>
  <c r="Q162" s="1"/>
  <c r="C67" i="84"/>
  <c r="I38" i="45"/>
  <c r="B33"/>
  <c r="I26"/>
  <c r="I15"/>
  <c r="B40"/>
  <c r="B32"/>
  <c r="I23"/>
  <c r="I40"/>
  <c r="B35"/>
  <c r="I16"/>
  <c r="B42"/>
  <c r="B34"/>
  <c r="B26"/>
  <c r="B90" i="48"/>
  <c r="C90" s="1"/>
  <c r="B50"/>
  <c r="B130"/>
  <c r="C130" s="1"/>
  <c r="B170"/>
  <c r="Q223" s="1"/>
  <c r="B128" i="51"/>
  <c r="C128" s="1"/>
  <c r="B48"/>
  <c r="B168"/>
  <c r="B88"/>
  <c r="C88" s="1"/>
  <c r="B178" i="54"/>
  <c r="B98"/>
  <c r="B58"/>
  <c r="B9" i="80"/>
  <c r="B103" i="45"/>
  <c r="B143"/>
  <c r="C143" s="1"/>
  <c r="B63"/>
  <c r="B183"/>
  <c r="AD223" s="1"/>
  <c r="B14" i="81"/>
  <c r="B127" i="57"/>
  <c r="B47"/>
  <c r="B87"/>
  <c r="B167"/>
  <c r="B62"/>
  <c r="B182"/>
  <c r="AC223" s="1"/>
  <c r="B102"/>
  <c r="C102" s="1"/>
  <c r="B13" i="82"/>
  <c r="B142" i="57"/>
  <c r="B88" i="39"/>
  <c r="B128"/>
  <c r="C128" s="1"/>
  <c r="B48"/>
  <c r="B131" i="48"/>
  <c r="C131" s="1"/>
  <c r="B171"/>
  <c r="R223" s="1"/>
  <c r="B51"/>
  <c r="B176" i="57"/>
  <c r="W223" s="1"/>
  <c r="B14" i="82"/>
  <c r="B143" i="57"/>
  <c r="B103"/>
  <c r="C103" s="1"/>
  <c r="B63"/>
  <c r="B183"/>
  <c r="AD223" s="1"/>
  <c r="B88" i="60"/>
  <c r="C88" s="1"/>
  <c r="B128"/>
  <c r="B48"/>
  <c r="B88" i="89"/>
  <c r="C88" s="1"/>
  <c r="B7" i="78"/>
  <c r="B56" i="48"/>
  <c r="B136"/>
  <c r="C136" s="1"/>
  <c r="B176"/>
  <c r="W223" s="1"/>
  <c r="B96"/>
  <c r="C96" s="1"/>
  <c r="B5" i="78"/>
  <c r="B54" i="48"/>
  <c r="B134"/>
  <c r="C134" s="1"/>
  <c r="B174"/>
  <c r="U223" s="1"/>
  <c r="B94"/>
  <c r="C94" s="1"/>
  <c r="B6" i="79"/>
  <c r="B55" i="51"/>
  <c r="B135"/>
  <c r="C135" s="1"/>
  <c r="B95"/>
  <c r="C95" s="1"/>
  <c r="B175"/>
  <c r="V223" s="1"/>
  <c r="B171" i="45"/>
  <c r="B51"/>
  <c r="B131"/>
  <c r="C131" s="1"/>
  <c r="B92" i="60"/>
  <c r="C92" s="1"/>
  <c r="B132"/>
  <c r="B52"/>
  <c r="B46" i="36"/>
  <c r="B86"/>
  <c r="B166"/>
  <c r="M223" s="1"/>
  <c r="B126"/>
  <c r="B109" i="89"/>
  <c r="B50" i="36"/>
  <c r="B130"/>
  <c r="B20"/>
  <c r="A100"/>
  <c r="B12" i="63"/>
  <c r="A132"/>
  <c r="B95"/>
  <c r="C95" s="1"/>
  <c r="B135"/>
  <c r="A177" i="42"/>
  <c r="B175"/>
  <c r="A138"/>
  <c r="A98"/>
  <c r="B95"/>
  <c r="C95" s="1"/>
  <c r="B92"/>
  <c r="A58"/>
  <c r="B62"/>
  <c r="A104" i="83"/>
  <c r="A180" i="39"/>
  <c r="B177"/>
  <c r="X223" s="1"/>
  <c r="B99"/>
  <c r="C99" s="1"/>
  <c r="B97"/>
  <c r="C97" s="1"/>
  <c r="A45"/>
  <c r="A132" i="60"/>
  <c r="A128"/>
  <c r="A102"/>
  <c r="A98"/>
  <c r="A88"/>
  <c r="A85"/>
  <c r="A62"/>
  <c r="A58"/>
  <c r="A48"/>
  <c r="A135" i="85"/>
  <c r="A104"/>
  <c r="A44"/>
  <c r="B177" i="36"/>
  <c r="X223" s="1"/>
  <c r="B169"/>
  <c r="P223" s="1"/>
  <c r="B137"/>
  <c r="B125"/>
  <c r="A101"/>
  <c r="A51"/>
  <c r="A46"/>
  <c r="B63"/>
  <c r="E6"/>
  <c r="B181" i="63"/>
  <c r="AB223" s="1"/>
  <c r="A143"/>
  <c r="B61"/>
  <c r="A137" i="87"/>
  <c r="A77"/>
  <c r="D18" i="70"/>
  <c r="H48" i="101"/>
  <c r="D74" s="1"/>
  <c r="H46"/>
  <c r="D72" s="1"/>
  <c r="H73" s="1"/>
  <c r="G34"/>
  <c r="H37"/>
  <c r="D63" s="1"/>
  <c r="B14" i="36"/>
  <c r="A94"/>
  <c r="B168" i="63"/>
  <c r="B88"/>
  <c r="B57"/>
  <c r="B97"/>
  <c r="C97" s="1"/>
  <c r="B177"/>
  <c r="X223" s="1"/>
  <c r="B14"/>
  <c r="A94"/>
  <c r="A136" i="80"/>
  <c r="H49" i="101"/>
  <c r="D75" s="1"/>
  <c r="H76" s="1"/>
  <c r="G47"/>
  <c r="C73" s="1"/>
  <c r="G73" s="1"/>
  <c r="H72"/>
  <c r="H44"/>
  <c r="D70" s="1"/>
  <c r="G40"/>
  <c r="C66" s="1"/>
  <c r="G67" s="1"/>
  <c r="G38"/>
  <c r="C64" s="1"/>
  <c r="G35"/>
  <c r="C61" s="1"/>
  <c r="G62" s="1"/>
  <c r="H34"/>
  <c r="A100" i="63"/>
  <c r="A180"/>
  <c r="A136" i="42"/>
  <c r="B132"/>
  <c r="C132" s="1"/>
  <c r="A96"/>
  <c r="A56"/>
  <c r="B55"/>
  <c r="A167"/>
  <c r="A73" i="83"/>
  <c r="B17" i="42"/>
  <c r="B16"/>
  <c r="B13" i="83"/>
  <c r="B10"/>
  <c r="A178" i="39"/>
  <c r="A140"/>
  <c r="B137"/>
  <c r="C137" s="1"/>
  <c r="B101"/>
  <c r="C101" s="1"/>
  <c r="A100"/>
  <c r="A98"/>
  <c r="B62"/>
  <c r="B57"/>
  <c r="A68" i="84"/>
  <c r="A137"/>
  <c r="B18" i="39"/>
  <c r="A37" i="84"/>
  <c r="B13"/>
  <c r="B12"/>
  <c r="B20" i="39"/>
  <c r="B10" i="84"/>
  <c r="A177" i="60"/>
  <c r="A165"/>
  <c r="L225" s="1"/>
  <c r="M225" s="1"/>
  <c r="N225" s="1"/>
  <c r="O225" s="1"/>
  <c r="P225" s="1"/>
  <c r="Q225" s="1"/>
  <c r="R225" s="1"/>
  <c r="S225" s="1"/>
  <c r="T225" s="1"/>
  <c r="U225" s="1"/>
  <c r="V225" s="1"/>
  <c r="W225" s="1"/>
  <c r="X225" s="1"/>
  <c r="Y225" s="1"/>
  <c r="Z225" s="1"/>
  <c r="AA225" s="1"/>
  <c r="AB225" s="1"/>
  <c r="AC225" s="1"/>
  <c r="AD225" s="1"/>
  <c r="AE225" s="1"/>
  <c r="AF225" s="1"/>
  <c r="AG225" s="1"/>
  <c r="AH225" s="1"/>
  <c r="AI225" s="1"/>
  <c r="AJ225" s="1"/>
  <c r="AK225" s="1"/>
  <c r="AL225" s="1"/>
  <c r="AM225" s="1"/>
  <c r="AN225" s="1"/>
  <c r="AO225" s="1"/>
  <c r="AP225" s="1"/>
  <c r="AQ225" s="1"/>
  <c r="AR225" s="1"/>
  <c r="AS225" s="1"/>
  <c r="AT225" s="1"/>
  <c r="AU225" s="1"/>
  <c r="AV225" s="1"/>
  <c r="AW225" s="1"/>
  <c r="A136"/>
  <c r="A100"/>
  <c r="A60"/>
  <c r="A56"/>
  <c r="B5"/>
  <c r="B18"/>
  <c r="B17"/>
  <c r="B16"/>
  <c r="B22"/>
  <c r="B20"/>
  <c r="A181" i="36"/>
  <c r="B165"/>
  <c r="A138"/>
  <c r="A134"/>
  <c r="A58"/>
  <c r="A54"/>
  <c r="B18"/>
  <c r="B21"/>
  <c r="B137" i="63"/>
  <c r="C137" s="1"/>
  <c r="A103"/>
  <c r="B101"/>
  <c r="C101" s="1"/>
  <c r="A54"/>
  <c r="A93"/>
  <c r="B8" i="87"/>
  <c r="B23" i="63"/>
  <c r="B12" i="87"/>
  <c r="G76" i="101"/>
  <c r="G48"/>
  <c r="C74" s="1"/>
  <c r="H42"/>
  <c r="D68" s="1"/>
  <c r="H69" s="1"/>
  <c r="G66"/>
  <c r="A37" i="87"/>
  <c r="A99"/>
  <c r="B22" i="63"/>
  <c r="A102"/>
  <c r="A137" i="42"/>
  <c r="A97"/>
  <c r="A135" i="83"/>
  <c r="A130" i="84"/>
  <c r="A106"/>
  <c r="A178" i="60"/>
  <c r="A166"/>
  <c r="A144"/>
  <c r="A126"/>
  <c r="A90"/>
  <c r="A52"/>
  <c r="A130" i="85"/>
  <c r="A178" i="36"/>
  <c r="A174"/>
  <c r="B183"/>
  <c r="AD223" s="1"/>
  <c r="A143"/>
  <c r="A141"/>
  <c r="A139"/>
  <c r="A103"/>
  <c r="B97"/>
  <c r="C97" s="1"/>
  <c r="A93"/>
  <c r="B8" i="86"/>
  <c r="B175" i="63"/>
  <c r="V223" s="1"/>
  <c r="A135"/>
  <c r="B128"/>
  <c r="A98"/>
  <c r="A92"/>
  <c r="A86"/>
  <c r="A55"/>
  <c r="B55"/>
  <c r="A104" i="87"/>
  <c r="A42"/>
  <c r="B18" i="63"/>
  <c r="B20"/>
  <c r="G70" i="101"/>
  <c r="H40"/>
  <c r="D66" s="1"/>
  <c r="C34" i="70"/>
  <c r="D26" i="101" l="1"/>
  <c r="C24" i="100"/>
  <c r="D128" i="51"/>
  <c r="E127"/>
  <c r="K38" i="108"/>
  <c r="K40" s="1"/>
  <c r="L20"/>
  <c r="K22"/>
  <c r="B89" i="36"/>
  <c r="C89" s="1"/>
  <c r="B49"/>
  <c r="B129"/>
  <c r="D128" i="60"/>
  <c r="E127"/>
  <c r="B14" i="84"/>
  <c r="B103" i="39"/>
  <c r="C103" s="1"/>
  <c r="B143"/>
  <c r="C143" s="1"/>
  <c r="B183"/>
  <c r="AD223" s="1"/>
  <c r="B63"/>
  <c r="E127" i="54"/>
  <c r="D128"/>
  <c r="B168" i="48"/>
  <c r="O223" s="1"/>
  <c r="B88"/>
  <c r="C88" s="1"/>
  <c r="B128"/>
  <c r="C128" s="1"/>
  <c r="B48"/>
  <c r="I4"/>
  <c r="B45" i="57"/>
  <c r="B125"/>
  <c r="E5"/>
  <c r="B165"/>
  <c r="L223" s="1"/>
  <c r="E6"/>
  <c r="B85"/>
  <c r="B15" i="81"/>
  <c r="B104" i="45"/>
  <c r="B144"/>
  <c r="C144" s="1"/>
  <c r="B64"/>
  <c r="B184"/>
  <c r="AE223" s="1"/>
  <c r="AE226" s="1"/>
  <c r="AE227" s="1"/>
  <c r="AE228" s="1"/>
  <c r="AE229" s="1"/>
  <c r="AE230" s="1"/>
  <c r="AE231" s="1"/>
  <c r="B94" i="54"/>
  <c r="C94" s="1"/>
  <c r="B54"/>
  <c r="B174"/>
  <c r="U223" s="1"/>
  <c r="B5" i="80"/>
  <c r="B134" i="54"/>
  <c r="C134" s="1"/>
  <c r="B127" i="51"/>
  <c r="C127" s="1"/>
  <c r="B167"/>
  <c r="N223" s="1"/>
  <c r="B47"/>
  <c r="B87"/>
  <c r="C87" s="1"/>
  <c r="B91"/>
  <c r="C91" s="1"/>
  <c r="B171"/>
  <c r="R223" s="1"/>
  <c r="B131"/>
  <c r="C131" s="1"/>
  <c r="B51"/>
  <c r="B173" i="57"/>
  <c r="T223" s="1"/>
  <c r="B93"/>
  <c r="C93" s="1"/>
  <c r="B53"/>
  <c r="B133"/>
  <c r="AQ226" i="39"/>
  <c r="B217"/>
  <c r="E104" i="84"/>
  <c r="D105"/>
  <c r="S160" i="89"/>
  <c r="C90"/>
  <c r="U160"/>
  <c r="C92"/>
  <c r="C98"/>
  <c r="AA160"/>
  <c r="AE160"/>
  <c r="C102"/>
  <c r="AG160"/>
  <c r="C104"/>
  <c r="C128" i="63"/>
  <c r="B59" i="36"/>
  <c r="C135" i="63"/>
  <c r="B136" i="57"/>
  <c r="C136" s="1"/>
  <c r="C142"/>
  <c r="C127"/>
  <c r="D137" i="89"/>
  <c r="L66" i="69"/>
  <c r="E365" i="120"/>
  <c r="E166"/>
  <c r="E394"/>
  <c r="E305"/>
  <c r="E442"/>
  <c r="E154"/>
  <c r="E123"/>
  <c r="E188"/>
  <c r="E228"/>
  <c r="E10"/>
  <c r="E12"/>
  <c r="E484"/>
  <c r="E378"/>
  <c r="E44"/>
  <c r="E445"/>
  <c r="E425"/>
  <c r="E192"/>
  <c r="E106"/>
  <c r="E482"/>
  <c r="E400"/>
  <c r="E344"/>
  <c r="E443"/>
  <c r="E147"/>
  <c r="E62"/>
  <c r="C143" i="42"/>
  <c r="I35"/>
  <c r="B27"/>
  <c r="B6" i="81"/>
  <c r="B95" i="45"/>
  <c r="C95" s="1"/>
  <c r="B175"/>
  <c r="V223" s="1"/>
  <c r="B55"/>
  <c r="B135"/>
  <c r="C135" s="1"/>
  <c r="B14" i="79"/>
  <c r="B103" i="51"/>
  <c r="C103" s="1"/>
  <c r="B183"/>
  <c r="AD223" s="1"/>
  <c r="B143"/>
  <c r="C143" s="1"/>
  <c r="B63"/>
  <c r="F86" i="42"/>
  <c r="C85"/>
  <c r="D146" i="89"/>
  <c r="C73"/>
  <c r="AB159"/>
  <c r="B5" i="82"/>
  <c r="B54" i="57"/>
  <c r="B174"/>
  <c r="U223" s="1"/>
  <c r="B94"/>
  <c r="C94" s="1"/>
  <c r="B134"/>
  <c r="B50"/>
  <c r="B170"/>
  <c r="Q223" s="1"/>
  <c r="B130"/>
  <c r="B90"/>
  <c r="C90" s="1"/>
  <c r="B36" i="81"/>
  <c r="B98"/>
  <c r="B67"/>
  <c r="E7"/>
  <c r="B129"/>
  <c r="L179" s="1"/>
  <c r="B88" i="45"/>
  <c r="C88" s="1"/>
  <c r="B168"/>
  <c r="O223" s="1"/>
  <c r="B48"/>
  <c r="B128"/>
  <c r="C128" s="1"/>
  <c r="B15" i="80"/>
  <c r="B64" i="54"/>
  <c r="B144"/>
  <c r="C144" s="1"/>
  <c r="B184"/>
  <c r="AE223" s="1"/>
  <c r="AE226" s="1"/>
  <c r="AE227" s="1"/>
  <c r="AE228" s="1"/>
  <c r="AE229" s="1"/>
  <c r="AE230" s="1"/>
  <c r="AE231" s="1"/>
  <c r="B104"/>
  <c r="E5"/>
  <c r="B139" i="78"/>
  <c r="V179" s="1"/>
  <c r="V182" s="1"/>
  <c r="V183" s="1"/>
  <c r="V184" s="1"/>
  <c r="V185" s="1"/>
  <c r="V186" s="1"/>
  <c r="V187" s="1"/>
  <c r="B46"/>
  <c r="B108"/>
  <c r="B77"/>
  <c r="C77" s="1"/>
  <c r="E107" i="83"/>
  <c r="D108"/>
  <c r="D107" i="79"/>
  <c r="E106"/>
  <c r="AR226" i="42"/>
  <c r="B218"/>
  <c r="B223" i="39"/>
  <c r="AW226"/>
  <c r="I88" i="51"/>
  <c r="I92"/>
  <c r="I96"/>
  <c r="I100"/>
  <c r="I105"/>
  <c r="I109"/>
  <c r="I113"/>
  <c r="I117"/>
  <c r="I121"/>
  <c r="B106"/>
  <c r="B110"/>
  <c r="B114"/>
  <c r="B118"/>
  <c r="B122"/>
  <c r="I87"/>
  <c r="I91"/>
  <c r="I95"/>
  <c r="I99"/>
  <c r="I103"/>
  <c r="I108"/>
  <c r="I112"/>
  <c r="I116"/>
  <c r="I120"/>
  <c r="B105"/>
  <c r="B109"/>
  <c r="B113"/>
  <c r="B117"/>
  <c r="B121"/>
  <c r="I86"/>
  <c r="I90"/>
  <c r="I94"/>
  <c r="I98"/>
  <c r="I102"/>
  <c r="I107"/>
  <c r="I111"/>
  <c r="I115"/>
  <c r="I119"/>
  <c r="I104"/>
  <c r="B108"/>
  <c r="B112"/>
  <c r="B116"/>
  <c r="B120"/>
  <c r="I85"/>
  <c r="I89"/>
  <c r="I93"/>
  <c r="I97"/>
  <c r="I101"/>
  <c r="I106"/>
  <c r="I110"/>
  <c r="I114"/>
  <c r="I118"/>
  <c r="I122"/>
  <c r="B107"/>
  <c r="B111"/>
  <c r="B115"/>
  <c r="B119"/>
  <c r="B212" i="42"/>
  <c r="AL226"/>
  <c r="B89"/>
  <c r="C89" s="1"/>
  <c r="B49"/>
  <c r="B169"/>
  <c r="P223" s="1"/>
  <c r="B129"/>
  <c r="C129" s="1"/>
  <c r="E5" i="63"/>
  <c r="B144"/>
  <c r="B104"/>
  <c r="C104" s="1"/>
  <c r="B64"/>
  <c r="B15" i="87"/>
  <c r="B184" i="63"/>
  <c r="AE223" s="1"/>
  <c r="AE226" s="1"/>
  <c r="AE227" s="1"/>
  <c r="AE228" s="1"/>
  <c r="AE229" s="1"/>
  <c r="AE230" s="1"/>
  <c r="AE231" s="1"/>
  <c r="B181" i="39"/>
  <c r="AB223" s="1"/>
  <c r="B61"/>
  <c r="B141"/>
  <c r="C141" s="1"/>
  <c r="B60" i="54"/>
  <c r="B140"/>
  <c r="C140" s="1"/>
  <c r="B11" i="80"/>
  <c r="B180" i="54"/>
  <c r="AA223" s="1"/>
  <c r="B100"/>
  <c r="C100" s="1"/>
  <c r="E6" i="79"/>
  <c r="B67"/>
  <c r="B98"/>
  <c r="E7"/>
  <c r="B129"/>
  <c r="L179" s="1"/>
  <c r="B36"/>
  <c r="I20" i="42"/>
  <c r="I37"/>
  <c r="I14"/>
  <c r="I36"/>
  <c r="I7"/>
  <c r="I12"/>
  <c r="I13"/>
  <c r="I25"/>
  <c r="B29"/>
  <c r="I31"/>
  <c r="I42"/>
  <c r="B38"/>
  <c r="B30"/>
  <c r="I29"/>
  <c r="B41"/>
  <c r="I28"/>
  <c r="B36"/>
  <c r="I38"/>
  <c r="B42"/>
  <c r="I6"/>
  <c r="I18"/>
  <c r="I21"/>
  <c r="B40"/>
  <c r="I34"/>
  <c r="I26"/>
  <c r="I17"/>
  <c r="B39"/>
  <c r="B33"/>
  <c r="I16"/>
  <c r="B28"/>
  <c r="I30"/>
  <c r="B34"/>
  <c r="B35"/>
  <c r="I41"/>
  <c r="I8"/>
  <c r="I32"/>
  <c r="B32"/>
  <c r="I23"/>
  <c r="I15"/>
  <c r="B183" i="54"/>
  <c r="AD223" s="1"/>
  <c r="B63"/>
  <c r="B14" i="80"/>
  <c r="B143" i="54"/>
  <c r="C143" s="1"/>
  <c r="B103"/>
  <c r="C103" s="1"/>
  <c r="B97" i="51"/>
  <c r="C97" s="1"/>
  <c r="B137"/>
  <c r="C137" s="1"/>
  <c r="B177"/>
  <c r="X223" s="1"/>
  <c r="B8" i="79"/>
  <c r="B57" i="51"/>
  <c r="E85" i="90"/>
  <c r="D86"/>
  <c r="B11" i="81"/>
  <c r="B180" i="45"/>
  <c r="AA223" s="1"/>
  <c r="B60"/>
  <c r="B140"/>
  <c r="C140" s="1"/>
  <c r="B100"/>
  <c r="C100" s="1"/>
  <c r="B63" i="48"/>
  <c r="B183"/>
  <c r="AD223" s="1"/>
  <c r="B103"/>
  <c r="C103" s="1"/>
  <c r="B14" i="78"/>
  <c r="B143" i="48"/>
  <c r="C143" s="1"/>
  <c r="B213" i="39"/>
  <c r="AM226"/>
  <c r="B212"/>
  <c r="AL226"/>
  <c r="T160" i="89"/>
  <c r="C91"/>
  <c r="AB160"/>
  <c r="C99"/>
  <c r="C101"/>
  <c r="AD160"/>
  <c r="C94"/>
  <c r="W160"/>
  <c r="F85" i="42"/>
  <c r="G75" i="101"/>
  <c r="B99" i="36"/>
  <c r="C99" s="1"/>
  <c r="B173"/>
  <c r="T223" s="1"/>
  <c r="C143" i="57"/>
  <c r="B56"/>
  <c r="E46" i="54"/>
  <c r="C64" i="89"/>
  <c r="L63" i="69"/>
  <c r="I11" i="42"/>
  <c r="B26"/>
  <c r="I39"/>
  <c r="C97" i="89"/>
  <c r="Z160"/>
  <c r="Y160"/>
  <c r="C96"/>
  <c r="AF160"/>
  <c r="C103"/>
  <c r="AI160"/>
  <c r="C106"/>
  <c r="B67" i="83"/>
  <c r="E7"/>
  <c r="B129"/>
  <c r="L179" s="1"/>
  <c r="B36"/>
  <c r="B98"/>
  <c r="E6"/>
  <c r="B7" i="84"/>
  <c r="B56" i="39"/>
  <c r="B176"/>
  <c r="W223" s="1"/>
  <c r="B136"/>
  <c r="C136" s="1"/>
  <c r="B96"/>
  <c r="C96" s="1"/>
  <c r="I17" i="45"/>
  <c r="I31"/>
  <c r="I5"/>
  <c r="I24"/>
  <c r="I32"/>
  <c r="I10"/>
  <c r="I29"/>
  <c r="I41"/>
  <c r="I22"/>
  <c r="I34"/>
  <c r="I14"/>
  <c r="B30"/>
  <c r="I39"/>
  <c r="I20"/>
  <c r="B31"/>
  <c r="I6"/>
  <c r="B28"/>
  <c r="I37"/>
  <c r="I18"/>
  <c r="I30"/>
  <c r="I42"/>
  <c r="I8"/>
  <c r="I27"/>
  <c r="B38"/>
  <c r="I13"/>
  <c r="I28"/>
  <c r="B39"/>
  <c r="I25"/>
  <c r="B36"/>
  <c r="I11"/>
  <c r="B29"/>
  <c r="B41"/>
  <c r="I21"/>
  <c r="I35"/>
  <c r="I9"/>
  <c r="B27"/>
  <c r="I36"/>
  <c r="I19"/>
  <c r="I33"/>
  <c r="I7"/>
  <c r="B25"/>
  <c r="B37"/>
  <c r="C134" i="42"/>
  <c r="C135"/>
  <c r="C139"/>
  <c r="C142"/>
  <c r="C128"/>
  <c r="B5" i="95"/>
  <c r="B134" i="85"/>
  <c r="Q179" s="1"/>
  <c r="B41"/>
  <c r="B103"/>
  <c r="B72"/>
  <c r="C72" s="1"/>
  <c r="B178" i="45"/>
  <c r="Y223" s="1"/>
  <c r="B138"/>
  <c r="C138" s="1"/>
  <c r="B9" i="81"/>
  <c r="B98" i="45"/>
  <c r="C98" s="1"/>
  <c r="B58"/>
  <c r="D102" i="81"/>
  <c r="E101"/>
  <c r="C104" i="48"/>
  <c r="F85"/>
  <c r="AS226" i="39"/>
  <c r="B219"/>
  <c r="V160" i="89"/>
  <c r="C93"/>
  <c r="C95"/>
  <c r="X160"/>
  <c r="C105"/>
  <c r="AH160"/>
  <c r="C89"/>
  <c r="R160"/>
  <c r="AC160"/>
  <c r="C100"/>
  <c r="B96" i="57"/>
  <c r="C96" s="1"/>
  <c r="K80" i="108"/>
  <c r="E238" i="120"/>
  <c r="E73"/>
  <c r="E408"/>
  <c r="E31"/>
  <c r="E339"/>
  <c r="E201"/>
  <c r="E335"/>
  <c r="E383"/>
  <c r="E330"/>
  <c r="E189"/>
  <c r="E323"/>
  <c r="E59"/>
  <c r="E404"/>
  <c r="E129"/>
  <c r="E102"/>
  <c r="E242"/>
  <c r="E32"/>
  <c r="E483"/>
  <c r="E167"/>
  <c r="E370"/>
  <c r="E185"/>
  <c r="E112"/>
  <c r="E336"/>
  <c r="E363"/>
  <c r="C144" i="42"/>
  <c r="C140"/>
  <c r="C130"/>
  <c r="I10"/>
  <c r="I33"/>
  <c r="I9"/>
  <c r="F26" i="100"/>
  <c r="F5" i="101"/>
  <c r="F19"/>
  <c r="F15"/>
  <c r="F11"/>
  <c r="F7"/>
  <c r="F16"/>
  <c r="F8"/>
  <c r="F20"/>
  <c r="F12"/>
  <c r="F18"/>
  <c r="F14"/>
  <c r="F10"/>
  <c r="F6"/>
  <c r="F21"/>
  <c r="F17"/>
  <c r="F13"/>
  <c r="F9"/>
  <c r="E26"/>
  <c r="E45" i="121"/>
  <c r="E94"/>
  <c r="E147"/>
  <c r="E15"/>
  <c r="E44"/>
  <c r="E84"/>
  <c r="E121"/>
  <c r="E159"/>
  <c r="E196"/>
  <c r="E221"/>
  <c r="E250"/>
  <c r="E274"/>
  <c r="E299"/>
  <c r="E324"/>
  <c r="E344"/>
  <c r="E14"/>
  <c r="E30"/>
  <c r="E47"/>
  <c r="E63"/>
  <c r="E79"/>
  <c r="E96"/>
  <c r="E112"/>
  <c r="E129"/>
  <c r="E145"/>
  <c r="E162"/>
  <c r="E178"/>
  <c r="E195"/>
  <c r="E211"/>
  <c r="E232"/>
  <c r="E249"/>
  <c r="E265"/>
  <c r="E281"/>
  <c r="E298"/>
  <c r="E315"/>
  <c r="E331"/>
  <c r="E347"/>
  <c r="E364"/>
  <c r="E380"/>
  <c r="E397"/>
  <c r="E414"/>
  <c r="E430"/>
  <c r="E447"/>
  <c r="E463"/>
  <c r="E480"/>
  <c r="E496"/>
  <c r="E17"/>
  <c r="E34"/>
  <c r="E50"/>
  <c r="E66"/>
  <c r="E82"/>
  <c r="E99"/>
  <c r="E115"/>
  <c r="E132"/>
  <c r="E148"/>
  <c r="E165"/>
  <c r="E181"/>
  <c r="E198"/>
  <c r="E215"/>
  <c r="E231"/>
  <c r="E248"/>
  <c r="E264"/>
  <c r="E280"/>
  <c r="E297"/>
  <c r="E314"/>
  <c r="E330"/>
  <c r="E346"/>
  <c r="E363"/>
  <c r="E379"/>
  <c r="E396"/>
  <c r="E413"/>
  <c r="E429"/>
  <c r="E446"/>
  <c r="E462"/>
  <c r="E479"/>
  <c r="E495"/>
  <c r="E98"/>
  <c r="E168"/>
  <c r="E197"/>
  <c r="E214"/>
  <c r="E230"/>
  <c r="E247"/>
  <c r="E263"/>
  <c r="E279"/>
  <c r="E296"/>
  <c r="E313"/>
  <c r="E329"/>
  <c r="E345"/>
  <c r="E362"/>
  <c r="E378"/>
  <c r="E395"/>
  <c r="E411"/>
  <c r="E428"/>
  <c r="E445"/>
  <c r="E461"/>
  <c r="E478"/>
  <c r="E494"/>
  <c r="E49"/>
  <c r="E106"/>
  <c r="E27"/>
  <c r="E113"/>
  <c r="E188"/>
  <c r="E245"/>
  <c r="E295"/>
  <c r="E348"/>
  <c r="E369"/>
  <c r="E386"/>
  <c r="E406"/>
  <c r="E423"/>
  <c r="E440"/>
  <c r="E456"/>
  <c r="E472"/>
  <c r="E489"/>
  <c r="E28"/>
  <c r="E85"/>
  <c r="E143"/>
  <c r="E23"/>
  <c r="E72"/>
  <c r="E117"/>
  <c r="E163"/>
  <c r="E10"/>
  <c r="E32"/>
  <c r="E81"/>
  <c r="E139"/>
  <c r="E7"/>
  <c r="E40"/>
  <c r="E76"/>
  <c r="E109"/>
  <c r="E146"/>
  <c r="E183"/>
  <c r="E213"/>
  <c r="E241"/>
  <c r="E266"/>
  <c r="E291"/>
  <c r="E316"/>
  <c r="E340"/>
  <c r="E6"/>
  <c r="E26"/>
  <c r="E43"/>
  <c r="E59"/>
  <c r="E75"/>
  <c r="E91"/>
  <c r="E108"/>
  <c r="E125"/>
  <c r="E141"/>
  <c r="E157"/>
  <c r="E174"/>
  <c r="E191"/>
  <c r="E207"/>
  <c r="E228"/>
  <c r="E244"/>
  <c r="E261"/>
  <c r="E277"/>
  <c r="E294"/>
  <c r="E310"/>
  <c r="E327"/>
  <c r="E343"/>
  <c r="E360"/>
  <c r="E376"/>
  <c r="E393"/>
  <c r="E409"/>
  <c r="E426"/>
  <c r="E443"/>
  <c r="E459"/>
  <c r="E476"/>
  <c r="E492"/>
  <c r="E13"/>
  <c r="E29"/>
  <c r="E46"/>
  <c r="E62"/>
  <c r="E78"/>
  <c r="E95"/>
  <c r="E111"/>
  <c r="E128"/>
  <c r="E144"/>
  <c r="E161"/>
  <c r="E177"/>
  <c r="E194"/>
  <c r="E210"/>
  <c r="E227"/>
  <c r="E243"/>
  <c r="E260"/>
  <c r="E276"/>
  <c r="E293"/>
  <c r="E309"/>
  <c r="E326"/>
  <c r="E342"/>
  <c r="E359"/>
  <c r="E375"/>
  <c r="E392"/>
  <c r="E408"/>
  <c r="E425"/>
  <c r="E442"/>
  <c r="E458"/>
  <c r="E474"/>
  <c r="E491"/>
  <c r="E65"/>
  <c r="E164"/>
  <c r="E193"/>
  <c r="E209"/>
  <c r="E226"/>
  <c r="E242"/>
  <c r="E259"/>
  <c r="E275"/>
  <c r="E292"/>
  <c r="E308"/>
  <c r="E325"/>
  <c r="E341"/>
  <c r="E358"/>
  <c r="E374"/>
  <c r="E391"/>
  <c r="E407"/>
  <c r="E424"/>
  <c r="E441"/>
  <c r="E457"/>
  <c r="E473"/>
  <c r="E490"/>
  <c r="E37"/>
  <c r="E89"/>
  <c r="E172"/>
  <c r="E88"/>
  <c r="E171"/>
  <c r="E229"/>
  <c r="E282"/>
  <c r="E336"/>
  <c r="E365"/>
  <c r="E381"/>
  <c r="E402"/>
  <c r="E419"/>
  <c r="E435"/>
  <c r="E452"/>
  <c r="E468"/>
  <c r="E485"/>
  <c r="E12"/>
  <c r="E73"/>
  <c r="E127"/>
  <c r="E11"/>
  <c r="E60"/>
  <c r="E105"/>
  <c r="E154"/>
  <c r="E233"/>
  <c r="E24"/>
  <c r="E69"/>
  <c r="E122"/>
  <c r="E180"/>
  <c r="E31"/>
  <c r="E64"/>
  <c r="E101"/>
  <c r="E138"/>
  <c r="E175"/>
  <c r="E208"/>
  <c r="E237"/>
  <c r="E262"/>
  <c r="E286"/>
  <c r="E312"/>
  <c r="E332"/>
  <c r="E390"/>
  <c r="E22"/>
  <c r="E39"/>
  <c r="E55"/>
  <c r="E71"/>
  <c r="E87"/>
  <c r="E104"/>
  <c r="E120"/>
  <c r="E137"/>
  <c r="E153"/>
  <c r="E170"/>
  <c r="E187"/>
  <c r="E203"/>
  <c r="E220"/>
  <c r="E240"/>
  <c r="E257"/>
  <c r="E273"/>
  <c r="E290"/>
  <c r="E306"/>
  <c r="E323"/>
  <c r="E339"/>
  <c r="E356"/>
  <c r="E372"/>
  <c r="E389"/>
  <c r="E405"/>
  <c r="E422"/>
  <c r="E439"/>
  <c r="E455"/>
  <c r="E471"/>
  <c r="E488"/>
  <c r="E9"/>
  <c r="E25"/>
  <c r="E42"/>
  <c r="E58"/>
  <c r="E74"/>
  <c r="E90"/>
  <c r="E107"/>
  <c r="E123"/>
  <c r="E140"/>
  <c r="E156"/>
  <c r="E173"/>
  <c r="E190"/>
  <c r="E206"/>
  <c r="E223"/>
  <c r="E239"/>
  <c r="E256"/>
  <c r="E272"/>
  <c r="E289"/>
  <c r="E305"/>
  <c r="E322"/>
  <c r="E338"/>
  <c r="E355"/>
  <c r="E371"/>
  <c r="E388"/>
  <c r="E404"/>
  <c r="E421"/>
  <c r="E437"/>
  <c r="E454"/>
  <c r="E470"/>
  <c r="E487"/>
  <c r="E20"/>
  <c r="E151"/>
  <c r="E189"/>
  <c r="E205"/>
  <c r="E222"/>
  <c r="E238"/>
  <c r="E255"/>
  <c r="E271"/>
  <c r="E288"/>
  <c r="E304"/>
  <c r="E321"/>
  <c r="E337"/>
  <c r="E353"/>
  <c r="E370"/>
  <c r="E387"/>
  <c r="E403"/>
  <c r="E420"/>
  <c r="E436"/>
  <c r="E453"/>
  <c r="E469"/>
  <c r="E486"/>
  <c r="E16"/>
  <c r="E77"/>
  <c r="E135"/>
  <c r="E68"/>
  <c r="E150"/>
  <c r="E217"/>
  <c r="E270"/>
  <c r="E320"/>
  <c r="E361"/>
  <c r="E377"/>
  <c r="E398"/>
  <c r="E415"/>
  <c r="E431"/>
  <c r="E448"/>
  <c r="E464"/>
  <c r="E481"/>
  <c r="E497"/>
  <c r="E53"/>
  <c r="E114"/>
  <c r="E184"/>
  <c r="E48"/>
  <c r="E93"/>
  <c r="E142"/>
  <c r="E192"/>
  <c r="E8"/>
  <c r="E57"/>
  <c r="E110"/>
  <c r="E160"/>
  <c r="E19"/>
  <c r="E56"/>
  <c r="E97"/>
  <c r="E126"/>
  <c r="E167"/>
  <c r="E200"/>
  <c r="E225"/>
  <c r="E254"/>
  <c r="E278"/>
  <c r="E303"/>
  <c r="E328"/>
  <c r="E352"/>
  <c r="E18"/>
  <c r="E35"/>
  <c r="E51"/>
  <c r="E67"/>
  <c r="E83"/>
  <c r="E100"/>
  <c r="E116"/>
  <c r="E133"/>
  <c r="E149"/>
  <c r="E166"/>
  <c r="E182"/>
  <c r="E199"/>
  <c r="E216"/>
  <c r="E236"/>
  <c r="E253"/>
  <c r="E269"/>
  <c r="E285"/>
  <c r="E302"/>
  <c r="E319"/>
  <c r="E335"/>
  <c r="E351"/>
  <c r="E368"/>
  <c r="E385"/>
  <c r="E401"/>
  <c r="E418"/>
  <c r="E434"/>
  <c r="E451"/>
  <c r="E467"/>
  <c r="E484"/>
  <c r="E5"/>
  <c r="E21"/>
  <c r="E38"/>
  <c r="E54"/>
  <c r="E70"/>
  <c r="E86"/>
  <c r="E103"/>
  <c r="E119"/>
  <c r="E136"/>
  <c r="E152"/>
  <c r="E169"/>
  <c r="E186"/>
  <c r="E202"/>
  <c r="E219"/>
  <c r="E235"/>
  <c r="E252"/>
  <c r="E268"/>
  <c r="E284"/>
  <c r="E301"/>
  <c r="E318"/>
  <c r="E334"/>
  <c r="E350"/>
  <c r="E367"/>
  <c r="E384"/>
  <c r="E400"/>
  <c r="E417"/>
  <c r="E433"/>
  <c r="E450"/>
  <c r="E466"/>
  <c r="E483"/>
  <c r="E499"/>
  <c r="E131"/>
  <c r="E176"/>
  <c r="E201"/>
  <c r="E218"/>
  <c r="E234"/>
  <c r="E251"/>
  <c r="E267"/>
  <c r="E283"/>
  <c r="E300"/>
  <c r="E317"/>
  <c r="E333"/>
  <c r="E349"/>
  <c r="E366"/>
  <c r="E382"/>
  <c r="E399"/>
  <c r="E416"/>
  <c r="E432"/>
  <c r="E449"/>
  <c r="E465"/>
  <c r="E482"/>
  <c r="E498"/>
  <c r="E61"/>
  <c r="E118"/>
  <c r="E52"/>
  <c r="E134"/>
  <c r="E204"/>
  <c r="E258"/>
  <c r="E307"/>
  <c r="E357"/>
  <c r="E373"/>
  <c r="E394"/>
  <c r="E410"/>
  <c r="E427"/>
  <c r="E444"/>
  <c r="E460"/>
  <c r="E477"/>
  <c r="E493"/>
  <c r="E41"/>
  <c r="E102"/>
  <c r="E155"/>
  <c r="E36"/>
  <c r="E80"/>
  <c r="E130"/>
  <c r="E179"/>
  <c r="E224"/>
  <c r="B3" i="100"/>
  <c r="E42" i="120"/>
  <c r="E148"/>
  <c r="E259"/>
  <c r="E152"/>
  <c r="E25"/>
  <c r="E454"/>
  <c r="E338"/>
  <c r="E263"/>
  <c r="E353"/>
  <c r="E447"/>
  <c r="E39"/>
  <c r="E309"/>
  <c r="E313"/>
  <c r="E180"/>
  <c r="E87"/>
  <c r="E100"/>
  <c r="E462"/>
  <c r="E409"/>
  <c r="E271"/>
  <c r="E174"/>
  <c r="E229"/>
  <c r="E274"/>
  <c r="E249"/>
  <c r="E78"/>
  <c r="E230"/>
  <c r="E356"/>
  <c r="E455"/>
  <c r="E137"/>
  <c r="E93"/>
  <c r="E392"/>
  <c r="E318"/>
  <c r="E243"/>
  <c r="E291"/>
  <c r="E388"/>
  <c r="E375" s="1"/>
  <c r="E76"/>
  <c r="E65" s="1"/>
  <c r="E48"/>
  <c r="E471"/>
  <c r="E440"/>
  <c r="E117"/>
  <c r="E92" s="1"/>
  <c r="E307"/>
  <c r="E300"/>
  <c r="C229" i="101"/>
  <c r="C98"/>
  <c r="G99" s="1"/>
  <c r="C89"/>
  <c r="G90" s="1"/>
  <c r="C220"/>
  <c r="C94"/>
  <c r="G95" s="1"/>
  <c r="C225"/>
  <c r="R27" i="119"/>
  <c r="S26"/>
  <c r="K62" i="69"/>
  <c r="K59"/>
  <c r="K60" s="1"/>
  <c r="K61" s="1"/>
  <c r="B36" i="85"/>
  <c r="B129"/>
  <c r="L179" s="1"/>
  <c r="B98"/>
  <c r="E7"/>
  <c r="B67"/>
  <c r="C85" i="63"/>
  <c r="F86"/>
  <c r="F85"/>
  <c r="B144" i="36"/>
  <c r="B184"/>
  <c r="AE223" s="1"/>
  <c r="AE226" s="1"/>
  <c r="AE227" s="1"/>
  <c r="AE228" s="1"/>
  <c r="AE229" s="1"/>
  <c r="AE230" s="1"/>
  <c r="AE231" s="1"/>
  <c r="B64"/>
  <c r="B104"/>
  <c r="E5"/>
  <c r="B15" i="86"/>
  <c r="B53" i="36"/>
  <c r="B133"/>
  <c r="B10" i="86"/>
  <c r="B179" i="36"/>
  <c r="Z223" s="1"/>
  <c r="D86" i="91"/>
  <c r="E85"/>
  <c r="B218" i="51"/>
  <c r="AR226"/>
  <c r="AG159" i="89"/>
  <c r="D151"/>
  <c r="C78"/>
  <c r="C69"/>
  <c r="X159"/>
  <c r="D142"/>
  <c r="D134" i="45"/>
  <c r="E133"/>
  <c r="D107" i="82"/>
  <c r="E106"/>
  <c r="E135" i="42"/>
  <c r="D136"/>
  <c r="D132" i="39"/>
  <c r="E131"/>
  <c r="H68" i="101"/>
  <c r="J64"/>
  <c r="H65"/>
  <c r="C228"/>
  <c r="C97"/>
  <c r="G98" s="1"/>
  <c r="J59" i="69"/>
  <c r="J60" s="1"/>
  <c r="J61" s="1"/>
  <c r="J62"/>
  <c r="D86" i="97"/>
  <c r="E85"/>
  <c r="B167" i="36"/>
  <c r="N223" s="1"/>
  <c r="B87"/>
  <c r="C87" s="1"/>
  <c r="B127"/>
  <c r="B47"/>
  <c r="C141" i="63"/>
  <c r="C144"/>
  <c r="C136"/>
  <c r="B170" i="36"/>
  <c r="Q223" s="1"/>
  <c r="B90"/>
  <c r="C90" s="1"/>
  <c r="B139" i="84"/>
  <c r="V179" s="1"/>
  <c r="V182" s="1"/>
  <c r="V183" s="1"/>
  <c r="V184" s="1"/>
  <c r="V185" s="1"/>
  <c r="V186" s="1"/>
  <c r="V187" s="1"/>
  <c r="B46"/>
  <c r="B108"/>
  <c r="C108" s="1"/>
  <c r="E6"/>
  <c r="B10" i="94"/>
  <c r="B77" i="84"/>
  <c r="E101" i="85"/>
  <c r="D102"/>
  <c r="AK226" i="51"/>
  <c r="B211"/>
  <c r="C70" i="89"/>
  <c r="Y159"/>
  <c r="D143"/>
  <c r="AI226" i="51"/>
  <c r="B209"/>
  <c r="AC159" i="89"/>
  <c r="D147"/>
  <c r="C74"/>
  <c r="I27" i="63"/>
  <c r="C28"/>
  <c r="E45" i="54"/>
  <c r="C129" i="63"/>
  <c r="I4" i="51"/>
  <c r="I18" i="63"/>
  <c r="K40" i="101"/>
  <c r="L40" s="1"/>
  <c r="K36"/>
  <c r="L36" s="1"/>
  <c r="K39"/>
  <c r="L39" s="1"/>
  <c r="K37"/>
  <c r="L37" s="1"/>
  <c r="K35"/>
  <c r="L35" s="1"/>
  <c r="K62"/>
  <c r="L62" s="1"/>
  <c r="D102" i="87"/>
  <c r="E101"/>
  <c r="E86" i="95"/>
  <c r="D87"/>
  <c r="D101" i="78"/>
  <c r="E100"/>
  <c r="AH226" i="51"/>
  <c r="B208"/>
  <c r="D139" i="89"/>
  <c r="C66"/>
  <c r="U159"/>
  <c r="E128" i="48"/>
  <c r="D129"/>
  <c r="K61" i="101"/>
  <c r="L61" s="1"/>
  <c r="C127" i="63"/>
  <c r="K38" i="101"/>
  <c r="L38" s="1"/>
  <c r="K34"/>
  <c r="B99" i="63"/>
  <c r="C99" s="1"/>
  <c r="B179"/>
  <c r="Z223" s="1"/>
  <c r="B10" i="87"/>
  <c r="B59" i="63"/>
  <c r="B139"/>
  <c r="C139" s="1"/>
  <c r="D128"/>
  <c r="E127"/>
  <c r="G85" i="92"/>
  <c r="G88" s="1"/>
  <c r="G84"/>
  <c r="I11" i="63"/>
  <c r="I14"/>
  <c r="I19"/>
  <c r="I9"/>
  <c r="I16"/>
  <c r="I7"/>
  <c r="B25"/>
  <c r="I12"/>
  <c r="I10"/>
  <c r="I24"/>
  <c r="I22"/>
  <c r="I5"/>
  <c r="I15"/>
  <c r="I17"/>
  <c r="I23"/>
  <c r="C104" i="39"/>
  <c r="F85"/>
  <c r="B216" i="51"/>
  <c r="AP226"/>
  <c r="AF159" i="89"/>
  <c r="D150"/>
  <c r="C77"/>
  <c r="E106" i="80"/>
  <c r="D107"/>
  <c r="D134" i="57"/>
  <c r="E133"/>
  <c r="E136" i="36"/>
  <c r="D137"/>
  <c r="I4" i="45"/>
  <c r="C126" i="63"/>
  <c r="C131"/>
  <c r="C130"/>
  <c r="B26"/>
  <c r="J51" i="101"/>
  <c r="H62"/>
  <c r="C96"/>
  <c r="G97" s="1"/>
  <c r="C227"/>
  <c r="C102"/>
  <c r="C233"/>
  <c r="B165" i="60"/>
  <c r="B125"/>
  <c r="E6"/>
  <c r="B85"/>
  <c r="E5"/>
  <c r="B45"/>
  <c r="C232" i="101"/>
  <c r="C101"/>
  <c r="B60" i="60"/>
  <c r="B11" i="85"/>
  <c r="B180" i="60"/>
  <c r="AA223" s="1"/>
  <c r="B100"/>
  <c r="C100" s="1"/>
  <c r="B140"/>
  <c r="B9" i="85"/>
  <c r="B58" i="60"/>
  <c r="B178"/>
  <c r="Y223" s="1"/>
  <c r="B98"/>
  <c r="C98" s="1"/>
  <c r="B138"/>
  <c r="B134" i="84"/>
  <c r="Q179" s="1"/>
  <c r="B103"/>
  <c r="C103" s="1"/>
  <c r="B41"/>
  <c r="B5" i="94"/>
  <c r="B72" i="84"/>
  <c r="C72" s="1"/>
  <c r="G65" i="101"/>
  <c r="G64"/>
  <c r="B5" i="87"/>
  <c r="B54" i="63"/>
  <c r="B134"/>
  <c r="C134" s="1"/>
  <c r="B174"/>
  <c r="U223" s="1"/>
  <c r="B94"/>
  <c r="C94" s="1"/>
  <c r="L154" i="89"/>
  <c r="C86" i="36"/>
  <c r="B45" i="82"/>
  <c r="B9" i="92"/>
  <c r="B76" i="82"/>
  <c r="C76" s="1"/>
  <c r="B107"/>
  <c r="B138"/>
  <c r="U179" s="1"/>
  <c r="C98" i="54"/>
  <c r="E45" i="51"/>
  <c r="E46"/>
  <c r="J66" i="101"/>
  <c r="H67"/>
  <c r="H66"/>
  <c r="B58" i="63"/>
  <c r="B9" i="87"/>
  <c r="B98" i="63"/>
  <c r="C98" s="1"/>
  <c r="B178"/>
  <c r="Y223" s="1"/>
  <c r="B138"/>
  <c r="C138" s="1"/>
  <c r="D95" i="101"/>
  <c r="H96" s="1"/>
  <c r="D226"/>
  <c r="B14" i="87"/>
  <c r="B103" i="63"/>
  <c r="C103" s="1"/>
  <c r="B143"/>
  <c r="C143" s="1"/>
  <c r="B63"/>
  <c r="B183"/>
  <c r="AD223" s="1"/>
  <c r="B58" i="36"/>
  <c r="B138"/>
  <c r="B178"/>
  <c r="Y223" s="1"/>
  <c r="B9" i="86"/>
  <c r="B98" i="36"/>
  <c r="C98" s="1"/>
  <c r="B8" i="85"/>
  <c r="B137" i="60"/>
  <c r="B97"/>
  <c r="C97" s="1"/>
  <c r="B57"/>
  <c r="B177"/>
  <c r="X223" s="1"/>
  <c r="B137" i="84"/>
  <c r="T179" s="1"/>
  <c r="B106"/>
  <c r="C106" s="1"/>
  <c r="B44"/>
  <c r="B8" i="94"/>
  <c r="B75" i="84"/>
  <c r="C75" s="1"/>
  <c r="B96" i="42"/>
  <c r="C96" s="1"/>
  <c r="B176"/>
  <c r="W223" s="1"/>
  <c r="B7" i="83"/>
  <c r="B56" i="42"/>
  <c r="B136"/>
  <c r="C136" s="1"/>
  <c r="I4"/>
  <c r="C88" i="101"/>
  <c r="G89" s="1"/>
  <c r="C219"/>
  <c r="D98"/>
  <c r="H99" s="1"/>
  <c r="D229"/>
  <c r="B134" i="36"/>
  <c r="B174"/>
  <c r="U223" s="1"/>
  <c r="B5" i="86"/>
  <c r="B54" i="36"/>
  <c r="B94"/>
  <c r="C94" s="1"/>
  <c r="D230" i="101"/>
  <c r="D99"/>
  <c r="H100" s="1"/>
  <c r="I18" i="36"/>
  <c r="B29"/>
  <c r="I24"/>
  <c r="I32"/>
  <c r="I40"/>
  <c r="I17"/>
  <c r="B32"/>
  <c r="B40"/>
  <c r="I21"/>
  <c r="B33"/>
  <c r="B41"/>
  <c r="I20"/>
  <c r="B34"/>
  <c r="B42"/>
  <c r="I15"/>
  <c r="I26"/>
  <c r="I19"/>
  <c r="B31"/>
  <c r="B39"/>
  <c r="I13"/>
  <c r="I29"/>
  <c r="I37"/>
  <c r="I16"/>
  <c r="I30"/>
  <c r="I38"/>
  <c r="I9"/>
  <c r="I31"/>
  <c r="I39"/>
  <c r="I11"/>
  <c r="B25"/>
  <c r="I14"/>
  <c r="B28"/>
  <c r="I36"/>
  <c r="I10"/>
  <c r="I27"/>
  <c r="B36"/>
  <c r="I8"/>
  <c r="B27"/>
  <c r="B37"/>
  <c r="I6"/>
  <c r="B30"/>
  <c r="B38"/>
  <c r="I7"/>
  <c r="I22"/>
  <c r="I12"/>
  <c r="B26"/>
  <c r="B35"/>
  <c r="I5"/>
  <c r="I23"/>
  <c r="I33"/>
  <c r="I41"/>
  <c r="I25"/>
  <c r="I34"/>
  <c r="I42"/>
  <c r="I28"/>
  <c r="I35"/>
  <c r="B172" i="63"/>
  <c r="S223" s="1"/>
  <c r="B52"/>
  <c r="B132"/>
  <c r="C132" s="1"/>
  <c r="B92"/>
  <c r="C92" s="1"/>
  <c r="R223" i="45"/>
  <c r="F168"/>
  <c r="C88" i="39"/>
  <c r="E45" i="57"/>
  <c r="E46"/>
  <c r="O223" i="51"/>
  <c r="F168"/>
  <c r="AM226" i="45"/>
  <c r="B213"/>
  <c r="B214"/>
  <c r="AN226"/>
  <c r="B14" i="89"/>
  <c r="B22"/>
  <c r="I8"/>
  <c r="I16"/>
  <c r="I24"/>
  <c r="B12"/>
  <c r="B20"/>
  <c r="B28"/>
  <c r="I14"/>
  <c r="I22"/>
  <c r="I15"/>
  <c r="B26"/>
  <c r="B15"/>
  <c r="B27"/>
  <c r="B16"/>
  <c r="I25"/>
  <c r="B17"/>
  <c r="I26"/>
  <c r="I11"/>
  <c r="I23"/>
  <c r="I12"/>
  <c r="B23"/>
  <c r="I13"/>
  <c r="B24"/>
  <c r="B13"/>
  <c r="B25"/>
  <c r="I9"/>
  <c r="I19"/>
  <c r="B11"/>
  <c r="I20"/>
  <c r="I7"/>
  <c r="I21"/>
  <c r="I10"/>
  <c r="B21"/>
  <c r="I5"/>
  <c r="B18"/>
  <c r="I27"/>
  <c r="B19"/>
  <c r="I28"/>
  <c r="I17"/>
  <c r="I6"/>
  <c r="I18"/>
  <c r="C104" i="60"/>
  <c r="F85"/>
  <c r="AI159" i="89"/>
  <c r="D153"/>
  <c r="C80"/>
  <c r="D144"/>
  <c r="Z159"/>
  <c r="C71"/>
  <c r="D216" i="101"/>
  <c r="D85"/>
  <c r="H86" s="1"/>
  <c r="C116"/>
  <c r="G117" s="1"/>
  <c r="E221"/>
  <c r="H75"/>
  <c r="B100" i="63"/>
  <c r="C100" s="1"/>
  <c r="B60"/>
  <c r="B140"/>
  <c r="C140" s="1"/>
  <c r="B11" i="87"/>
  <c r="B180" i="63"/>
  <c r="AA223" s="1"/>
  <c r="B70" i="86"/>
  <c r="C70" s="1"/>
  <c r="B39"/>
  <c r="B132"/>
  <c r="O179" s="1"/>
  <c r="B101"/>
  <c r="B142" i="63"/>
  <c r="C142" s="1"/>
  <c r="B62"/>
  <c r="B182"/>
  <c r="AC223" s="1"/>
  <c r="B13" i="87"/>
  <c r="B102" i="63"/>
  <c r="C102" s="1"/>
  <c r="C95" i="101"/>
  <c r="G96" s="1"/>
  <c r="C226"/>
  <c r="B136" i="87"/>
  <c r="S179" s="1"/>
  <c r="B105"/>
  <c r="B7" i="97"/>
  <c r="B43" i="87"/>
  <c r="B74"/>
  <c r="C74" s="1"/>
  <c r="B141" i="36"/>
  <c r="B101"/>
  <c r="C101" s="1"/>
  <c r="B61"/>
  <c r="B12" i="86"/>
  <c r="B181" i="36"/>
  <c r="AB223" s="1"/>
  <c r="B176" i="60"/>
  <c r="W223" s="1"/>
  <c r="B136"/>
  <c r="B7" i="85"/>
  <c r="B96" i="60"/>
  <c r="C96" s="1"/>
  <c r="B56"/>
  <c r="B7" i="94"/>
  <c r="B105" i="84"/>
  <c r="C105" s="1"/>
  <c r="B136"/>
  <c r="S179" s="1"/>
  <c r="B74"/>
  <c r="C74" s="1"/>
  <c r="B43"/>
  <c r="B9"/>
  <c r="B98" i="39"/>
  <c r="C98" s="1"/>
  <c r="B58"/>
  <c r="B178"/>
  <c r="Y223" s="1"/>
  <c r="B138"/>
  <c r="C138" s="1"/>
  <c r="I4"/>
  <c r="B106" i="83"/>
  <c r="C106" s="1"/>
  <c r="B137"/>
  <c r="T179" s="1"/>
  <c r="B44"/>
  <c r="B8" i="93"/>
  <c r="B75" i="83"/>
  <c r="C75" s="1"/>
  <c r="D60" i="101"/>
  <c r="H71"/>
  <c r="H70"/>
  <c r="C99"/>
  <c r="G100" s="1"/>
  <c r="C230"/>
  <c r="C92" i="42"/>
  <c r="V223"/>
  <c r="E45" i="45"/>
  <c r="E46"/>
  <c r="B69" i="78"/>
  <c r="C69" s="1"/>
  <c r="B38"/>
  <c r="B131"/>
  <c r="N179" s="1"/>
  <c r="B100"/>
  <c r="C87" i="57"/>
  <c r="B40" i="80"/>
  <c r="B71"/>
  <c r="B133"/>
  <c r="P179" s="1"/>
  <c r="B102"/>
  <c r="AW226" i="45"/>
  <c r="B223"/>
  <c r="B108" i="85"/>
  <c r="C108" s="1"/>
  <c r="B139"/>
  <c r="V179" s="1"/>
  <c r="V182" s="1"/>
  <c r="V183" s="1"/>
  <c r="V184" s="1"/>
  <c r="V185" s="1"/>
  <c r="V186" s="1"/>
  <c r="V187" s="1"/>
  <c r="B46"/>
  <c r="B77"/>
  <c r="E6"/>
  <c r="B10" i="95"/>
  <c r="E45" i="48"/>
  <c r="E46"/>
  <c r="C207" i="119"/>
  <c r="C76"/>
  <c r="C76" i="89"/>
  <c r="AE159"/>
  <c r="D149"/>
  <c r="D140"/>
  <c r="V159"/>
  <c r="C67"/>
  <c r="E217" i="101"/>
  <c r="C112"/>
  <c r="G113" s="1"/>
  <c r="H74"/>
  <c r="B13" i="85"/>
  <c r="B182" i="60"/>
  <c r="AC223" s="1"/>
  <c r="B62"/>
  <c r="B142"/>
  <c r="B102"/>
  <c r="C102" s="1"/>
  <c r="C93" i="101"/>
  <c r="G94" s="1"/>
  <c r="C224"/>
  <c r="C60"/>
  <c r="C126" i="36"/>
  <c r="C130"/>
  <c r="C129"/>
  <c r="C142"/>
  <c r="C137"/>
  <c r="C139"/>
  <c r="C143"/>
  <c r="C134"/>
  <c r="C144"/>
  <c r="C128"/>
  <c r="C127"/>
  <c r="C131"/>
  <c r="C136"/>
  <c r="C141"/>
  <c r="C138"/>
  <c r="C135"/>
  <c r="C133"/>
  <c r="C132"/>
  <c r="B129" i="78"/>
  <c r="E7"/>
  <c r="B67"/>
  <c r="E6"/>
  <c r="B98"/>
  <c r="B36"/>
  <c r="B38" i="82"/>
  <c r="B69"/>
  <c r="C69" s="1"/>
  <c r="B131"/>
  <c r="B100"/>
  <c r="B137"/>
  <c r="T179" s="1"/>
  <c r="B75"/>
  <c r="C75" s="1"/>
  <c r="B44"/>
  <c r="B8" i="92"/>
  <c r="B106" i="82"/>
  <c r="N223" i="57"/>
  <c r="F168"/>
  <c r="B138" i="81"/>
  <c r="B45"/>
  <c r="B107"/>
  <c r="C107" s="1"/>
  <c r="B76"/>
  <c r="C76" s="1"/>
  <c r="B9" i="91"/>
  <c r="C103" i="45"/>
  <c r="Y223" i="54"/>
  <c r="F168"/>
  <c r="AO226" i="45"/>
  <c r="B215"/>
  <c r="B226"/>
  <c r="E7"/>
  <c r="D145" i="89"/>
  <c r="C72"/>
  <c r="AA159"/>
  <c r="C63"/>
  <c r="D136"/>
  <c r="R159"/>
  <c r="C79"/>
  <c r="D152"/>
  <c r="AH159"/>
  <c r="M179" i="80"/>
  <c r="B206" i="42"/>
  <c r="AF226"/>
  <c r="I60" i="54"/>
  <c r="B73"/>
  <c r="B66"/>
  <c r="I80"/>
  <c r="I73"/>
  <c r="I47"/>
  <c r="I79"/>
  <c r="B72"/>
  <c r="B78"/>
  <c r="I66"/>
  <c r="B75"/>
  <c r="B77"/>
  <c r="I46"/>
  <c r="I51"/>
  <c r="I52"/>
  <c r="B65"/>
  <c r="I57"/>
  <c r="I72"/>
  <c r="I65"/>
  <c r="I78"/>
  <c r="I71"/>
  <c r="I56"/>
  <c r="I61"/>
  <c r="I69"/>
  <c r="I75"/>
  <c r="B80"/>
  <c r="I68"/>
  <c r="I74"/>
  <c r="B76"/>
  <c r="I49"/>
  <c r="B82"/>
  <c r="I58"/>
  <c r="I70"/>
  <c r="I63"/>
  <c r="B79"/>
  <c r="I45"/>
  <c r="I54"/>
  <c r="I59"/>
  <c r="I64"/>
  <c r="B70"/>
  <c r="I77"/>
  <c r="B67"/>
  <c r="B68"/>
  <c r="B81"/>
  <c r="B74"/>
  <c r="I50"/>
  <c r="I81"/>
  <c r="I55"/>
  <c r="B71"/>
  <c r="B69"/>
  <c r="I76"/>
  <c r="I82"/>
  <c r="I48"/>
  <c r="I53"/>
  <c r="I62"/>
  <c r="I67"/>
  <c r="C92" i="101"/>
  <c r="G93" s="1"/>
  <c r="C223"/>
  <c r="L223" i="36"/>
  <c r="B11" i="84"/>
  <c r="B100" i="39"/>
  <c r="C100" s="1"/>
  <c r="B140"/>
  <c r="C140" s="1"/>
  <c r="B180"/>
  <c r="AA223" s="1"/>
  <c r="B60"/>
  <c r="B41" i="83"/>
  <c r="B72"/>
  <c r="C72" s="1"/>
  <c r="B103"/>
  <c r="C103" s="1"/>
  <c r="B5" i="93"/>
  <c r="B134" i="83"/>
  <c r="Q179" s="1"/>
  <c r="D233" i="101"/>
  <c r="D102"/>
  <c r="O223" i="63"/>
  <c r="F168"/>
  <c r="B140" i="36"/>
  <c r="C140" s="1"/>
  <c r="B100"/>
  <c r="C100" s="1"/>
  <c r="B11" i="86"/>
  <c r="B180" i="36"/>
  <c r="AA223" s="1"/>
  <c r="B60"/>
  <c r="D94" i="101"/>
  <c r="H95" s="1"/>
  <c r="D225"/>
  <c r="B132" i="87"/>
  <c r="O179" s="1"/>
  <c r="B39"/>
  <c r="B101"/>
  <c r="B70"/>
  <c r="C70" s="1"/>
  <c r="B137" i="42"/>
  <c r="C137" s="1"/>
  <c r="B177"/>
  <c r="X223" s="1"/>
  <c r="B97"/>
  <c r="C97" s="1"/>
  <c r="B57"/>
  <c r="E45" s="1"/>
  <c r="B8" i="83"/>
  <c r="C88" i="63"/>
  <c r="J63" i="101"/>
  <c r="H63"/>
  <c r="H64"/>
  <c r="B99" i="79"/>
  <c r="C99" s="1"/>
  <c r="B130"/>
  <c r="B68"/>
  <c r="B37"/>
  <c r="B207" i="45"/>
  <c r="AG226"/>
  <c r="B216"/>
  <c r="AP226"/>
  <c r="AU226"/>
  <c r="B221"/>
  <c r="M223" i="48"/>
  <c r="F168"/>
  <c r="W159" i="89"/>
  <c r="D141"/>
  <c r="C68"/>
  <c r="AD159"/>
  <c r="C75"/>
  <c r="D148"/>
  <c r="B112"/>
  <c r="O154" s="1"/>
  <c r="B34"/>
  <c r="B86"/>
  <c r="C86" s="1"/>
  <c r="B60"/>
  <c r="C60" s="1"/>
  <c r="E230" i="101"/>
  <c r="C125"/>
  <c r="G126" s="1"/>
  <c r="G74"/>
  <c r="I84" i="51"/>
  <c r="E102" i="81" l="1"/>
  <c r="D103"/>
  <c r="B218" i="45"/>
  <c r="AR226"/>
  <c r="C102" i="83"/>
  <c r="C99"/>
  <c r="C107"/>
  <c r="C108"/>
  <c r="C105"/>
  <c r="C104"/>
  <c r="C67"/>
  <c r="F69"/>
  <c r="F68"/>
  <c r="B76" i="78"/>
  <c r="C76" s="1"/>
  <c r="B45"/>
  <c r="B138"/>
  <c r="U179" s="1"/>
  <c r="B107"/>
  <c r="C107" s="1"/>
  <c r="B135" i="81"/>
  <c r="R179" s="1"/>
  <c r="B6" i="91"/>
  <c r="B42" i="81"/>
  <c r="B104"/>
  <c r="C104" s="1"/>
  <c r="B73"/>
  <c r="C73" s="1"/>
  <c r="B70" i="79"/>
  <c r="C70" s="1"/>
  <c r="B39"/>
  <c r="B132"/>
  <c r="O179" s="1"/>
  <c r="B101"/>
  <c r="C101" s="1"/>
  <c r="AO226" i="42"/>
  <c r="B215"/>
  <c r="B214"/>
  <c r="AN226"/>
  <c r="B219"/>
  <c r="AS226"/>
  <c r="C67" i="79"/>
  <c r="F69"/>
  <c r="F68"/>
  <c r="B42" i="80"/>
  <c r="B6" i="90"/>
  <c r="B135" i="80"/>
  <c r="R179" s="1"/>
  <c r="B104"/>
  <c r="B73"/>
  <c r="C73" s="1"/>
  <c r="AL228" i="51"/>
  <c r="D212"/>
  <c r="C111"/>
  <c r="C120"/>
  <c r="AU228"/>
  <c r="D221"/>
  <c r="D214"/>
  <c r="AN228"/>
  <c r="C113"/>
  <c r="C122"/>
  <c r="D223"/>
  <c r="AW228"/>
  <c r="C106"/>
  <c r="AG228"/>
  <c r="D207"/>
  <c r="E108" i="83"/>
  <c r="D109"/>
  <c r="D110" s="1"/>
  <c r="D111" s="1"/>
  <c r="D112" s="1"/>
  <c r="D113" s="1"/>
  <c r="D114" s="1"/>
  <c r="D115" s="1"/>
  <c r="D116" s="1"/>
  <c r="D117" s="1"/>
  <c r="D118" s="1"/>
  <c r="D119" s="1"/>
  <c r="D120" s="1"/>
  <c r="D121" s="1"/>
  <c r="D122" s="1"/>
  <c r="D123" s="1"/>
  <c r="D124" s="1"/>
  <c r="D125" s="1"/>
  <c r="D126" s="1"/>
  <c r="B110" i="42"/>
  <c r="I106"/>
  <c r="I117"/>
  <c r="B111"/>
  <c r="B120"/>
  <c r="B117"/>
  <c r="I118"/>
  <c r="I111"/>
  <c r="I108"/>
  <c r="I92"/>
  <c r="B109"/>
  <c r="I99"/>
  <c r="I86"/>
  <c r="I102"/>
  <c r="I110"/>
  <c r="I96"/>
  <c r="B119"/>
  <c r="I97"/>
  <c r="B122"/>
  <c r="I107"/>
  <c r="I103"/>
  <c r="I88"/>
  <c r="B121"/>
  <c r="I101"/>
  <c r="I115"/>
  <c r="I95"/>
  <c r="I116"/>
  <c r="I85"/>
  <c r="I84" s="1"/>
  <c r="I93"/>
  <c r="I113"/>
  <c r="I122"/>
  <c r="I100"/>
  <c r="B115"/>
  <c r="I104"/>
  <c r="I120"/>
  <c r="I121"/>
  <c r="I94"/>
  <c r="I91"/>
  <c r="B112"/>
  <c r="I112"/>
  <c r="B116"/>
  <c r="B113"/>
  <c r="I89"/>
  <c r="I90"/>
  <c r="B106"/>
  <c r="B107"/>
  <c r="I109"/>
  <c r="B105"/>
  <c r="I105"/>
  <c r="I114"/>
  <c r="B108"/>
  <c r="I119"/>
  <c r="B114"/>
  <c r="I87"/>
  <c r="I98"/>
  <c r="B118"/>
  <c r="B9" i="94"/>
  <c r="B138" i="84"/>
  <c r="U179" s="1"/>
  <c r="B45"/>
  <c r="B107"/>
  <c r="C107" s="1"/>
  <c r="B76"/>
  <c r="C76" s="1"/>
  <c r="J63" i="69"/>
  <c r="E4" i="120"/>
  <c r="B133" i="81"/>
  <c r="P179" s="1"/>
  <c r="B71"/>
  <c r="C71" s="1"/>
  <c r="B40"/>
  <c r="B102"/>
  <c r="AJ226" i="45"/>
  <c r="B210"/>
  <c r="AT226"/>
  <c r="B220"/>
  <c r="B212"/>
  <c r="AL226"/>
  <c r="I25" i="83"/>
  <c r="B29"/>
  <c r="I15"/>
  <c r="B24"/>
  <c r="I26"/>
  <c r="I13"/>
  <c r="I21"/>
  <c r="B25"/>
  <c r="I11"/>
  <c r="I27"/>
  <c r="B28"/>
  <c r="I22"/>
  <c r="I14"/>
  <c r="B26"/>
  <c r="I32"/>
  <c r="I12"/>
  <c r="I23"/>
  <c r="B31"/>
  <c r="I10"/>
  <c r="B22"/>
  <c r="I28"/>
  <c r="I19"/>
  <c r="B19"/>
  <c r="I33"/>
  <c r="B18"/>
  <c r="I24"/>
  <c r="B32"/>
  <c r="I6"/>
  <c r="B23"/>
  <c r="I29"/>
  <c r="B33"/>
  <c r="I20"/>
  <c r="I7"/>
  <c r="I30"/>
  <c r="I9"/>
  <c r="I4" s="1"/>
  <c r="I5"/>
  <c r="I8"/>
  <c r="B27"/>
  <c r="B21"/>
  <c r="I31"/>
  <c r="B16"/>
  <c r="I17"/>
  <c r="I18"/>
  <c r="B30"/>
  <c r="I16"/>
  <c r="B17"/>
  <c r="B20"/>
  <c r="AG226" i="42"/>
  <c r="B207"/>
  <c r="AM226"/>
  <c r="B213"/>
  <c r="B216"/>
  <c r="AP226"/>
  <c r="AQ226"/>
  <c r="B217"/>
  <c r="B211"/>
  <c r="AK226"/>
  <c r="AJ226"/>
  <c r="B210"/>
  <c r="C104" i="79"/>
  <c r="C100"/>
  <c r="C102"/>
  <c r="C105"/>
  <c r="C103"/>
  <c r="C108"/>
  <c r="C106"/>
  <c r="B108" i="87"/>
  <c r="B46"/>
  <c r="B10" i="97"/>
  <c r="B139" i="87"/>
  <c r="V179" s="1"/>
  <c r="V182" s="1"/>
  <c r="V183" s="1"/>
  <c r="V184" s="1"/>
  <c r="V185" s="1"/>
  <c r="V186" s="1"/>
  <c r="V187" s="1"/>
  <c r="B77"/>
  <c r="C77" s="1"/>
  <c r="I25" i="63"/>
  <c r="I20"/>
  <c r="I21"/>
  <c r="I13"/>
  <c r="B27"/>
  <c r="I6"/>
  <c r="I8"/>
  <c r="AP228" i="51"/>
  <c r="C115"/>
  <c r="D216"/>
  <c r="AI228"/>
  <c r="D209"/>
  <c r="C108"/>
  <c r="D218"/>
  <c r="AR228"/>
  <c r="C117"/>
  <c r="AK228"/>
  <c r="D211"/>
  <c r="C110"/>
  <c r="D108" i="79"/>
  <c r="E107"/>
  <c r="C104" i="54"/>
  <c r="F85"/>
  <c r="E6" i="80"/>
  <c r="B108"/>
  <c r="B139"/>
  <c r="V179" s="1"/>
  <c r="V182" s="1"/>
  <c r="V183" s="1"/>
  <c r="V184" s="1"/>
  <c r="V185" s="1"/>
  <c r="V186" s="1"/>
  <c r="V187" s="1"/>
  <c r="B77"/>
  <c r="B46"/>
  <c r="E38" s="1"/>
  <c r="B10" i="90"/>
  <c r="C99" i="81"/>
  <c r="C101"/>
  <c r="C106"/>
  <c r="C100"/>
  <c r="C103"/>
  <c r="C102"/>
  <c r="C105"/>
  <c r="AH226" i="42"/>
  <c r="B208"/>
  <c r="F85" i="57"/>
  <c r="C85"/>
  <c r="F86"/>
  <c r="C126"/>
  <c r="C129"/>
  <c r="C135"/>
  <c r="C128"/>
  <c r="C140"/>
  <c r="C132"/>
  <c r="C133"/>
  <c r="C134"/>
  <c r="C137"/>
  <c r="C138"/>
  <c r="C141"/>
  <c r="C144"/>
  <c r="C131"/>
  <c r="C130"/>
  <c r="C139"/>
  <c r="L38" i="108"/>
  <c r="L40" s="1"/>
  <c r="L80" s="1"/>
  <c r="M106" s="1"/>
  <c r="L22"/>
  <c r="F168" i="36"/>
  <c r="C182" s="1"/>
  <c r="C106" i="82"/>
  <c r="I26" i="63"/>
  <c r="B57" i="95"/>
  <c r="E7"/>
  <c r="B109"/>
  <c r="L154" s="1"/>
  <c r="B31"/>
  <c r="B83"/>
  <c r="B208" i="45"/>
  <c r="AH226"/>
  <c r="AV226"/>
  <c r="B222"/>
  <c r="AS226"/>
  <c r="B219"/>
  <c r="AK226"/>
  <c r="B211"/>
  <c r="B38" i="84"/>
  <c r="B100"/>
  <c r="C100" s="1"/>
  <c r="B69"/>
  <c r="C69" s="1"/>
  <c r="B131"/>
  <c r="N179" s="1"/>
  <c r="B9" i="90"/>
  <c r="B107" i="80"/>
  <c r="B138"/>
  <c r="U179" s="1"/>
  <c r="B76"/>
  <c r="C76" s="1"/>
  <c r="B45"/>
  <c r="AI226" i="42"/>
  <c r="B209"/>
  <c r="C119" i="51"/>
  <c r="D220"/>
  <c r="AT228"/>
  <c r="AM228"/>
  <c r="D213"/>
  <c r="C112"/>
  <c r="D222"/>
  <c r="C121"/>
  <c r="AV228"/>
  <c r="C105"/>
  <c r="D206"/>
  <c r="AF228"/>
  <c r="AO228"/>
  <c r="D215"/>
  <c r="C114"/>
  <c r="I19" i="54"/>
  <c r="I29"/>
  <c r="I37"/>
  <c r="I11"/>
  <c r="B25"/>
  <c r="B33"/>
  <c r="B41"/>
  <c r="I14"/>
  <c r="I27"/>
  <c r="I35"/>
  <c r="I5"/>
  <c r="I20"/>
  <c r="B31"/>
  <c r="B39"/>
  <c r="I10"/>
  <c r="B28"/>
  <c r="B36"/>
  <c r="I7"/>
  <c r="I22"/>
  <c r="I30"/>
  <c r="I38"/>
  <c r="I12"/>
  <c r="B26"/>
  <c r="B34"/>
  <c r="B42"/>
  <c r="I16"/>
  <c r="I28"/>
  <c r="I36"/>
  <c r="I6"/>
  <c r="I25"/>
  <c r="I33"/>
  <c r="I41"/>
  <c r="I18"/>
  <c r="B29"/>
  <c r="B37"/>
  <c r="I8"/>
  <c r="I21"/>
  <c r="I31"/>
  <c r="I39"/>
  <c r="I13"/>
  <c r="B27"/>
  <c r="B35"/>
  <c r="I23"/>
  <c r="B32"/>
  <c r="B40"/>
  <c r="I15"/>
  <c r="I26"/>
  <c r="I34"/>
  <c r="I42"/>
  <c r="I17"/>
  <c r="B30"/>
  <c r="B38"/>
  <c r="I9"/>
  <c r="I24"/>
  <c r="I32"/>
  <c r="I40"/>
  <c r="C67" i="81"/>
  <c r="F69"/>
  <c r="B130"/>
  <c r="M179" s="1"/>
  <c r="B37"/>
  <c r="B99"/>
  <c r="B68"/>
  <c r="C68" s="1"/>
  <c r="B36" i="80"/>
  <c r="B67"/>
  <c r="E7"/>
  <c r="B129"/>
  <c r="B98"/>
  <c r="B46" i="81"/>
  <c r="B77"/>
  <c r="E6"/>
  <c r="B108"/>
  <c r="C108" s="1"/>
  <c r="B139"/>
  <c r="V179" s="1"/>
  <c r="V182" s="1"/>
  <c r="V183" s="1"/>
  <c r="V184" s="1"/>
  <c r="V185" s="1"/>
  <c r="V186" s="1"/>
  <c r="V187" s="1"/>
  <c r="B10" i="91"/>
  <c r="B27" i="57"/>
  <c r="B41"/>
  <c r="B26"/>
  <c r="B38"/>
  <c r="I40"/>
  <c r="B30"/>
  <c r="I8"/>
  <c r="I20"/>
  <c r="I37"/>
  <c r="I18"/>
  <c r="I34"/>
  <c r="I36"/>
  <c r="I7"/>
  <c r="B34"/>
  <c r="I6"/>
  <c r="I33"/>
  <c r="I11"/>
  <c r="I24"/>
  <c r="I39"/>
  <c r="I23"/>
  <c r="B36"/>
  <c r="B39"/>
  <c r="B28"/>
  <c r="B42"/>
  <c r="I35"/>
  <c r="B40"/>
  <c r="I41"/>
  <c r="B29"/>
  <c r="B35"/>
  <c r="I19"/>
  <c r="I38"/>
  <c r="I9"/>
  <c r="I30"/>
  <c r="I42"/>
  <c r="I25"/>
  <c r="B31"/>
  <c r="I12"/>
  <c r="I31"/>
  <c r="I21"/>
  <c r="I26"/>
  <c r="I29"/>
  <c r="I14"/>
  <c r="I27"/>
  <c r="I5"/>
  <c r="I17"/>
  <c r="I10"/>
  <c r="B33"/>
  <c r="I22"/>
  <c r="B32"/>
  <c r="I15"/>
  <c r="B37"/>
  <c r="I16"/>
  <c r="I13"/>
  <c r="I32"/>
  <c r="B25"/>
  <c r="I28"/>
  <c r="E128" i="54"/>
  <c r="D129"/>
  <c r="D129" i="60"/>
  <c r="E128"/>
  <c r="D129" i="51"/>
  <c r="E128"/>
  <c r="C107" i="82"/>
  <c r="B107" i="48"/>
  <c r="B113"/>
  <c r="B118"/>
  <c r="I85"/>
  <c r="I91"/>
  <c r="I96"/>
  <c r="I101"/>
  <c r="I108"/>
  <c r="I113"/>
  <c r="I118"/>
  <c r="B106"/>
  <c r="B111"/>
  <c r="B117"/>
  <c r="B122"/>
  <c r="I89"/>
  <c r="I95"/>
  <c r="I100"/>
  <c r="I106"/>
  <c r="I112"/>
  <c r="I117"/>
  <c r="I122"/>
  <c r="B105"/>
  <c r="B110"/>
  <c r="B115"/>
  <c r="B121"/>
  <c r="I88"/>
  <c r="I93"/>
  <c r="I99"/>
  <c r="I105"/>
  <c r="I110"/>
  <c r="I116"/>
  <c r="I121"/>
  <c r="B109"/>
  <c r="B114"/>
  <c r="B119"/>
  <c r="I87"/>
  <c r="I92"/>
  <c r="I97"/>
  <c r="I103"/>
  <c r="I109"/>
  <c r="I114"/>
  <c r="I120"/>
  <c r="I119"/>
  <c r="I102"/>
  <c r="I86"/>
  <c r="B108"/>
  <c r="I104"/>
  <c r="I111"/>
  <c r="I94"/>
  <c r="B116"/>
  <c r="I90"/>
  <c r="I115"/>
  <c r="I98"/>
  <c r="B120"/>
  <c r="I107"/>
  <c r="B112"/>
  <c r="AF226" i="45"/>
  <c r="B206"/>
  <c r="AQ226"/>
  <c r="B217"/>
  <c r="AI226"/>
  <c r="B209"/>
  <c r="E86" i="90"/>
  <c r="D87"/>
  <c r="AT226" i="42"/>
  <c r="B220"/>
  <c r="AU226"/>
  <c r="B221"/>
  <c r="AW226"/>
  <c r="B223"/>
  <c r="AV226"/>
  <c r="B222"/>
  <c r="B21" i="79"/>
  <c r="I5"/>
  <c r="B20"/>
  <c r="I26"/>
  <c r="I13"/>
  <c r="I25"/>
  <c r="B22"/>
  <c r="I7"/>
  <c r="B27"/>
  <c r="B30"/>
  <c r="B16"/>
  <c r="I8"/>
  <c r="B18"/>
  <c r="I24"/>
  <c r="I12"/>
  <c r="I23"/>
  <c r="B31"/>
  <c r="I10"/>
  <c r="I28"/>
  <c r="I19"/>
  <c r="B17"/>
  <c r="I16"/>
  <c r="I27"/>
  <c r="B29"/>
  <c r="I15"/>
  <c r="B28"/>
  <c r="I6"/>
  <c r="B23"/>
  <c r="I33"/>
  <c r="I11"/>
  <c r="I22"/>
  <c r="I21"/>
  <c r="I20"/>
  <c r="I30"/>
  <c r="I29"/>
  <c r="I32"/>
  <c r="B25"/>
  <c r="B32"/>
  <c r="B26"/>
  <c r="I17"/>
  <c r="B33"/>
  <c r="I14"/>
  <c r="I31"/>
  <c r="I9"/>
  <c r="I18"/>
  <c r="B24"/>
  <c r="B19"/>
  <c r="AH228" i="51"/>
  <c r="D208"/>
  <c r="C107"/>
  <c r="D217"/>
  <c r="C116"/>
  <c r="AQ228"/>
  <c r="D210"/>
  <c r="AJ228"/>
  <c r="C109"/>
  <c r="D219"/>
  <c r="C118"/>
  <c r="AS228"/>
  <c r="B67" i="82"/>
  <c r="E7"/>
  <c r="E6"/>
  <c r="B36"/>
  <c r="B129"/>
  <c r="L179" s="1"/>
  <c r="B98"/>
  <c r="B45" i="79"/>
  <c r="E38" s="1"/>
  <c r="B138"/>
  <c r="U179" s="1"/>
  <c r="B9" i="89"/>
  <c r="B76" i="79"/>
  <c r="C76" s="1"/>
  <c r="B107"/>
  <c r="C107" s="1"/>
  <c r="D106" i="84"/>
  <c r="E105"/>
  <c r="C104" i="45"/>
  <c r="F85"/>
  <c r="B226" i="48"/>
  <c r="E7"/>
  <c r="C100" i="82"/>
  <c r="C102" i="80"/>
  <c r="G26" i="100"/>
  <c r="F22" i="101"/>
  <c r="C5" i="100"/>
  <c r="L5" s="1"/>
  <c r="C6"/>
  <c r="L6" s="1"/>
  <c r="C15"/>
  <c r="L15" s="1"/>
  <c r="C17"/>
  <c r="L17" s="1"/>
  <c r="C8"/>
  <c r="L8" s="1"/>
  <c r="C10"/>
  <c r="L10" s="1"/>
  <c r="C12"/>
  <c r="L12" s="1"/>
  <c r="C14"/>
  <c r="L14" s="1"/>
  <c r="C7"/>
  <c r="L7" s="1"/>
  <c r="C9"/>
  <c r="L9" s="1"/>
  <c r="C18"/>
  <c r="C16"/>
  <c r="L16" s="1"/>
  <c r="C11"/>
  <c r="L11" s="1"/>
  <c r="C13"/>
  <c r="L13" s="1"/>
  <c r="C4"/>
  <c r="E131" i="120"/>
  <c r="E428"/>
  <c r="E236"/>
  <c r="D138" i="36"/>
  <c r="E137"/>
  <c r="D108" i="80"/>
  <c r="E107"/>
  <c r="E129" i="48"/>
  <c r="D130"/>
  <c r="E101" i="78"/>
  <c r="D102"/>
  <c r="E102" i="87"/>
  <c r="D103"/>
  <c r="C124" i="101"/>
  <c r="G125" s="1"/>
  <c r="E229"/>
  <c r="B46" i="86"/>
  <c r="B108"/>
  <c r="B10" i="96"/>
  <c r="B139" i="86"/>
  <c r="V179" s="1"/>
  <c r="V182" s="1"/>
  <c r="V183" s="1"/>
  <c r="V184" s="1"/>
  <c r="V185" s="1"/>
  <c r="V186" s="1"/>
  <c r="V187" s="1"/>
  <c r="B77"/>
  <c r="C77" s="1"/>
  <c r="S27" i="119"/>
  <c r="E226" i="101"/>
  <c r="C121"/>
  <c r="G122" s="1"/>
  <c r="AG226" i="63"/>
  <c r="B207"/>
  <c r="E134" i="57"/>
  <c r="D135"/>
  <c r="I97" i="39"/>
  <c r="I121"/>
  <c r="I110"/>
  <c r="I109"/>
  <c r="I118"/>
  <c r="I117"/>
  <c r="B109"/>
  <c r="B110"/>
  <c r="I102"/>
  <c r="I99"/>
  <c r="B120"/>
  <c r="B117"/>
  <c r="B108"/>
  <c r="I94"/>
  <c r="B118"/>
  <c r="I93"/>
  <c r="B106"/>
  <c r="I101"/>
  <c r="I87"/>
  <c r="I98"/>
  <c r="I106"/>
  <c r="I119"/>
  <c r="I116"/>
  <c r="I100"/>
  <c r="I90"/>
  <c r="I113"/>
  <c r="B105"/>
  <c r="I91"/>
  <c r="B111"/>
  <c r="I88"/>
  <c r="I84" s="1"/>
  <c r="B122"/>
  <c r="I85"/>
  <c r="I122"/>
  <c r="I115"/>
  <c r="I95"/>
  <c r="B116"/>
  <c r="B113"/>
  <c r="B114"/>
  <c r="I107"/>
  <c r="I103"/>
  <c r="B119"/>
  <c r="I111"/>
  <c r="I114"/>
  <c r="I105"/>
  <c r="B107"/>
  <c r="I92"/>
  <c r="B115"/>
  <c r="B112"/>
  <c r="I112"/>
  <c r="I96"/>
  <c r="I86"/>
  <c r="I89"/>
  <c r="I104"/>
  <c r="I120"/>
  <c r="I108"/>
  <c r="B121"/>
  <c r="D129" i="63"/>
  <c r="E128"/>
  <c r="E102" i="85"/>
  <c r="D103"/>
  <c r="I29" i="84"/>
  <c r="B33"/>
  <c r="I20"/>
  <c r="I21"/>
  <c r="B25"/>
  <c r="I11"/>
  <c r="I8"/>
  <c r="B17"/>
  <c r="B30"/>
  <c r="I10"/>
  <c r="B22"/>
  <c r="I28"/>
  <c r="I7"/>
  <c r="I19"/>
  <c r="B27"/>
  <c r="I14"/>
  <c r="B26"/>
  <c r="I32"/>
  <c r="I12"/>
  <c r="I23"/>
  <c r="B31"/>
  <c r="B28"/>
  <c r="I30"/>
  <c r="B19"/>
  <c r="I33"/>
  <c r="B18"/>
  <c r="I24"/>
  <c r="B32"/>
  <c r="I6"/>
  <c r="B23"/>
  <c r="B20"/>
  <c r="I22"/>
  <c r="I9"/>
  <c r="I25"/>
  <c r="B29"/>
  <c r="I15"/>
  <c r="B24"/>
  <c r="I26"/>
  <c r="I13"/>
  <c r="B16"/>
  <c r="I27"/>
  <c r="I17"/>
  <c r="B21"/>
  <c r="I5"/>
  <c r="I4" s="1"/>
  <c r="I16"/>
  <c r="I18"/>
  <c r="I31"/>
  <c r="K64" i="101"/>
  <c r="L64" s="1"/>
  <c r="E136" i="42"/>
  <c r="D137"/>
  <c r="E107" i="82"/>
  <c r="D108"/>
  <c r="E86" i="91"/>
  <c r="D87"/>
  <c r="I113" i="63"/>
  <c r="B117"/>
  <c r="I85"/>
  <c r="I86"/>
  <c r="I95"/>
  <c r="I106"/>
  <c r="B110"/>
  <c r="I92"/>
  <c r="B108"/>
  <c r="I96"/>
  <c r="I98"/>
  <c r="I112"/>
  <c r="I110"/>
  <c r="I115"/>
  <c r="I105"/>
  <c r="B109"/>
  <c r="I116"/>
  <c r="B120"/>
  <c r="I119"/>
  <c r="I87"/>
  <c r="I97"/>
  <c r="I109"/>
  <c r="I120"/>
  <c r="B111"/>
  <c r="B122"/>
  <c r="B121"/>
  <c r="I94"/>
  <c r="B114"/>
  <c r="I91"/>
  <c r="I99"/>
  <c r="I108"/>
  <c r="B112"/>
  <c r="I111"/>
  <c r="B115"/>
  <c r="I122"/>
  <c r="I104"/>
  <c r="I100"/>
  <c r="I89"/>
  <c r="B106"/>
  <c r="B105"/>
  <c r="B116"/>
  <c r="I103"/>
  <c r="I121"/>
  <c r="I90"/>
  <c r="I101"/>
  <c r="I102"/>
  <c r="B107"/>
  <c r="I114"/>
  <c r="B118"/>
  <c r="B113"/>
  <c r="I107"/>
  <c r="I118"/>
  <c r="I117"/>
  <c r="I93"/>
  <c r="B119"/>
  <c r="I88"/>
  <c r="C99" i="85"/>
  <c r="C107"/>
  <c r="C105"/>
  <c r="C103"/>
  <c r="K63" i="69"/>
  <c r="B41" i="87"/>
  <c r="B134"/>
  <c r="Q179" s="1"/>
  <c r="B72"/>
  <c r="C72" s="1"/>
  <c r="B5" i="97"/>
  <c r="B103" i="87"/>
  <c r="E7" i="51"/>
  <c r="B226"/>
  <c r="B88" i="94"/>
  <c r="B62"/>
  <c r="C62" s="1"/>
  <c r="B36"/>
  <c r="B114"/>
  <c r="Q154" s="1"/>
  <c r="Q157" s="1"/>
  <c r="Q158" s="1"/>
  <c r="Q159" s="1"/>
  <c r="Q160" s="1"/>
  <c r="Q161" s="1"/>
  <c r="Q162" s="1"/>
  <c r="D222" i="101"/>
  <c r="D91"/>
  <c r="E132" i="39"/>
  <c r="D133"/>
  <c r="C104" i="36"/>
  <c r="F85"/>
  <c r="E45" i="39"/>
  <c r="D88" i="101"/>
  <c r="D219"/>
  <c r="AF226" i="63"/>
  <c r="B206"/>
  <c r="B99" i="92"/>
  <c r="AB160" s="1"/>
  <c r="B103"/>
  <c r="AF160" s="1"/>
  <c r="B101"/>
  <c r="AD160" s="1"/>
  <c r="I84"/>
  <c r="I92"/>
  <c r="I93"/>
  <c r="I99"/>
  <c r="I85"/>
  <c r="B95"/>
  <c r="X160" s="1"/>
  <c r="B93"/>
  <c r="V160" s="1"/>
  <c r="B106"/>
  <c r="AI160" s="1"/>
  <c r="B92"/>
  <c r="U160" s="1"/>
  <c r="B105"/>
  <c r="AH160" s="1"/>
  <c r="I89"/>
  <c r="I98"/>
  <c r="I95"/>
  <c r="I97"/>
  <c r="B104"/>
  <c r="AG160" s="1"/>
  <c r="B98"/>
  <c r="AA160" s="1"/>
  <c r="I106"/>
  <c r="I96"/>
  <c r="I105"/>
  <c r="I102"/>
  <c r="B96"/>
  <c r="Y160" s="1"/>
  <c r="B90"/>
  <c r="S160" s="1"/>
  <c r="B91"/>
  <c r="T160" s="1"/>
  <c r="B89"/>
  <c r="R160" s="1"/>
  <c r="B102"/>
  <c r="AE160" s="1"/>
  <c r="I86"/>
  <c r="I94"/>
  <c r="I101"/>
  <c r="I100"/>
  <c r="I104"/>
  <c r="I90"/>
  <c r="B100"/>
  <c r="AC160" s="1"/>
  <c r="I103"/>
  <c r="I87"/>
  <c r="B97"/>
  <c r="Z160" s="1"/>
  <c r="I88"/>
  <c r="B94"/>
  <c r="W160" s="1"/>
  <c r="I91"/>
  <c r="I83"/>
  <c r="I82" s="1"/>
  <c r="G87" s="1"/>
  <c r="G31" i="101"/>
  <c r="K51"/>
  <c r="L34"/>
  <c r="E87" i="95"/>
  <c r="D88"/>
  <c r="C29" i="63"/>
  <c r="B28"/>
  <c r="I28"/>
  <c r="C77" i="84"/>
  <c r="F68"/>
  <c r="E86" i="97"/>
  <c r="D87"/>
  <c r="E134" i="45"/>
  <c r="D135"/>
  <c r="B103" i="86"/>
  <c r="B72"/>
  <c r="C72" s="1"/>
  <c r="B5" i="96"/>
  <c r="B134" i="86"/>
  <c r="Q179" s="1"/>
  <c r="B41"/>
  <c r="C67" i="85"/>
  <c r="F69"/>
  <c r="I4" i="89"/>
  <c r="E46" i="36"/>
  <c r="L179" i="78"/>
  <c r="F133"/>
  <c r="C152" i="101"/>
  <c r="G153" s="1"/>
  <c r="G231"/>
  <c r="M179" i="79"/>
  <c r="K63" i="101"/>
  <c r="L63" s="1"/>
  <c r="B104" i="86"/>
  <c r="B73"/>
  <c r="C73" s="1"/>
  <c r="B42"/>
  <c r="B135"/>
  <c r="R179" s="1"/>
  <c r="B6" i="96"/>
  <c r="B83" i="93"/>
  <c r="E7"/>
  <c r="B31"/>
  <c r="B109"/>
  <c r="B57"/>
  <c r="E6"/>
  <c r="B135" i="84"/>
  <c r="R179" s="1"/>
  <c r="B104"/>
  <c r="C104" s="1"/>
  <c r="B42"/>
  <c r="B6" i="94"/>
  <c r="B73" i="84"/>
  <c r="C73" s="1"/>
  <c r="C119" i="101"/>
  <c r="G120" s="1"/>
  <c r="E224"/>
  <c r="AI227" i="54"/>
  <c r="C209"/>
  <c r="C220"/>
  <c r="AT227"/>
  <c r="C223"/>
  <c r="AW227"/>
  <c r="AP227"/>
  <c r="C216"/>
  <c r="C207"/>
  <c r="AG227"/>
  <c r="C68" i="79"/>
  <c r="D89" i="101"/>
  <c r="D220"/>
  <c r="B101" i="83"/>
  <c r="C101" s="1"/>
  <c r="B132"/>
  <c r="O179" s="1"/>
  <c r="B39"/>
  <c r="B70"/>
  <c r="C70" s="1"/>
  <c r="C169" i="63"/>
  <c r="C171"/>
  <c r="C180"/>
  <c r="C184"/>
  <c r="C176"/>
  <c r="C175"/>
  <c r="C165"/>
  <c r="C183"/>
  <c r="C173"/>
  <c r="C170"/>
  <c r="C167"/>
  <c r="C179"/>
  <c r="C174"/>
  <c r="C166"/>
  <c r="C172"/>
  <c r="C178"/>
  <c r="C168"/>
  <c r="C181"/>
  <c r="C177"/>
  <c r="C182"/>
  <c r="AV227" i="54"/>
  <c r="C222"/>
  <c r="AK227"/>
  <c r="C211"/>
  <c r="C206"/>
  <c r="AF227"/>
  <c r="C218"/>
  <c r="AR227"/>
  <c r="C213"/>
  <c r="AM227"/>
  <c r="F133" i="81"/>
  <c r="U179"/>
  <c r="B112" i="92"/>
  <c r="B60"/>
  <c r="B34"/>
  <c r="B86"/>
  <c r="C86" s="1"/>
  <c r="I4"/>
  <c r="E38" i="82"/>
  <c r="E37"/>
  <c r="F69" i="78"/>
  <c r="C67"/>
  <c r="F68"/>
  <c r="G61" i="101"/>
  <c r="G60"/>
  <c r="D100"/>
  <c r="H101" s="1"/>
  <c r="D231"/>
  <c r="C139"/>
  <c r="G140" s="1"/>
  <c r="G218"/>
  <c r="I14" i="85"/>
  <c r="I5"/>
  <c r="I8"/>
  <c r="I12"/>
  <c r="I32"/>
  <c r="B20"/>
  <c r="B16"/>
  <c r="I13"/>
  <c r="B28"/>
  <c r="B17"/>
  <c r="B27"/>
  <c r="I28"/>
  <c r="I31"/>
  <c r="B19"/>
  <c r="I20"/>
  <c r="B30"/>
  <c r="I11"/>
  <c r="B31"/>
  <c r="I7"/>
  <c r="I24"/>
  <c r="I9"/>
  <c r="B32"/>
  <c r="I10"/>
  <c r="I27"/>
  <c r="I23"/>
  <c r="B29"/>
  <c r="B24"/>
  <c r="B22"/>
  <c r="I26"/>
  <c r="I15"/>
  <c r="B26"/>
  <c r="I30"/>
  <c r="B23"/>
  <c r="B25"/>
  <c r="I33"/>
  <c r="B33"/>
  <c r="I6"/>
  <c r="B21"/>
  <c r="I25"/>
  <c r="I18"/>
  <c r="I21"/>
  <c r="B18"/>
  <c r="I22"/>
  <c r="I29"/>
  <c r="I19"/>
  <c r="I16"/>
  <c r="I17"/>
  <c r="I61" i="45"/>
  <c r="I76"/>
  <c r="B72"/>
  <c r="I51"/>
  <c r="B67"/>
  <c r="I62"/>
  <c r="I74"/>
  <c r="B66"/>
  <c r="I80"/>
  <c r="B76"/>
  <c r="I47"/>
  <c r="I79"/>
  <c r="I58"/>
  <c r="I70"/>
  <c r="I53"/>
  <c r="I68"/>
  <c r="I64"/>
  <c r="B77"/>
  <c r="I75"/>
  <c r="I54"/>
  <c r="I66"/>
  <c r="I57"/>
  <c r="I72"/>
  <c r="B68"/>
  <c r="B81"/>
  <c r="I71"/>
  <c r="I50"/>
  <c r="I81"/>
  <c r="I45"/>
  <c r="B78"/>
  <c r="I56"/>
  <c r="B69"/>
  <c r="I67"/>
  <c r="I46"/>
  <c r="I77"/>
  <c r="I49"/>
  <c r="B82"/>
  <c r="I60"/>
  <c r="B73"/>
  <c r="I63"/>
  <c r="B79"/>
  <c r="I73"/>
  <c r="B70"/>
  <c r="I48"/>
  <c r="B80"/>
  <c r="I59"/>
  <c r="B75"/>
  <c r="I69"/>
  <c r="I82"/>
  <c r="B74"/>
  <c r="I52"/>
  <c r="B65"/>
  <c r="I55"/>
  <c r="B71"/>
  <c r="I65"/>
  <c r="I78"/>
  <c r="B102" i="84"/>
  <c r="C102" s="1"/>
  <c r="B133"/>
  <c r="B40"/>
  <c r="B71"/>
  <c r="B69" i="85"/>
  <c r="C69" s="1"/>
  <c r="B131"/>
  <c r="B100"/>
  <c r="C100" s="1"/>
  <c r="B38"/>
  <c r="B105" i="86"/>
  <c r="B43"/>
  <c r="B136"/>
  <c r="S179" s="1"/>
  <c r="B74"/>
  <c r="C74" s="1"/>
  <c r="B7" i="96"/>
  <c r="B44" i="87"/>
  <c r="B8" i="97"/>
  <c r="B137" i="87"/>
  <c r="T179" s="1"/>
  <c r="B75"/>
  <c r="C75" s="1"/>
  <c r="B106"/>
  <c r="Y157" i="89"/>
  <c r="B143"/>
  <c r="B149"/>
  <c r="AE157"/>
  <c r="B151"/>
  <c r="AG157"/>
  <c r="AI157"/>
  <c r="B153"/>
  <c r="C183" i="45"/>
  <c r="C179"/>
  <c r="C167"/>
  <c r="C174"/>
  <c r="C175"/>
  <c r="C180"/>
  <c r="C177"/>
  <c r="C172"/>
  <c r="C184"/>
  <c r="C181"/>
  <c r="C182"/>
  <c r="C173"/>
  <c r="C168"/>
  <c r="C165"/>
  <c r="C166"/>
  <c r="C178"/>
  <c r="C169"/>
  <c r="C170"/>
  <c r="C171"/>
  <c r="C176"/>
  <c r="AK226" i="36"/>
  <c r="B211"/>
  <c r="AO226"/>
  <c r="B215"/>
  <c r="D93" i="101"/>
  <c r="H94" s="1"/>
  <c r="D224"/>
  <c r="C222"/>
  <c r="C91"/>
  <c r="G92" s="1"/>
  <c r="E46" i="60"/>
  <c r="E45"/>
  <c r="C134"/>
  <c r="C144"/>
  <c r="C133"/>
  <c r="C132"/>
  <c r="C139"/>
  <c r="C127"/>
  <c r="C131"/>
  <c r="C126"/>
  <c r="C130"/>
  <c r="C138"/>
  <c r="C128"/>
  <c r="C135"/>
  <c r="C137"/>
  <c r="C136"/>
  <c r="C129"/>
  <c r="C142"/>
  <c r="C143"/>
  <c r="C140"/>
  <c r="C141"/>
  <c r="I44" i="54"/>
  <c r="F168" i="42"/>
  <c r="E46"/>
  <c r="B70" s="1"/>
  <c r="G102" i="101"/>
  <c r="E45" i="36"/>
  <c r="C100" i="101"/>
  <c r="G101" s="1"/>
  <c r="C231"/>
  <c r="C177" i="48"/>
  <c r="C173"/>
  <c r="C174"/>
  <c r="C179"/>
  <c r="C180"/>
  <c r="C182"/>
  <c r="C178"/>
  <c r="C183"/>
  <c r="C184"/>
  <c r="C181"/>
  <c r="C166"/>
  <c r="C171"/>
  <c r="C167"/>
  <c r="C168"/>
  <c r="C165"/>
  <c r="C176"/>
  <c r="C172"/>
  <c r="C169"/>
  <c r="C170"/>
  <c r="C175"/>
  <c r="F87" i="51"/>
  <c r="D226"/>
  <c r="D90" i="101"/>
  <c r="D221"/>
  <c r="AL227" i="54"/>
  <c r="C212"/>
  <c r="AO227"/>
  <c r="C215"/>
  <c r="C217"/>
  <c r="AQ227"/>
  <c r="AS227"/>
  <c r="C219"/>
  <c r="C169"/>
  <c r="C174"/>
  <c r="C175"/>
  <c r="C171"/>
  <c r="C172"/>
  <c r="C173"/>
  <c r="C179"/>
  <c r="C180"/>
  <c r="C176"/>
  <c r="C167"/>
  <c r="C184"/>
  <c r="C181"/>
  <c r="C177"/>
  <c r="C182"/>
  <c r="C183"/>
  <c r="C168"/>
  <c r="C165"/>
  <c r="C170"/>
  <c r="C166"/>
  <c r="C178"/>
  <c r="B87" i="91"/>
  <c r="C87" s="1"/>
  <c r="B61"/>
  <c r="B35"/>
  <c r="B113"/>
  <c r="E37" i="81"/>
  <c r="E38"/>
  <c r="I22" i="78"/>
  <c r="I9"/>
  <c r="I21"/>
  <c r="B29"/>
  <c r="I15"/>
  <c r="B28"/>
  <c r="I6"/>
  <c r="B23"/>
  <c r="I33"/>
  <c r="B33"/>
  <c r="I20"/>
  <c r="B32"/>
  <c r="B16"/>
  <c r="I27"/>
  <c r="I8"/>
  <c r="B21"/>
  <c r="I5"/>
  <c r="B20"/>
  <c r="I26"/>
  <c r="I13"/>
  <c r="I25"/>
  <c r="B25"/>
  <c r="I11"/>
  <c r="B24"/>
  <c r="I7"/>
  <c r="I19"/>
  <c r="B27"/>
  <c r="I14"/>
  <c r="B26"/>
  <c r="I32"/>
  <c r="I18"/>
  <c r="I31"/>
  <c r="I17"/>
  <c r="B17"/>
  <c r="B30"/>
  <c r="I16"/>
  <c r="I30"/>
  <c r="B19"/>
  <c r="I29"/>
  <c r="B18"/>
  <c r="I24"/>
  <c r="I12"/>
  <c r="I23"/>
  <c r="B31"/>
  <c r="I10"/>
  <c r="B22"/>
  <c r="I28"/>
  <c r="B137" i="85"/>
  <c r="T179" s="1"/>
  <c r="B44"/>
  <c r="B75"/>
  <c r="C75" s="1"/>
  <c r="B106"/>
  <c r="C106" s="1"/>
  <c r="B8" i="95"/>
  <c r="B36"/>
  <c r="B88"/>
  <c r="B62"/>
  <c r="B114"/>
  <c r="Q154" s="1"/>
  <c r="Q157" s="1"/>
  <c r="Q158" s="1"/>
  <c r="Q159" s="1"/>
  <c r="Q160" s="1"/>
  <c r="Q161" s="1"/>
  <c r="Q162" s="1"/>
  <c r="E6"/>
  <c r="C71" i="80"/>
  <c r="D97" i="101"/>
  <c r="H98" s="1"/>
  <c r="D228"/>
  <c r="B60" i="93"/>
  <c r="C60" s="1"/>
  <c r="B86"/>
  <c r="B112"/>
  <c r="O154" s="1"/>
  <c r="B34"/>
  <c r="E7" i="39"/>
  <c r="B226"/>
  <c r="G222" i="101"/>
  <c r="C143"/>
  <c r="G144" s="1"/>
  <c r="E8" i="89"/>
  <c r="B156"/>
  <c r="B136"/>
  <c r="R157"/>
  <c r="T157"/>
  <c r="B138"/>
  <c r="B142"/>
  <c r="X157"/>
  <c r="B140"/>
  <c r="V157"/>
  <c r="U157"/>
  <c r="B139"/>
  <c r="C180" i="51"/>
  <c r="C177"/>
  <c r="C173"/>
  <c r="C174"/>
  <c r="C175"/>
  <c r="C181"/>
  <c r="C182"/>
  <c r="C178"/>
  <c r="C171"/>
  <c r="C184"/>
  <c r="C165"/>
  <c r="C166"/>
  <c r="C183"/>
  <c r="C167"/>
  <c r="C168"/>
  <c r="C170"/>
  <c r="C179"/>
  <c r="C176"/>
  <c r="C172"/>
  <c r="C169"/>
  <c r="E46" i="63"/>
  <c r="E45"/>
  <c r="AG226" i="36"/>
  <c r="B207"/>
  <c r="AS226"/>
  <c r="B219"/>
  <c r="AH226"/>
  <c r="B208"/>
  <c r="B206"/>
  <c r="AF226"/>
  <c r="AL226"/>
  <c r="B212"/>
  <c r="AW226"/>
  <c r="B223"/>
  <c r="B214"/>
  <c r="AN226"/>
  <c r="B210"/>
  <c r="AJ226"/>
  <c r="E220" i="101"/>
  <c r="C115"/>
  <c r="G116" s="1"/>
  <c r="B133" i="86"/>
  <c r="P179" s="1"/>
  <c r="B102"/>
  <c r="B40"/>
  <c r="B71"/>
  <c r="C71" s="1"/>
  <c r="B76" i="87"/>
  <c r="C76" s="1"/>
  <c r="B9" i="97"/>
  <c r="B45" i="87"/>
  <c r="B138"/>
  <c r="U179" s="1"/>
  <c r="B107"/>
  <c r="D223" i="101"/>
  <c r="D92"/>
  <c r="C90"/>
  <c r="G91" s="1"/>
  <c r="C221"/>
  <c r="F168" i="39"/>
  <c r="E46"/>
  <c r="I75" s="1"/>
  <c r="F226" i="101"/>
  <c r="D121"/>
  <c r="H122" s="1"/>
  <c r="C181" i="36"/>
  <c r="C171"/>
  <c r="C176"/>
  <c r="C175"/>
  <c r="C180"/>
  <c r="C208" i="54"/>
  <c r="AH227"/>
  <c r="AU227"/>
  <c r="C221"/>
  <c r="C102" i="78"/>
  <c r="C108"/>
  <c r="C104"/>
  <c r="C103"/>
  <c r="C100"/>
  <c r="C99"/>
  <c r="C101"/>
  <c r="C106"/>
  <c r="C105"/>
  <c r="C120" i="101"/>
  <c r="G121" s="1"/>
  <c r="E225"/>
  <c r="I52" i="48"/>
  <c r="I54"/>
  <c r="I48"/>
  <c r="I76"/>
  <c r="I75"/>
  <c r="B77"/>
  <c r="I77"/>
  <c r="B72"/>
  <c r="B74"/>
  <c r="I47"/>
  <c r="B76"/>
  <c r="I50"/>
  <c r="B79"/>
  <c r="I80"/>
  <c r="I66"/>
  <c r="B80"/>
  <c r="I62"/>
  <c r="I56"/>
  <c r="B70"/>
  <c r="I51"/>
  <c r="I45"/>
  <c r="I65"/>
  <c r="I79"/>
  <c r="I49"/>
  <c r="I81"/>
  <c r="B65"/>
  <c r="I58"/>
  <c r="I60"/>
  <c r="I59"/>
  <c r="I53"/>
  <c r="I74"/>
  <c r="B69"/>
  <c r="I69"/>
  <c r="B67"/>
  <c r="B78"/>
  <c r="I78"/>
  <c r="B68"/>
  <c r="B82"/>
  <c r="I55"/>
  <c r="I57"/>
  <c r="I70"/>
  <c r="B73"/>
  <c r="B75"/>
  <c r="I68"/>
  <c r="I67"/>
  <c r="I61"/>
  <c r="I82"/>
  <c r="I64"/>
  <c r="I46"/>
  <c r="I71"/>
  <c r="B81"/>
  <c r="I73"/>
  <c r="B71"/>
  <c r="I72"/>
  <c r="I63"/>
  <c r="B66"/>
  <c r="D96" i="101"/>
  <c r="H97" s="1"/>
  <c r="D227"/>
  <c r="B111" i="97"/>
  <c r="N154" s="1"/>
  <c r="B33"/>
  <c r="B59"/>
  <c r="C59" s="1"/>
  <c r="B85"/>
  <c r="C122" i="101"/>
  <c r="G123" s="1"/>
  <c r="E227"/>
  <c r="D112"/>
  <c r="F217"/>
  <c r="Z157" i="89"/>
  <c r="B144"/>
  <c r="B146"/>
  <c r="AB157"/>
  <c r="AF157"/>
  <c r="B150"/>
  <c r="AD157"/>
  <c r="B148"/>
  <c r="B152"/>
  <c r="AH157"/>
  <c r="S157"/>
  <c r="B137"/>
  <c r="B147"/>
  <c r="AC157"/>
  <c r="I50" i="57"/>
  <c r="I69"/>
  <c r="B76"/>
  <c r="B81"/>
  <c r="I63"/>
  <c r="B68"/>
  <c r="I60"/>
  <c r="I67"/>
  <c r="B66"/>
  <c r="I72"/>
  <c r="I77"/>
  <c r="B78"/>
  <c r="I46"/>
  <c r="I81"/>
  <c r="I56"/>
  <c r="I75"/>
  <c r="I61"/>
  <c r="B67"/>
  <c r="I70"/>
  <c r="B82"/>
  <c r="I58"/>
  <c r="I49"/>
  <c r="I79"/>
  <c r="I53"/>
  <c r="I59"/>
  <c r="I57"/>
  <c r="B70"/>
  <c r="B75"/>
  <c r="B69"/>
  <c r="I82"/>
  <c r="I51"/>
  <c r="B74"/>
  <c r="I80"/>
  <c r="I76"/>
  <c r="I62"/>
  <c r="I52"/>
  <c r="K52" s="1"/>
  <c r="I71"/>
  <c r="B77"/>
  <c r="I45"/>
  <c r="B65"/>
  <c r="B80"/>
  <c r="B72"/>
  <c r="I65"/>
  <c r="I73"/>
  <c r="I78"/>
  <c r="I54"/>
  <c r="I64"/>
  <c r="K64" s="1"/>
  <c r="I68"/>
  <c r="I74"/>
  <c r="B79"/>
  <c r="B73"/>
  <c r="I47"/>
  <c r="I48"/>
  <c r="I55"/>
  <c r="B71"/>
  <c r="I66"/>
  <c r="K66" s="1"/>
  <c r="B216" i="36"/>
  <c r="AP226"/>
  <c r="B218"/>
  <c r="AR226"/>
  <c r="AT226"/>
  <c r="B220"/>
  <c r="B222"/>
  <c r="AV226"/>
  <c r="AM226"/>
  <c r="B213"/>
  <c r="B226" i="42"/>
  <c r="E7"/>
  <c r="B36" i="87"/>
  <c r="E7"/>
  <c r="B98"/>
  <c r="B67"/>
  <c r="B129"/>
  <c r="E6"/>
  <c r="B83" i="94"/>
  <c r="B57"/>
  <c r="E7"/>
  <c r="B31"/>
  <c r="E6"/>
  <c r="B109"/>
  <c r="B71" i="85"/>
  <c r="C71" s="1"/>
  <c r="B102"/>
  <c r="C102" s="1"/>
  <c r="B133"/>
  <c r="P179" s="1"/>
  <c r="B40"/>
  <c r="B135"/>
  <c r="R179" s="1"/>
  <c r="B73"/>
  <c r="C73" s="1"/>
  <c r="B6" i="95"/>
  <c r="B104" i="85"/>
  <c r="C104" s="1"/>
  <c r="B42"/>
  <c r="C85" i="60"/>
  <c r="F86"/>
  <c r="C210" i="54"/>
  <c r="AJ227"/>
  <c r="C214"/>
  <c r="AN227"/>
  <c r="N179" i="82"/>
  <c r="F133"/>
  <c r="C176" i="57"/>
  <c r="C177"/>
  <c r="C178"/>
  <c r="C184"/>
  <c r="C181"/>
  <c r="C171"/>
  <c r="C167"/>
  <c r="C165"/>
  <c r="C168"/>
  <c r="C172"/>
  <c r="C175"/>
  <c r="C170"/>
  <c r="C182"/>
  <c r="C173"/>
  <c r="C180"/>
  <c r="C169"/>
  <c r="C166"/>
  <c r="C183"/>
  <c r="C174"/>
  <c r="C179"/>
  <c r="E37" i="78"/>
  <c r="E38"/>
  <c r="C77" i="85"/>
  <c r="F68"/>
  <c r="E231" i="101"/>
  <c r="C126"/>
  <c r="G127" s="1"/>
  <c r="H61"/>
  <c r="J60"/>
  <c r="H60"/>
  <c r="B111" i="94"/>
  <c r="N154" s="1"/>
  <c r="B85"/>
  <c r="B33"/>
  <c r="B59"/>
  <c r="C59" s="1"/>
  <c r="B104" i="87"/>
  <c r="B135"/>
  <c r="R179" s="1"/>
  <c r="B6" i="97"/>
  <c r="B73" i="87"/>
  <c r="C73" s="1"/>
  <c r="B42"/>
  <c r="D232" i="101"/>
  <c r="D101"/>
  <c r="H102" s="1"/>
  <c r="W157" i="89"/>
  <c r="B141"/>
  <c r="B145"/>
  <c r="AA157"/>
  <c r="AQ226" i="36"/>
  <c r="B217"/>
  <c r="AI226"/>
  <c r="B209"/>
  <c r="AU226"/>
  <c r="B221"/>
  <c r="D126" i="101"/>
  <c r="H127" s="1"/>
  <c r="F231"/>
  <c r="B36" i="86"/>
  <c r="B98"/>
  <c r="B67"/>
  <c r="E7"/>
  <c r="E6"/>
  <c r="B129"/>
  <c r="D125" i="101"/>
  <c r="H126" s="1"/>
  <c r="F230"/>
  <c r="B131" i="83"/>
  <c r="B100"/>
  <c r="C100" s="1"/>
  <c r="B38"/>
  <c r="B69"/>
  <c r="B34" i="94"/>
  <c r="B86"/>
  <c r="B60"/>
  <c r="C60" s="1"/>
  <c r="B112"/>
  <c r="O154" s="1"/>
  <c r="B101" i="85"/>
  <c r="C101" s="1"/>
  <c r="B39"/>
  <c r="B132"/>
  <c r="O179" s="1"/>
  <c r="B70"/>
  <c r="C70" s="1"/>
  <c r="D122" i="101"/>
  <c r="H123" s="1"/>
  <c r="F227"/>
  <c r="B40" i="87"/>
  <c r="B71"/>
  <c r="C71" s="1"/>
  <c r="B102"/>
  <c r="B133"/>
  <c r="P179" s="1"/>
  <c r="K66" i="101"/>
  <c r="L66" s="1"/>
  <c r="B79" i="51"/>
  <c r="I73"/>
  <c r="I57"/>
  <c r="I71"/>
  <c r="B68"/>
  <c r="I75"/>
  <c r="I80"/>
  <c r="I66"/>
  <c r="B78"/>
  <c r="I52"/>
  <c r="I74"/>
  <c r="B66"/>
  <c r="I69"/>
  <c r="I51"/>
  <c r="B71"/>
  <c r="I65"/>
  <c r="I78"/>
  <c r="I49"/>
  <c r="I56"/>
  <c r="B81"/>
  <c r="I68"/>
  <c r="B76"/>
  <c r="I79"/>
  <c r="I76"/>
  <c r="B65"/>
  <c r="I67"/>
  <c r="I60"/>
  <c r="I82"/>
  <c r="I58"/>
  <c r="I70"/>
  <c r="I53"/>
  <c r="I46"/>
  <c r="B69"/>
  <c r="I55"/>
  <c r="I64"/>
  <c r="B70"/>
  <c r="B67"/>
  <c r="B72"/>
  <c r="B74"/>
  <c r="I48"/>
  <c r="B73"/>
  <c r="I63"/>
  <c r="I50"/>
  <c r="I81"/>
  <c r="I59"/>
  <c r="I72"/>
  <c r="I77"/>
  <c r="I47"/>
  <c r="I54"/>
  <c r="B77"/>
  <c r="B82"/>
  <c r="I62"/>
  <c r="I45"/>
  <c r="B75"/>
  <c r="B80"/>
  <c r="I61"/>
  <c r="B35" i="92"/>
  <c r="B61"/>
  <c r="C61" s="1"/>
  <c r="B113"/>
  <c r="P154" s="1"/>
  <c r="B87"/>
  <c r="C87" s="1"/>
  <c r="I24" i="60"/>
  <c r="B35"/>
  <c r="I25"/>
  <c r="I41"/>
  <c r="B30"/>
  <c r="B33"/>
  <c r="B25"/>
  <c r="I13"/>
  <c r="I32"/>
  <c r="I23"/>
  <c r="B40"/>
  <c r="I27"/>
  <c r="I18"/>
  <c r="I15"/>
  <c r="I9"/>
  <c r="I6"/>
  <c r="I33"/>
  <c r="I17"/>
  <c r="B38"/>
  <c r="B37"/>
  <c r="B29"/>
  <c r="I5"/>
  <c r="B27"/>
  <c r="I40"/>
  <c r="B32"/>
  <c r="I14"/>
  <c r="I35"/>
  <c r="I26"/>
  <c r="I22"/>
  <c r="I34"/>
  <c r="I39"/>
  <c r="B36"/>
  <c r="I28"/>
  <c r="I7"/>
  <c r="I12"/>
  <c r="B39"/>
  <c r="I38"/>
  <c r="I8"/>
  <c r="I36"/>
  <c r="I11"/>
  <c r="B26"/>
  <c r="I19"/>
  <c r="I42"/>
  <c r="I21"/>
  <c r="I10"/>
  <c r="B41"/>
  <c r="B34"/>
  <c r="I29"/>
  <c r="I20"/>
  <c r="I30"/>
  <c r="I31"/>
  <c r="B28"/>
  <c r="I16"/>
  <c r="B42"/>
  <c r="I37"/>
  <c r="B31"/>
  <c r="L223"/>
  <c r="F168"/>
  <c r="C123" i="101"/>
  <c r="G124" s="1"/>
  <c r="E228"/>
  <c r="I4" i="36"/>
  <c r="I85" i="45" l="1"/>
  <c r="I89"/>
  <c r="I93"/>
  <c r="I97"/>
  <c r="I101"/>
  <c r="I106"/>
  <c r="I110"/>
  <c r="I114"/>
  <c r="I118"/>
  <c r="I122"/>
  <c r="B107"/>
  <c r="B111"/>
  <c r="B115"/>
  <c r="B119"/>
  <c r="I88"/>
  <c r="I92"/>
  <c r="I96"/>
  <c r="I100"/>
  <c r="I105"/>
  <c r="I109"/>
  <c r="I113"/>
  <c r="I117"/>
  <c r="I121"/>
  <c r="B106"/>
  <c r="B110"/>
  <c r="B114"/>
  <c r="B118"/>
  <c r="B122"/>
  <c r="I87"/>
  <c r="I91"/>
  <c r="I95"/>
  <c r="I99"/>
  <c r="I103"/>
  <c r="I108"/>
  <c r="I112"/>
  <c r="I116"/>
  <c r="I120"/>
  <c r="B105"/>
  <c r="B109"/>
  <c r="B113"/>
  <c r="B117"/>
  <c r="B121"/>
  <c r="I86"/>
  <c r="I90"/>
  <c r="I94"/>
  <c r="I98"/>
  <c r="I102"/>
  <c r="I107"/>
  <c r="I111"/>
  <c r="I115"/>
  <c r="I119"/>
  <c r="I104"/>
  <c r="B108"/>
  <c r="B112"/>
  <c r="B116"/>
  <c r="B120"/>
  <c r="B169" i="79"/>
  <c r="AE182"/>
  <c r="B173"/>
  <c r="AI182"/>
  <c r="AQ228" i="48"/>
  <c r="D217"/>
  <c r="C116"/>
  <c r="C122"/>
  <c r="AW228"/>
  <c r="D223"/>
  <c r="AN228"/>
  <c r="D214"/>
  <c r="C113"/>
  <c r="B217" i="57"/>
  <c r="AQ226"/>
  <c r="AH226"/>
  <c r="B208"/>
  <c r="L179" i="80"/>
  <c r="F133"/>
  <c r="AN226" i="54"/>
  <c r="B214"/>
  <c r="C57" i="95"/>
  <c r="F59"/>
  <c r="B22" i="80"/>
  <c r="B30"/>
  <c r="I11"/>
  <c r="I20"/>
  <c r="I28"/>
  <c r="I16"/>
  <c r="B24"/>
  <c r="B32"/>
  <c r="I12"/>
  <c r="I18"/>
  <c r="I26"/>
  <c r="I19"/>
  <c r="I27"/>
  <c r="I9"/>
  <c r="B19"/>
  <c r="B27"/>
  <c r="I8"/>
  <c r="I21"/>
  <c r="I29"/>
  <c r="I10"/>
  <c r="B17"/>
  <c r="B25"/>
  <c r="B33"/>
  <c r="B18"/>
  <c r="B26"/>
  <c r="I5"/>
  <c r="I15"/>
  <c r="I24"/>
  <c r="I32"/>
  <c r="B20"/>
  <c r="B28"/>
  <c r="I7"/>
  <c r="B16"/>
  <c r="I22"/>
  <c r="I30"/>
  <c r="I6"/>
  <c r="I23"/>
  <c r="I31"/>
  <c r="I13"/>
  <c r="B23"/>
  <c r="B31"/>
  <c r="I17"/>
  <c r="I25"/>
  <c r="I33"/>
  <c r="I14"/>
  <c r="B21"/>
  <c r="B29"/>
  <c r="AB182" i="83"/>
  <c r="B166"/>
  <c r="B177"/>
  <c r="AM182"/>
  <c r="C105" i="42"/>
  <c r="AF228"/>
  <c r="D206"/>
  <c r="B58" i="90"/>
  <c r="C58" s="1"/>
  <c r="B32"/>
  <c r="B110"/>
  <c r="B84"/>
  <c r="C98" i="82"/>
  <c r="C108"/>
  <c r="C103"/>
  <c r="C105"/>
  <c r="C99"/>
  <c r="C101"/>
  <c r="C104"/>
  <c r="C102"/>
  <c r="B178" i="79"/>
  <c r="AN182"/>
  <c r="AF182"/>
  <c r="B170"/>
  <c r="B162"/>
  <c r="X182"/>
  <c r="B176"/>
  <c r="AL182"/>
  <c r="Y182"/>
  <c r="B163"/>
  <c r="B172"/>
  <c r="AH182"/>
  <c r="AB182"/>
  <c r="B166"/>
  <c r="C109" i="48"/>
  <c r="AJ228"/>
  <c r="D210"/>
  <c r="AV228"/>
  <c r="C121"/>
  <c r="D222"/>
  <c r="AR228"/>
  <c r="D218"/>
  <c r="C117"/>
  <c r="AH228"/>
  <c r="D208"/>
  <c r="C107"/>
  <c r="AL226" i="57"/>
  <c r="B212"/>
  <c r="AJ226"/>
  <c r="B210"/>
  <c r="B223"/>
  <c r="AW226"/>
  <c r="AS226"/>
  <c r="B219"/>
  <c r="B36" i="91"/>
  <c r="B88"/>
  <c r="C88" s="1"/>
  <c r="B62"/>
  <c r="E6"/>
  <c r="B114"/>
  <c r="Q154" s="1"/>
  <c r="Q157" s="1"/>
  <c r="Q158" s="1"/>
  <c r="Q159" s="1"/>
  <c r="Q160" s="1"/>
  <c r="Q161" s="1"/>
  <c r="Q162" s="1"/>
  <c r="C77" i="81"/>
  <c r="F68"/>
  <c r="I94" s="1"/>
  <c r="AU226" i="54"/>
  <c r="B221"/>
  <c r="B208"/>
  <c r="AH226"/>
  <c r="AW226"/>
  <c r="B223"/>
  <c r="B217"/>
  <c r="AQ226"/>
  <c r="AL226"/>
  <c r="B212"/>
  <c r="B206"/>
  <c r="AF226"/>
  <c r="F68" i="80"/>
  <c r="C77"/>
  <c r="I104" i="54"/>
  <c r="B108"/>
  <c r="B112"/>
  <c r="B116"/>
  <c r="B120"/>
  <c r="I86"/>
  <c r="I90"/>
  <c r="I94"/>
  <c r="I98"/>
  <c r="I102"/>
  <c r="I107"/>
  <c r="I111"/>
  <c r="I115"/>
  <c r="I119"/>
  <c r="B107"/>
  <c r="B111"/>
  <c r="B115"/>
  <c r="B119"/>
  <c r="I85"/>
  <c r="I89"/>
  <c r="I93"/>
  <c r="I97"/>
  <c r="I101"/>
  <c r="I106"/>
  <c r="I110"/>
  <c r="I114"/>
  <c r="I118"/>
  <c r="I122"/>
  <c r="B106"/>
  <c r="B110"/>
  <c r="B114"/>
  <c r="B118"/>
  <c r="B122"/>
  <c r="I88"/>
  <c r="I92"/>
  <c r="I96"/>
  <c r="I100"/>
  <c r="I105"/>
  <c r="I109"/>
  <c r="I113"/>
  <c r="I117"/>
  <c r="I121"/>
  <c r="B105"/>
  <c r="B109"/>
  <c r="B113"/>
  <c r="B117"/>
  <c r="B121"/>
  <c r="I87"/>
  <c r="I91"/>
  <c r="I95"/>
  <c r="I99"/>
  <c r="I103"/>
  <c r="I108"/>
  <c r="I112"/>
  <c r="I116"/>
  <c r="I120"/>
  <c r="B162" i="83"/>
  <c r="X182"/>
  <c r="AH182"/>
  <c r="B172"/>
  <c r="AL182"/>
  <c r="B176"/>
  <c r="B171"/>
  <c r="AG182"/>
  <c r="B174"/>
  <c r="AJ182"/>
  <c r="C108" i="42"/>
  <c r="D209"/>
  <c r="AI228"/>
  <c r="D213"/>
  <c r="AM228"/>
  <c r="C112"/>
  <c r="D222"/>
  <c r="AV228"/>
  <c r="C121"/>
  <c r="D223"/>
  <c r="C122"/>
  <c r="AW228"/>
  <c r="C109"/>
  <c r="D210"/>
  <c r="AJ228"/>
  <c r="G99" i="83"/>
  <c r="G100"/>
  <c r="G103" s="1"/>
  <c r="B80"/>
  <c r="I67"/>
  <c r="B84"/>
  <c r="I71"/>
  <c r="I87"/>
  <c r="B83"/>
  <c r="I70"/>
  <c r="I86"/>
  <c r="B82"/>
  <c r="I69"/>
  <c r="I85"/>
  <c r="B85"/>
  <c r="I72"/>
  <c r="I66" s="1"/>
  <c r="I88"/>
  <c r="I79"/>
  <c r="B79"/>
  <c r="I74"/>
  <c r="I94"/>
  <c r="B94"/>
  <c r="I89"/>
  <c r="B93"/>
  <c r="I84"/>
  <c r="I75"/>
  <c r="I95"/>
  <c r="B95"/>
  <c r="I90"/>
  <c r="B90"/>
  <c r="I81"/>
  <c r="B89"/>
  <c r="I80"/>
  <c r="B92"/>
  <c r="I91"/>
  <c r="B91"/>
  <c r="I82"/>
  <c r="B86"/>
  <c r="I77"/>
  <c r="B81"/>
  <c r="I76"/>
  <c r="B88"/>
  <c r="I83"/>
  <c r="B87"/>
  <c r="I78"/>
  <c r="B78"/>
  <c r="I73"/>
  <c r="I93"/>
  <c r="I68"/>
  <c r="I92"/>
  <c r="C184" i="36"/>
  <c r="C179"/>
  <c r="C170"/>
  <c r="C166"/>
  <c r="C165"/>
  <c r="I4" i="57"/>
  <c r="B177" i="79"/>
  <c r="AM182"/>
  <c r="B175"/>
  <c r="AK182"/>
  <c r="D209" i="48"/>
  <c r="C108"/>
  <c r="AI228"/>
  <c r="AO228"/>
  <c r="D215"/>
  <c r="C114"/>
  <c r="D206"/>
  <c r="C105"/>
  <c r="AF228"/>
  <c r="E129" i="51"/>
  <c r="D130"/>
  <c r="B213" i="57"/>
  <c r="AM226"/>
  <c r="B28" i="81"/>
  <c r="I33"/>
  <c r="I24"/>
  <c r="I17"/>
  <c r="I5"/>
  <c r="B18"/>
  <c r="B21"/>
  <c r="I28"/>
  <c r="B22"/>
  <c r="I10"/>
  <c r="I31"/>
  <c r="I18"/>
  <c r="B30"/>
  <c r="B17"/>
  <c r="I8"/>
  <c r="I13"/>
  <c r="I26"/>
  <c r="B24"/>
  <c r="I11"/>
  <c r="B25"/>
  <c r="I21"/>
  <c r="B23"/>
  <c r="I6"/>
  <c r="B32"/>
  <c r="I20"/>
  <c r="B33"/>
  <c r="I29"/>
  <c r="B31"/>
  <c r="I23"/>
  <c r="I12"/>
  <c r="I9"/>
  <c r="B20"/>
  <c r="B26"/>
  <c r="B19"/>
  <c r="I22"/>
  <c r="I32"/>
  <c r="I14"/>
  <c r="I30"/>
  <c r="I7"/>
  <c r="I25"/>
  <c r="I19"/>
  <c r="I16"/>
  <c r="B29"/>
  <c r="I27"/>
  <c r="B27"/>
  <c r="I15"/>
  <c r="B16"/>
  <c r="B91"/>
  <c r="I78"/>
  <c r="I69"/>
  <c r="I91"/>
  <c r="I68"/>
  <c r="B90"/>
  <c r="I83"/>
  <c r="B84"/>
  <c r="B87"/>
  <c r="I74"/>
  <c r="I90"/>
  <c r="I85"/>
  <c r="B92"/>
  <c r="I84"/>
  <c r="I77"/>
  <c r="B78"/>
  <c r="I71"/>
  <c r="B83"/>
  <c r="I70"/>
  <c r="I86"/>
  <c r="I80"/>
  <c r="B86"/>
  <c r="I79"/>
  <c r="I72"/>
  <c r="I93"/>
  <c r="B94"/>
  <c r="B79"/>
  <c r="B95"/>
  <c r="I82"/>
  <c r="I75"/>
  <c r="B81"/>
  <c r="I73"/>
  <c r="I67"/>
  <c r="I88"/>
  <c r="B89"/>
  <c r="AP226" i="54"/>
  <c r="B216"/>
  <c r="E108" i="79"/>
  <c r="D109"/>
  <c r="D110" s="1"/>
  <c r="D111" s="1"/>
  <c r="D112" s="1"/>
  <c r="D113" s="1"/>
  <c r="D114" s="1"/>
  <c r="D115" s="1"/>
  <c r="D116" s="1"/>
  <c r="D117" s="1"/>
  <c r="D118" s="1"/>
  <c r="D119" s="1"/>
  <c r="D120" s="1"/>
  <c r="D121" s="1"/>
  <c r="D122" s="1"/>
  <c r="D123" s="1"/>
  <c r="D124" s="1"/>
  <c r="D125" s="1"/>
  <c r="D126" s="1"/>
  <c r="AN182" i="83"/>
  <c r="B178"/>
  <c r="B173"/>
  <c r="AI182"/>
  <c r="AL228" i="42"/>
  <c r="D212"/>
  <c r="C111"/>
  <c r="D107" i="84"/>
  <c r="E106"/>
  <c r="Z182" i="79"/>
  <c r="B164"/>
  <c r="AG182"/>
  <c r="B171"/>
  <c r="W182"/>
  <c r="W179"/>
  <c r="B161"/>
  <c r="AC182"/>
  <c r="B167"/>
  <c r="B165"/>
  <c r="AA182"/>
  <c r="C119" i="48"/>
  <c r="AT228"/>
  <c r="D220"/>
  <c r="AK228"/>
  <c r="D211"/>
  <c r="C110"/>
  <c r="C106"/>
  <c r="AG228"/>
  <c r="D207"/>
  <c r="D219"/>
  <c r="C118"/>
  <c r="AS228"/>
  <c r="E129" i="54"/>
  <c r="D130"/>
  <c r="AU226" i="57"/>
  <c r="B221"/>
  <c r="B220"/>
  <c r="AT226"/>
  <c r="AO226"/>
  <c r="B215"/>
  <c r="AK226"/>
  <c r="B211"/>
  <c r="AV226"/>
  <c r="B222"/>
  <c r="C100" i="80"/>
  <c r="C108"/>
  <c r="C101"/>
  <c r="C103"/>
  <c r="C105"/>
  <c r="C99"/>
  <c r="C106"/>
  <c r="AK226" i="54"/>
  <c r="B211"/>
  <c r="AR226"/>
  <c r="B218"/>
  <c r="AG226"/>
  <c r="B207"/>
  <c r="AV226"/>
  <c r="B222"/>
  <c r="B35" i="90"/>
  <c r="B113"/>
  <c r="P154" s="1"/>
  <c r="B87"/>
  <c r="C87" s="1"/>
  <c r="B61"/>
  <c r="C61" s="1"/>
  <c r="B88"/>
  <c r="C88" s="1"/>
  <c r="B114"/>
  <c r="Q154" s="1"/>
  <c r="Q157" s="1"/>
  <c r="Q158" s="1"/>
  <c r="Q159" s="1"/>
  <c r="Q160" s="1"/>
  <c r="Q161" s="1"/>
  <c r="Q162" s="1"/>
  <c r="E6"/>
  <c r="B62"/>
  <c r="B36"/>
  <c r="B208" i="63"/>
  <c r="AH226"/>
  <c r="AK182" i="83"/>
  <c r="B175"/>
  <c r="AC182"/>
  <c r="B167"/>
  <c r="AF182"/>
  <c r="B170"/>
  <c r="B169"/>
  <c r="AE182"/>
  <c r="B61" i="94"/>
  <c r="C61" s="1"/>
  <c r="B35"/>
  <c r="B87"/>
  <c r="C87" s="1"/>
  <c r="B113"/>
  <c r="P154" s="1"/>
  <c r="C114" i="42"/>
  <c r="D215"/>
  <c r="AO228"/>
  <c r="AG228"/>
  <c r="C106"/>
  <c r="D207"/>
  <c r="D217"/>
  <c r="C116"/>
  <c r="AQ228"/>
  <c r="C115"/>
  <c r="AP228"/>
  <c r="D216"/>
  <c r="C119"/>
  <c r="D220"/>
  <c r="AT228"/>
  <c r="C120"/>
  <c r="D221"/>
  <c r="AU228"/>
  <c r="C110"/>
  <c r="D211"/>
  <c r="AK228"/>
  <c r="I85" i="79"/>
  <c r="B82"/>
  <c r="I78"/>
  <c r="B79"/>
  <c r="B94"/>
  <c r="I74"/>
  <c r="I93"/>
  <c r="B90"/>
  <c r="I70"/>
  <c r="I89"/>
  <c r="B86"/>
  <c r="B80"/>
  <c r="I68"/>
  <c r="I83"/>
  <c r="B92"/>
  <c r="I80"/>
  <c r="I95"/>
  <c r="B88"/>
  <c r="I76"/>
  <c r="I91"/>
  <c r="B84"/>
  <c r="I72"/>
  <c r="I87"/>
  <c r="I82"/>
  <c r="B83"/>
  <c r="I67"/>
  <c r="I66" s="1"/>
  <c r="I94"/>
  <c r="B95"/>
  <c r="I79"/>
  <c r="I90"/>
  <c r="B91"/>
  <c r="I75"/>
  <c r="I86"/>
  <c r="B87"/>
  <c r="I71"/>
  <c r="I81"/>
  <c r="I92"/>
  <c r="B85"/>
  <c r="B81"/>
  <c r="I77"/>
  <c r="I88"/>
  <c r="I84"/>
  <c r="B93"/>
  <c r="I73"/>
  <c r="I69"/>
  <c r="B78"/>
  <c r="B89"/>
  <c r="E103" i="81"/>
  <c r="D104"/>
  <c r="K46" i="57"/>
  <c r="C172" i="36"/>
  <c r="C177"/>
  <c r="C167"/>
  <c r="C178"/>
  <c r="C173"/>
  <c r="C88" i="95"/>
  <c r="E37" i="79"/>
  <c r="E37" i="80"/>
  <c r="E3" i="120"/>
  <c r="I4" i="54"/>
  <c r="I19" i="82"/>
  <c r="I9"/>
  <c r="B27"/>
  <c r="I21"/>
  <c r="I10"/>
  <c r="I22"/>
  <c r="B18"/>
  <c r="I5"/>
  <c r="I24"/>
  <c r="B20"/>
  <c r="I7"/>
  <c r="B33"/>
  <c r="I27"/>
  <c r="B19"/>
  <c r="I8"/>
  <c r="I29"/>
  <c r="B17"/>
  <c r="I30"/>
  <c r="B26"/>
  <c r="I15"/>
  <c r="I32"/>
  <c r="B28"/>
  <c r="B16"/>
  <c r="B25"/>
  <c r="I6"/>
  <c r="B23"/>
  <c r="I33"/>
  <c r="B22"/>
  <c r="I28"/>
  <c r="I12"/>
  <c r="I13"/>
  <c r="I25"/>
  <c r="B29"/>
  <c r="I20"/>
  <c r="B32"/>
  <c r="I31"/>
  <c r="I17"/>
  <c r="B21"/>
  <c r="I11"/>
  <c r="B24"/>
  <c r="I26"/>
  <c r="I23"/>
  <c r="B31"/>
  <c r="I14"/>
  <c r="B30"/>
  <c r="I16"/>
  <c r="I18"/>
  <c r="C120" i="48"/>
  <c r="AU228"/>
  <c r="D221"/>
  <c r="AP226" i="57"/>
  <c r="B216"/>
  <c r="B210" i="54"/>
  <c r="AJ226"/>
  <c r="B220"/>
  <c r="AT226"/>
  <c r="C85" i="95"/>
  <c r="C87"/>
  <c r="AA182" i="83"/>
  <c r="B165"/>
  <c r="B164"/>
  <c r="Z182"/>
  <c r="AS228" i="42"/>
  <c r="C118"/>
  <c r="D219"/>
  <c r="B61" i="89"/>
  <c r="B113"/>
  <c r="B35"/>
  <c r="B87"/>
  <c r="C87" s="1"/>
  <c r="F68" i="82"/>
  <c r="C67"/>
  <c r="F69"/>
  <c r="AD182" i="79"/>
  <c r="B168"/>
  <c r="AJ182"/>
  <c r="B174"/>
  <c r="D88" i="90"/>
  <c r="E87"/>
  <c r="C112" i="48"/>
  <c r="AM228"/>
  <c r="D213"/>
  <c r="D216"/>
  <c r="C115"/>
  <c r="AP228"/>
  <c r="AL228"/>
  <c r="D212"/>
  <c r="C111"/>
  <c r="E129" i="60"/>
  <c r="D130"/>
  <c r="B206" i="57"/>
  <c r="AF226"/>
  <c r="B218"/>
  <c r="AR226"/>
  <c r="AN226"/>
  <c r="B214"/>
  <c r="B209"/>
  <c r="AI226"/>
  <c r="B207"/>
  <c r="AG226"/>
  <c r="C67" i="80"/>
  <c r="F69"/>
  <c r="AS226" i="54"/>
  <c r="B219"/>
  <c r="AM226"/>
  <c r="B213"/>
  <c r="B215"/>
  <c r="AO226"/>
  <c r="AI226"/>
  <c r="B209"/>
  <c r="B108" i="57"/>
  <c r="I86"/>
  <c r="I102"/>
  <c r="I119"/>
  <c r="B115"/>
  <c r="I93"/>
  <c r="I110"/>
  <c r="B106"/>
  <c r="B122"/>
  <c r="I100"/>
  <c r="I117"/>
  <c r="B113"/>
  <c r="I91"/>
  <c r="I108"/>
  <c r="B116"/>
  <c r="I94"/>
  <c r="I111"/>
  <c r="B107"/>
  <c r="I85"/>
  <c r="I101"/>
  <c r="I118"/>
  <c r="B114"/>
  <c r="I92"/>
  <c r="I109"/>
  <c r="B105"/>
  <c r="B121"/>
  <c r="I99"/>
  <c r="I116"/>
  <c r="B112"/>
  <c r="I90"/>
  <c r="I107"/>
  <c r="I104"/>
  <c r="B119"/>
  <c r="I97"/>
  <c r="I114"/>
  <c r="B110"/>
  <c r="I88"/>
  <c r="I105"/>
  <c r="I121"/>
  <c r="B117"/>
  <c r="I95"/>
  <c r="I112"/>
  <c r="B120"/>
  <c r="I89"/>
  <c r="I96"/>
  <c r="I103"/>
  <c r="B111"/>
  <c r="B118"/>
  <c r="I87"/>
  <c r="I115"/>
  <c r="I122"/>
  <c r="B109"/>
  <c r="I98"/>
  <c r="I106"/>
  <c r="I113"/>
  <c r="I120"/>
  <c r="B36" i="97"/>
  <c r="B114"/>
  <c r="Q154" s="1"/>
  <c r="Q157" s="1"/>
  <c r="Q158" s="1"/>
  <c r="Q159" s="1"/>
  <c r="Q160" s="1"/>
  <c r="Q161" s="1"/>
  <c r="Q162" s="1"/>
  <c r="B88"/>
  <c r="B62"/>
  <c r="C62" s="1"/>
  <c r="W182" i="83"/>
  <c r="W179"/>
  <c r="B161"/>
  <c r="AD182"/>
  <c r="B168"/>
  <c r="B163"/>
  <c r="Y182"/>
  <c r="C107" i="42"/>
  <c r="D208"/>
  <c r="AH228"/>
  <c r="C113"/>
  <c r="D214"/>
  <c r="AN228"/>
  <c r="C117"/>
  <c r="D218"/>
  <c r="AR228"/>
  <c r="B84" i="91"/>
  <c r="C84" s="1"/>
  <c r="B110"/>
  <c r="M154" s="1"/>
  <c r="B58"/>
  <c r="C58" s="1"/>
  <c r="B32"/>
  <c r="I4" i="79"/>
  <c r="C168" i="36"/>
  <c r="C183"/>
  <c r="C174"/>
  <c r="F166" s="1"/>
  <c r="C169"/>
  <c r="F133" i="79"/>
  <c r="I84" i="48"/>
  <c r="C107" i="80"/>
  <c r="I4" i="63"/>
  <c r="C104" i="80"/>
  <c r="H26" i="100"/>
  <c r="C3"/>
  <c r="L4"/>
  <c r="L18" s="1"/>
  <c r="C35" i="119"/>
  <c r="C43"/>
  <c r="C34"/>
  <c r="C42"/>
  <c r="D88" i="97"/>
  <c r="E87"/>
  <c r="C118" i="63"/>
  <c r="D219"/>
  <c r="AS228"/>
  <c r="AQ228"/>
  <c r="D217"/>
  <c r="C116"/>
  <c r="AW228"/>
  <c r="D223"/>
  <c r="C122"/>
  <c r="AI228"/>
  <c r="D209"/>
  <c r="C108"/>
  <c r="B161" i="84"/>
  <c r="W182"/>
  <c r="W179"/>
  <c r="AM182"/>
  <c r="B177"/>
  <c r="B164"/>
  <c r="Z182"/>
  <c r="X182"/>
  <c r="B162"/>
  <c r="E103" i="85"/>
  <c r="D104"/>
  <c r="AO228" i="39"/>
  <c r="C114"/>
  <c r="D215"/>
  <c r="D46" i="119"/>
  <c r="D44"/>
  <c r="D42"/>
  <c r="D40"/>
  <c r="D38"/>
  <c r="D36"/>
  <c r="D34"/>
  <c r="D32"/>
  <c r="D47"/>
  <c r="D45"/>
  <c r="D43"/>
  <c r="D41"/>
  <c r="D39"/>
  <c r="D37"/>
  <c r="D35"/>
  <c r="D33"/>
  <c r="E6" i="96"/>
  <c r="B114"/>
  <c r="Q154" s="1"/>
  <c r="Q157" s="1"/>
  <c r="Q158" s="1"/>
  <c r="Q159" s="1"/>
  <c r="Q160" s="1"/>
  <c r="Q161" s="1"/>
  <c r="Q162" s="1"/>
  <c r="B36"/>
  <c r="B88"/>
  <c r="B62"/>
  <c r="C151" i="101"/>
  <c r="G152" s="1"/>
  <c r="G230"/>
  <c r="E103" i="87"/>
  <c r="D104"/>
  <c r="E130" i="48"/>
  <c r="D131"/>
  <c r="C33" i="119"/>
  <c r="C7"/>
  <c r="C41"/>
  <c r="C15"/>
  <c r="C6"/>
  <c r="C32"/>
  <c r="G33" s="1"/>
  <c r="C14"/>
  <c r="C40"/>
  <c r="G41" s="1"/>
  <c r="B31" i="96"/>
  <c r="B57"/>
  <c r="E7"/>
  <c r="B109"/>
  <c r="L154" s="1"/>
  <c r="B83"/>
  <c r="D89" i="95"/>
  <c r="D90" s="1"/>
  <c r="D91" s="1"/>
  <c r="D92" s="1"/>
  <c r="D93" s="1"/>
  <c r="D94" s="1"/>
  <c r="D95" s="1"/>
  <c r="D96" s="1"/>
  <c r="D97" s="1"/>
  <c r="D98" s="1"/>
  <c r="D99" s="1"/>
  <c r="D100" s="1"/>
  <c r="D101" s="1"/>
  <c r="D102" s="1"/>
  <c r="D103" s="1"/>
  <c r="D104" s="1"/>
  <c r="D105" s="1"/>
  <c r="D106" s="1"/>
  <c r="E88"/>
  <c r="C57" i="101"/>
  <c r="G51"/>
  <c r="J88"/>
  <c r="H89"/>
  <c r="D134" i="39"/>
  <c r="E133"/>
  <c r="C113" i="63"/>
  <c r="D214"/>
  <c r="AN228"/>
  <c r="AP228"/>
  <c r="D216"/>
  <c r="C115"/>
  <c r="C121"/>
  <c r="D222"/>
  <c r="AV228"/>
  <c r="C120"/>
  <c r="AU228"/>
  <c r="D221"/>
  <c r="D218"/>
  <c r="AR228"/>
  <c r="C117"/>
  <c r="D109" i="82"/>
  <c r="D110" s="1"/>
  <c r="D111" s="1"/>
  <c r="D112" s="1"/>
  <c r="D113" s="1"/>
  <c r="D114" s="1"/>
  <c r="D115" s="1"/>
  <c r="D116" s="1"/>
  <c r="D117" s="1"/>
  <c r="D118" s="1"/>
  <c r="D119" s="1"/>
  <c r="D120" s="1"/>
  <c r="D121" s="1"/>
  <c r="D122" s="1"/>
  <c r="D123" s="1"/>
  <c r="D124" s="1"/>
  <c r="D125" s="1"/>
  <c r="D126" s="1"/>
  <c r="E108"/>
  <c r="G99" s="1"/>
  <c r="B169" i="84"/>
  <c r="AE182"/>
  <c r="AL182"/>
  <c r="B176"/>
  <c r="B171"/>
  <c r="AG182"/>
  <c r="B175"/>
  <c r="AK182"/>
  <c r="AF182"/>
  <c r="B170"/>
  <c r="C115" i="39"/>
  <c r="D216"/>
  <c r="AP228"/>
  <c r="AW228"/>
  <c r="D223"/>
  <c r="C122"/>
  <c r="C105"/>
  <c r="AF228"/>
  <c r="D206"/>
  <c r="AS228"/>
  <c r="C118"/>
  <c r="D219"/>
  <c r="D221"/>
  <c r="AU228"/>
  <c r="C120"/>
  <c r="C109"/>
  <c r="AJ228"/>
  <c r="D210"/>
  <c r="D109" i="80"/>
  <c r="D110" s="1"/>
  <c r="D111" s="1"/>
  <c r="D112" s="1"/>
  <c r="D113" s="1"/>
  <c r="D114" s="1"/>
  <c r="D115" s="1"/>
  <c r="D116" s="1"/>
  <c r="D117" s="1"/>
  <c r="D118" s="1"/>
  <c r="D119" s="1"/>
  <c r="D120" s="1"/>
  <c r="D121" s="1"/>
  <c r="D122" s="1"/>
  <c r="D123" s="1"/>
  <c r="D124" s="1"/>
  <c r="D125" s="1"/>
  <c r="D126" s="1"/>
  <c r="E108"/>
  <c r="D139" i="36"/>
  <c r="E138"/>
  <c r="K57" i="57"/>
  <c r="K49"/>
  <c r="C31" i="119"/>
  <c r="C5"/>
  <c r="D25"/>
  <c r="C39"/>
  <c r="C13"/>
  <c r="C47"/>
  <c r="C21"/>
  <c r="C38"/>
  <c r="G39" s="1"/>
  <c r="C12"/>
  <c r="C46"/>
  <c r="G47" s="1"/>
  <c r="C20"/>
  <c r="E135" i="45"/>
  <c r="D136"/>
  <c r="B94" i="84"/>
  <c r="I72"/>
  <c r="I92"/>
  <c r="I67"/>
  <c r="I91"/>
  <c r="B90"/>
  <c r="I73"/>
  <c r="B93"/>
  <c r="I88"/>
  <c r="B92"/>
  <c r="I83"/>
  <c r="B86"/>
  <c r="I81"/>
  <c r="B89"/>
  <c r="I80"/>
  <c r="B88"/>
  <c r="I79"/>
  <c r="B78"/>
  <c r="B85"/>
  <c r="I76"/>
  <c r="B80"/>
  <c r="I75"/>
  <c r="I95"/>
  <c r="I86"/>
  <c r="I77"/>
  <c r="B95"/>
  <c r="I71"/>
  <c r="B81"/>
  <c r="I78"/>
  <c r="I69"/>
  <c r="B83"/>
  <c r="I90"/>
  <c r="I87"/>
  <c r="I68"/>
  <c r="I70"/>
  <c r="I66" s="1"/>
  <c r="B87"/>
  <c r="I93"/>
  <c r="I82"/>
  <c r="B82"/>
  <c r="I84"/>
  <c r="B79"/>
  <c r="B91"/>
  <c r="I94"/>
  <c r="I85"/>
  <c r="I74"/>
  <c r="B84"/>
  <c r="I89"/>
  <c r="C30" i="63"/>
  <c r="I29"/>
  <c r="B29"/>
  <c r="B57" i="97"/>
  <c r="B109"/>
  <c r="L154" s="1"/>
  <c r="E7"/>
  <c r="B83"/>
  <c r="C88" s="1"/>
  <c r="E6"/>
  <c r="B31"/>
  <c r="AT228" i="63"/>
  <c r="D220"/>
  <c r="C119"/>
  <c r="C107"/>
  <c r="D208"/>
  <c r="AH228"/>
  <c r="D207"/>
  <c r="AG228"/>
  <c r="C106"/>
  <c r="AK228"/>
  <c r="C110"/>
  <c r="D211"/>
  <c r="B168" i="84"/>
  <c r="AD182"/>
  <c r="Y182"/>
  <c r="B163"/>
  <c r="AI182"/>
  <c r="B173"/>
  <c r="AN182"/>
  <c r="B178"/>
  <c r="AV228" i="39"/>
  <c r="C121"/>
  <c r="D222"/>
  <c r="D213"/>
  <c r="AM228"/>
  <c r="C112"/>
  <c r="AQ228"/>
  <c r="C116"/>
  <c r="D217"/>
  <c r="C117"/>
  <c r="AR228"/>
  <c r="D218"/>
  <c r="C110"/>
  <c r="D211"/>
  <c r="AK228"/>
  <c r="D136" i="57"/>
  <c r="E135"/>
  <c r="G227" i="101"/>
  <c r="C148"/>
  <c r="G149" s="1"/>
  <c r="D103" i="78"/>
  <c r="E102"/>
  <c r="K65" i="57"/>
  <c r="K62"/>
  <c r="K51"/>
  <c r="K56"/>
  <c r="K60"/>
  <c r="I84" i="63"/>
  <c r="C37" i="119"/>
  <c r="C11"/>
  <c r="C45"/>
  <c r="C19"/>
  <c r="C10"/>
  <c r="C36"/>
  <c r="G37" s="1"/>
  <c r="C18"/>
  <c r="C44"/>
  <c r="G45" s="1"/>
  <c r="AI226" i="63"/>
  <c r="B209"/>
  <c r="H31" i="101"/>
  <c r="L51"/>
  <c r="I90" i="36"/>
  <c r="I107"/>
  <c r="I104"/>
  <c r="B120"/>
  <c r="I97"/>
  <c r="I114"/>
  <c r="B111"/>
  <c r="I92"/>
  <c r="I109"/>
  <c r="B106"/>
  <c r="B122"/>
  <c r="I99"/>
  <c r="I116"/>
  <c r="B113"/>
  <c r="I86"/>
  <c r="I102"/>
  <c r="I119"/>
  <c r="B116"/>
  <c r="I93"/>
  <c r="I110"/>
  <c r="B107"/>
  <c r="I88"/>
  <c r="I105"/>
  <c r="I121"/>
  <c r="B118"/>
  <c r="I95"/>
  <c r="I112"/>
  <c r="B109"/>
  <c r="I98"/>
  <c r="I115"/>
  <c r="B112"/>
  <c r="I89"/>
  <c r="I106"/>
  <c r="I122"/>
  <c r="B119"/>
  <c r="I100"/>
  <c r="I117"/>
  <c r="B114"/>
  <c r="I91"/>
  <c r="I108"/>
  <c r="B105"/>
  <c r="B121"/>
  <c r="I94"/>
  <c r="I111"/>
  <c r="B108"/>
  <c r="I85"/>
  <c r="I101"/>
  <c r="I118"/>
  <c r="B115"/>
  <c r="I96"/>
  <c r="I113"/>
  <c r="B110"/>
  <c r="I87"/>
  <c r="I103"/>
  <c r="I120"/>
  <c r="B117"/>
  <c r="H92" i="101"/>
  <c r="J91"/>
  <c r="C105" i="63"/>
  <c r="D206"/>
  <c r="AF228"/>
  <c r="C112"/>
  <c r="AM228"/>
  <c r="D213"/>
  <c r="C114"/>
  <c r="D215"/>
  <c r="AO228"/>
  <c r="C111"/>
  <c r="AL228"/>
  <c r="D212"/>
  <c r="D210"/>
  <c r="AJ228"/>
  <c r="C109"/>
  <c r="E87" i="91"/>
  <c r="D88"/>
  <c r="D138" i="42"/>
  <c r="E137"/>
  <c r="B166" i="84"/>
  <c r="AB182"/>
  <c r="AJ182"/>
  <c r="B174"/>
  <c r="B165"/>
  <c r="AA182"/>
  <c r="B172"/>
  <c r="AH182"/>
  <c r="B167"/>
  <c r="AC182"/>
  <c r="E129" i="63"/>
  <c r="D130"/>
  <c r="D208" i="39"/>
  <c r="C107"/>
  <c r="AH228"/>
  <c r="D220"/>
  <c r="AT228"/>
  <c r="C119"/>
  <c r="D214"/>
  <c r="C113"/>
  <c r="AN228"/>
  <c r="C111"/>
  <c r="D212"/>
  <c r="AL228"/>
  <c r="D207"/>
  <c r="AG228"/>
  <c r="C106"/>
  <c r="AI228"/>
  <c r="C108"/>
  <c r="D209"/>
  <c r="I44" i="51"/>
  <c r="C226" s="1"/>
  <c r="AK227" i="42"/>
  <c r="C211"/>
  <c r="E47" i="51"/>
  <c r="C208"/>
  <c r="AH227"/>
  <c r="C177" i="60"/>
  <c r="C173"/>
  <c r="C174"/>
  <c r="C180"/>
  <c r="C179"/>
  <c r="C182"/>
  <c r="C178"/>
  <c r="C176"/>
  <c r="C183"/>
  <c r="C181"/>
  <c r="C166"/>
  <c r="C168"/>
  <c r="C172"/>
  <c r="C167"/>
  <c r="C165"/>
  <c r="C175"/>
  <c r="C171"/>
  <c r="C169"/>
  <c r="C170"/>
  <c r="C184"/>
  <c r="C218" i="51"/>
  <c r="AR227"/>
  <c r="D152" i="101"/>
  <c r="H153" s="1"/>
  <c r="H231"/>
  <c r="F68" i="86"/>
  <c r="C67"/>
  <c r="F69"/>
  <c r="C153" i="101"/>
  <c r="G232"/>
  <c r="G229"/>
  <c r="C150"/>
  <c r="G151" s="1"/>
  <c r="AO226" i="60"/>
  <c r="B215"/>
  <c r="AH226"/>
  <c r="B208"/>
  <c r="B219"/>
  <c r="AS226"/>
  <c r="B221"/>
  <c r="AU226"/>
  <c r="B206"/>
  <c r="AF226"/>
  <c r="C221" i="51"/>
  <c r="AU227"/>
  <c r="C223"/>
  <c r="AW227"/>
  <c r="AO227"/>
  <c r="C215"/>
  <c r="C212"/>
  <c r="AL227"/>
  <c r="C69" i="83"/>
  <c r="D128" i="101"/>
  <c r="F233"/>
  <c r="D87"/>
  <c r="D218"/>
  <c r="I85" i="60"/>
  <c r="I89"/>
  <c r="I93"/>
  <c r="I97"/>
  <c r="I101"/>
  <c r="I106"/>
  <c r="I110"/>
  <c r="I114"/>
  <c r="I118"/>
  <c r="I122"/>
  <c r="B114"/>
  <c r="B109"/>
  <c r="B108"/>
  <c r="B107"/>
  <c r="I88"/>
  <c r="I92"/>
  <c r="I96"/>
  <c r="I100"/>
  <c r="I105"/>
  <c r="I109"/>
  <c r="I113"/>
  <c r="I117"/>
  <c r="I121"/>
  <c r="B110"/>
  <c r="B105"/>
  <c r="B121"/>
  <c r="B120"/>
  <c r="B119"/>
  <c r="I87"/>
  <c r="I91"/>
  <c r="I95"/>
  <c r="I99"/>
  <c r="I103"/>
  <c r="I108"/>
  <c r="I112"/>
  <c r="I116"/>
  <c r="I120"/>
  <c r="B106"/>
  <c r="B122"/>
  <c r="B117"/>
  <c r="B116"/>
  <c r="B115"/>
  <c r="I86"/>
  <c r="I90"/>
  <c r="I94"/>
  <c r="I98"/>
  <c r="I102"/>
  <c r="I107"/>
  <c r="I111"/>
  <c r="I115"/>
  <c r="I119"/>
  <c r="I104"/>
  <c r="B118"/>
  <c r="B113"/>
  <c r="B112"/>
  <c r="B111"/>
  <c r="B84" i="95"/>
  <c r="B32"/>
  <c r="B58"/>
  <c r="C58" s="1"/>
  <c r="B110"/>
  <c r="I7" i="94"/>
  <c r="I16"/>
  <c r="I11"/>
  <c r="B24"/>
  <c r="I18"/>
  <c r="B26"/>
  <c r="I12"/>
  <c r="I23"/>
  <c r="I22"/>
  <c r="B23"/>
  <c r="B22"/>
  <c r="B17"/>
  <c r="I20"/>
  <c r="B16"/>
  <c r="B27"/>
  <c r="B18"/>
  <c r="I6"/>
  <c r="B13"/>
  <c r="I15"/>
  <c r="B28"/>
  <c r="I26"/>
  <c r="B14"/>
  <c r="I25"/>
  <c r="B21"/>
  <c r="I27"/>
  <c r="B11"/>
  <c r="I9"/>
  <c r="I21"/>
  <c r="I24"/>
  <c r="I5"/>
  <c r="B20"/>
  <c r="I10"/>
  <c r="I17"/>
  <c r="I8"/>
  <c r="I19"/>
  <c r="I14"/>
  <c r="B15"/>
  <c r="I13"/>
  <c r="B25"/>
  <c r="I28"/>
  <c r="B12"/>
  <c r="B19"/>
  <c r="C88"/>
  <c r="C86"/>
  <c r="C85"/>
  <c r="C103" i="87"/>
  <c r="C104"/>
  <c r="C102"/>
  <c r="C107"/>
  <c r="C99"/>
  <c r="C106"/>
  <c r="C101"/>
  <c r="C100"/>
  <c r="C105"/>
  <c r="C108"/>
  <c r="AF227" i="57"/>
  <c r="C206"/>
  <c r="C215"/>
  <c r="AO227"/>
  <c r="C216"/>
  <c r="AP227"/>
  <c r="C223"/>
  <c r="AW227"/>
  <c r="AS227"/>
  <c r="C219"/>
  <c r="AV227"/>
  <c r="C222"/>
  <c r="J112" i="101"/>
  <c r="H113"/>
  <c r="C214" i="48"/>
  <c r="AN227"/>
  <c r="C223"/>
  <c r="AW227"/>
  <c r="AH227"/>
  <c r="C208"/>
  <c r="C206"/>
  <c r="AF227"/>
  <c r="C218"/>
  <c r="AR227"/>
  <c r="C178" i="39"/>
  <c r="C180"/>
  <c r="C176"/>
  <c r="C171"/>
  <c r="C170"/>
  <c r="C181"/>
  <c r="C173"/>
  <c r="C172"/>
  <c r="C167"/>
  <c r="C183"/>
  <c r="C174"/>
  <c r="C166"/>
  <c r="C165"/>
  <c r="C168"/>
  <c r="C184"/>
  <c r="C169"/>
  <c r="C175"/>
  <c r="C179"/>
  <c r="C182"/>
  <c r="C177"/>
  <c r="B171" i="78"/>
  <c r="AG182"/>
  <c r="W179"/>
  <c r="W182"/>
  <c r="B161"/>
  <c r="P154" i="91"/>
  <c r="F113"/>
  <c r="E47" i="54"/>
  <c r="C226"/>
  <c r="I68" i="60"/>
  <c r="I64"/>
  <c r="I57"/>
  <c r="B77"/>
  <c r="I46"/>
  <c r="I77"/>
  <c r="I71"/>
  <c r="I72"/>
  <c r="B68"/>
  <c r="I61"/>
  <c r="B65"/>
  <c r="I50"/>
  <c r="I81"/>
  <c r="I75"/>
  <c r="I56"/>
  <c r="I49"/>
  <c r="B82"/>
  <c r="B75"/>
  <c r="I69"/>
  <c r="I63"/>
  <c r="I70"/>
  <c r="I60"/>
  <c r="I53"/>
  <c r="I78"/>
  <c r="B79"/>
  <c r="I73"/>
  <c r="I67"/>
  <c r="B69"/>
  <c r="I48"/>
  <c r="B80"/>
  <c r="B74"/>
  <c r="B67"/>
  <c r="I62"/>
  <c r="I55"/>
  <c r="I66"/>
  <c r="I52"/>
  <c r="I45"/>
  <c r="B78"/>
  <c r="B71"/>
  <c r="I65"/>
  <c r="I59"/>
  <c r="I82"/>
  <c r="I76"/>
  <c r="B72"/>
  <c r="B66"/>
  <c r="B81"/>
  <c r="I54"/>
  <c r="I47"/>
  <c r="I79"/>
  <c r="I80"/>
  <c r="B76"/>
  <c r="B70"/>
  <c r="I74"/>
  <c r="I58"/>
  <c r="I51"/>
  <c r="B73"/>
  <c r="F165" i="45"/>
  <c r="F166"/>
  <c r="E37" i="85"/>
  <c r="E38"/>
  <c r="C71" i="84"/>
  <c r="AU227" i="45"/>
  <c r="C221"/>
  <c r="AT227"/>
  <c r="C220"/>
  <c r="C223"/>
  <c r="AW227"/>
  <c r="AV227"/>
  <c r="C222"/>
  <c r="AH227"/>
  <c r="C208"/>
  <c r="B178" i="85"/>
  <c r="AN182"/>
  <c r="B167"/>
  <c r="AC182"/>
  <c r="B175"/>
  <c r="AK182"/>
  <c r="C86" i="101"/>
  <c r="G87" s="1"/>
  <c r="C217"/>
  <c r="E33" i="92"/>
  <c r="E32"/>
  <c r="C139" i="81"/>
  <c r="C138"/>
  <c r="C137"/>
  <c r="C135"/>
  <c r="C134"/>
  <c r="C136"/>
  <c r="C131"/>
  <c r="C133"/>
  <c r="C129"/>
  <c r="C132"/>
  <c r="C130"/>
  <c r="F166" i="63"/>
  <c r="F165"/>
  <c r="H90" i="101"/>
  <c r="J89"/>
  <c r="G225"/>
  <c r="C146"/>
  <c r="G147" s="1"/>
  <c r="L154" i="93"/>
  <c r="F113"/>
  <c r="B84" i="96"/>
  <c r="B58"/>
  <c r="B32"/>
  <c r="B110"/>
  <c r="C179" i="101"/>
  <c r="I232"/>
  <c r="K47" i="57"/>
  <c r="K53"/>
  <c r="K67"/>
  <c r="I4" i="78"/>
  <c r="I44" i="45"/>
  <c r="I79" i="39"/>
  <c r="B66"/>
  <c r="I51"/>
  <c r="I78"/>
  <c r="B65"/>
  <c r="I69"/>
  <c r="I56"/>
  <c r="I63"/>
  <c r="I49"/>
  <c r="B77"/>
  <c r="I81"/>
  <c r="B68"/>
  <c r="I54"/>
  <c r="I76"/>
  <c r="B82" i="42"/>
  <c r="I59"/>
  <c r="I45"/>
  <c r="I78"/>
  <c r="B65"/>
  <c r="I62"/>
  <c r="I48"/>
  <c r="B79"/>
  <c r="I75"/>
  <c r="I61"/>
  <c r="I81"/>
  <c r="B68"/>
  <c r="I46"/>
  <c r="I68"/>
  <c r="AJ226" i="60"/>
  <c r="B210"/>
  <c r="AJ227" i="51"/>
  <c r="C210"/>
  <c r="AI227"/>
  <c r="C209"/>
  <c r="AW226" i="60"/>
  <c r="B223"/>
  <c r="B222"/>
  <c r="AV226"/>
  <c r="AP226"/>
  <c r="B216"/>
  <c r="C216" i="51"/>
  <c r="AP227"/>
  <c r="AQ227"/>
  <c r="C217"/>
  <c r="AL226" i="60"/>
  <c r="B212"/>
  <c r="B209"/>
  <c r="AI226"/>
  <c r="AT226"/>
  <c r="B220"/>
  <c r="B217"/>
  <c r="AQ226"/>
  <c r="AR226"/>
  <c r="B218"/>
  <c r="C211" i="51"/>
  <c r="AK227"/>
  <c r="AV227"/>
  <c r="C222"/>
  <c r="C207"/>
  <c r="AG227"/>
  <c r="B181" i="83"/>
  <c r="E8"/>
  <c r="N179"/>
  <c r="F133"/>
  <c r="I19" i="86"/>
  <c r="I27"/>
  <c r="I5"/>
  <c r="I15"/>
  <c r="I24"/>
  <c r="I32"/>
  <c r="B20"/>
  <c r="B28"/>
  <c r="I33"/>
  <c r="I14"/>
  <c r="B21"/>
  <c r="B29"/>
  <c r="B18"/>
  <c r="B26"/>
  <c r="I31"/>
  <c r="I13"/>
  <c r="B23"/>
  <c r="B31"/>
  <c r="I17"/>
  <c r="I25"/>
  <c r="I12"/>
  <c r="I18"/>
  <c r="I26"/>
  <c r="I6"/>
  <c r="I23"/>
  <c r="I11"/>
  <c r="I20"/>
  <c r="I28"/>
  <c r="I16"/>
  <c r="B24"/>
  <c r="B32"/>
  <c r="I10"/>
  <c r="B17"/>
  <c r="B25"/>
  <c r="B33"/>
  <c r="B22"/>
  <c r="B30"/>
  <c r="I9"/>
  <c r="B19"/>
  <c r="B27"/>
  <c r="I8"/>
  <c r="I21"/>
  <c r="I29"/>
  <c r="I7"/>
  <c r="B16"/>
  <c r="I22"/>
  <c r="I30"/>
  <c r="E38"/>
  <c r="E37"/>
  <c r="J77" i="101"/>
  <c r="K60"/>
  <c r="L60" s="1"/>
  <c r="F165" i="57"/>
  <c r="F166"/>
  <c r="C133" i="82"/>
  <c r="C139"/>
  <c r="C138"/>
  <c r="C134"/>
  <c r="C137"/>
  <c r="C129"/>
  <c r="C131"/>
  <c r="C130"/>
  <c r="C132"/>
  <c r="C136"/>
  <c r="C135"/>
  <c r="F87" i="42"/>
  <c r="D226"/>
  <c r="L154" i="94"/>
  <c r="C57"/>
  <c r="F58"/>
  <c r="F59"/>
  <c r="F69" i="87"/>
  <c r="C67"/>
  <c r="F68"/>
  <c r="AU227" i="57"/>
  <c r="C221"/>
  <c r="AJ227"/>
  <c r="C210"/>
  <c r="AG227"/>
  <c r="C207"/>
  <c r="G228" i="101"/>
  <c r="C149"/>
  <c r="G150" s="1"/>
  <c r="C222" i="48"/>
  <c r="AV227"/>
  <c r="AP227"/>
  <c r="C216"/>
  <c r="C219"/>
  <c r="AS227"/>
  <c r="AK227"/>
  <c r="C211"/>
  <c r="C217"/>
  <c r="AQ227"/>
  <c r="C147" i="101"/>
  <c r="G148" s="1"/>
  <c r="G226"/>
  <c r="D226" i="39"/>
  <c r="F87"/>
  <c r="C117" i="101"/>
  <c r="G118" s="1"/>
  <c r="E222"/>
  <c r="B35" i="97"/>
  <c r="B61"/>
  <c r="C61" s="1"/>
  <c r="B113"/>
  <c r="P154" s="1"/>
  <c r="B87"/>
  <c r="C87" s="1"/>
  <c r="B69" i="63"/>
  <c r="I61"/>
  <c r="I56"/>
  <c r="B67"/>
  <c r="I82"/>
  <c r="I75"/>
  <c r="I69"/>
  <c r="B65"/>
  <c r="I57"/>
  <c r="I52"/>
  <c r="I68"/>
  <c r="I47"/>
  <c r="I79"/>
  <c r="I73"/>
  <c r="I53"/>
  <c r="I48"/>
  <c r="B80"/>
  <c r="I74"/>
  <c r="I67"/>
  <c r="I62"/>
  <c r="I76"/>
  <c r="I49"/>
  <c r="B82"/>
  <c r="B76"/>
  <c r="I78"/>
  <c r="I71"/>
  <c r="I65"/>
  <c r="I80"/>
  <c r="I45"/>
  <c r="B78"/>
  <c r="B72"/>
  <c r="I66"/>
  <c r="I59"/>
  <c r="I54"/>
  <c r="B79"/>
  <c r="B81"/>
  <c r="B74"/>
  <c r="B68"/>
  <c r="I70"/>
  <c r="I63"/>
  <c r="I58"/>
  <c r="I72"/>
  <c r="B77"/>
  <c r="B70"/>
  <c r="I64"/>
  <c r="B75"/>
  <c r="I51"/>
  <c r="I46"/>
  <c r="I77"/>
  <c r="B73"/>
  <c r="B66"/>
  <c r="I60"/>
  <c r="B71"/>
  <c r="I55"/>
  <c r="I50"/>
  <c r="I81"/>
  <c r="B13" i="95"/>
  <c r="I5"/>
  <c r="I23"/>
  <c r="B19"/>
  <c r="I13"/>
  <c r="I22"/>
  <c r="B18"/>
  <c r="I12"/>
  <c r="I28"/>
  <c r="B24"/>
  <c r="B21"/>
  <c r="I15"/>
  <c r="B11"/>
  <c r="B27"/>
  <c r="I21"/>
  <c r="I14"/>
  <c r="I9"/>
  <c r="B26"/>
  <c r="I20"/>
  <c r="B16"/>
  <c r="I10"/>
  <c r="B22"/>
  <c r="B12"/>
  <c r="B17"/>
  <c r="I27"/>
  <c r="I17"/>
  <c r="B14"/>
  <c r="I24"/>
  <c r="I6"/>
  <c r="I19"/>
  <c r="I7"/>
  <c r="I26"/>
  <c r="I16"/>
  <c r="B28"/>
  <c r="I11"/>
  <c r="B23"/>
  <c r="I18"/>
  <c r="I8"/>
  <c r="B20"/>
  <c r="B25"/>
  <c r="B15"/>
  <c r="I25"/>
  <c r="B167" i="78"/>
  <c r="AC182"/>
  <c r="B164"/>
  <c r="Z182"/>
  <c r="X182"/>
  <c r="B162"/>
  <c r="B170"/>
  <c r="AF182"/>
  <c r="B165"/>
  <c r="AA182"/>
  <c r="AN182"/>
  <c r="B178"/>
  <c r="B173"/>
  <c r="AI182"/>
  <c r="F166" i="54"/>
  <c r="F165"/>
  <c r="J90" i="101"/>
  <c r="H91"/>
  <c r="F165" i="48"/>
  <c r="F166"/>
  <c r="C128" i="101"/>
  <c r="E233"/>
  <c r="B85" i="96"/>
  <c r="C85" s="1"/>
  <c r="B33"/>
  <c r="B59"/>
  <c r="C59" s="1"/>
  <c r="B111"/>
  <c r="N154" s="1"/>
  <c r="P179" i="84"/>
  <c r="F133"/>
  <c r="C212" i="45"/>
  <c r="AL227"/>
  <c r="AO227"/>
  <c r="C215"/>
  <c r="AS227"/>
  <c r="C219"/>
  <c r="C218"/>
  <c r="AR227"/>
  <c r="C217"/>
  <c r="AQ227"/>
  <c r="B168" i="85"/>
  <c r="AD182"/>
  <c r="AI182"/>
  <c r="B173"/>
  <c r="D127" i="101"/>
  <c r="H128" s="1"/>
  <c r="F232"/>
  <c r="F59" i="93"/>
  <c r="C57"/>
  <c r="F58"/>
  <c r="C84"/>
  <c r="C87"/>
  <c r="C88"/>
  <c r="C85"/>
  <c r="C86"/>
  <c r="C136" i="79"/>
  <c r="C134"/>
  <c r="C133"/>
  <c r="C129"/>
  <c r="C139"/>
  <c r="C130"/>
  <c r="C132"/>
  <c r="C135"/>
  <c r="C138"/>
  <c r="C137"/>
  <c r="C131"/>
  <c r="C137" i="78"/>
  <c r="C131"/>
  <c r="C132"/>
  <c r="C134"/>
  <c r="C133"/>
  <c r="C138"/>
  <c r="C130"/>
  <c r="C136"/>
  <c r="C135"/>
  <c r="C129"/>
  <c r="C139"/>
  <c r="K48" i="57"/>
  <c r="K59"/>
  <c r="K58"/>
  <c r="K61"/>
  <c r="K63"/>
  <c r="K50"/>
  <c r="I58" i="39"/>
  <c r="I80"/>
  <c r="B67"/>
  <c r="B78"/>
  <c r="I55"/>
  <c r="I82"/>
  <c r="B69"/>
  <c r="B79"/>
  <c r="B82"/>
  <c r="I67"/>
  <c r="I61"/>
  <c r="B81"/>
  <c r="I66"/>
  <c r="B72"/>
  <c r="I58" i="42"/>
  <c r="I80"/>
  <c r="B78"/>
  <c r="I71"/>
  <c r="I57"/>
  <c r="I74"/>
  <c r="B80"/>
  <c r="I73"/>
  <c r="I60"/>
  <c r="B75"/>
  <c r="I55"/>
  <c r="B81"/>
  <c r="I77"/>
  <c r="I64"/>
  <c r="B207" i="60"/>
  <c r="AG226"/>
  <c r="AK226"/>
  <c r="B211"/>
  <c r="C206" i="51"/>
  <c r="AF227"/>
  <c r="C219"/>
  <c r="AS227"/>
  <c r="C220"/>
  <c r="AT227"/>
  <c r="D149" i="101"/>
  <c r="H150" s="1"/>
  <c r="H228"/>
  <c r="L179" i="86"/>
  <c r="F133"/>
  <c r="C103"/>
  <c r="C106"/>
  <c r="C102"/>
  <c r="C104"/>
  <c r="C107"/>
  <c r="C108"/>
  <c r="C99"/>
  <c r="C101"/>
  <c r="C100"/>
  <c r="C105"/>
  <c r="B110" i="97"/>
  <c r="B84"/>
  <c r="B32"/>
  <c r="B58"/>
  <c r="I60" i="78"/>
  <c r="B47"/>
  <c r="I58"/>
  <c r="I49"/>
  <c r="B60"/>
  <c r="I48"/>
  <c r="B53"/>
  <c r="I55"/>
  <c r="B64"/>
  <c r="I45"/>
  <c r="I62"/>
  <c r="I61"/>
  <c r="I43"/>
  <c r="I47"/>
  <c r="B56"/>
  <c r="I37"/>
  <c r="I38"/>
  <c r="I56"/>
  <c r="B61"/>
  <c r="B54"/>
  <c r="B51"/>
  <c r="I63"/>
  <c r="I42"/>
  <c r="I52"/>
  <c r="I39"/>
  <c r="I50"/>
  <c r="B50"/>
  <c r="B63"/>
  <c r="B58"/>
  <c r="I36"/>
  <c r="B52"/>
  <c r="I41"/>
  <c r="I44"/>
  <c r="I40"/>
  <c r="I46"/>
  <c r="I64"/>
  <c r="I51"/>
  <c r="I54"/>
  <c r="I53"/>
  <c r="I59"/>
  <c r="B55"/>
  <c r="I57"/>
  <c r="B62"/>
  <c r="B49"/>
  <c r="B59"/>
  <c r="B57"/>
  <c r="B48"/>
  <c r="F133" i="87"/>
  <c r="L179"/>
  <c r="E37"/>
  <c r="E38"/>
  <c r="AT227" i="57"/>
  <c r="C220"/>
  <c r="AM227"/>
  <c r="C213"/>
  <c r="AR227"/>
  <c r="C218"/>
  <c r="AH227"/>
  <c r="C208"/>
  <c r="AI227"/>
  <c r="C209"/>
  <c r="C207" i="48"/>
  <c r="AG227"/>
  <c r="C210"/>
  <c r="AJ227"/>
  <c r="AU227"/>
  <c r="C221"/>
  <c r="AM227"/>
  <c r="C213"/>
  <c r="J92" i="101"/>
  <c r="H93"/>
  <c r="D124"/>
  <c r="H125" s="1"/>
  <c r="F229"/>
  <c r="AK182" i="78"/>
  <c r="B175"/>
  <c r="AH182"/>
  <c r="B172"/>
  <c r="B54" i="81"/>
  <c r="B53"/>
  <c r="B59"/>
  <c r="I45"/>
  <c r="I36"/>
  <c r="I58"/>
  <c r="I60"/>
  <c r="I51"/>
  <c r="B63"/>
  <c r="I54"/>
  <c r="I64"/>
  <c r="B47"/>
  <c r="I47"/>
  <c r="I42"/>
  <c r="I57"/>
  <c r="I63"/>
  <c r="B50"/>
  <c r="I44"/>
  <c r="B55"/>
  <c r="I46"/>
  <c r="I56"/>
  <c r="B49"/>
  <c r="B60"/>
  <c r="I41"/>
  <c r="B51"/>
  <c r="I37"/>
  <c r="B61"/>
  <c r="B48"/>
  <c r="I52"/>
  <c r="I43"/>
  <c r="I38"/>
  <c r="I48"/>
  <c r="I40"/>
  <c r="I39"/>
  <c r="I62"/>
  <c r="I53"/>
  <c r="B64"/>
  <c r="I49"/>
  <c r="I55"/>
  <c r="I50"/>
  <c r="B56"/>
  <c r="B58"/>
  <c r="I61"/>
  <c r="I59"/>
  <c r="B52"/>
  <c r="B62"/>
  <c r="B57"/>
  <c r="C61" i="91"/>
  <c r="I63" i="36"/>
  <c r="B81"/>
  <c r="I78"/>
  <c r="I49"/>
  <c r="I57"/>
  <c r="I54"/>
  <c r="B66"/>
  <c r="I62"/>
  <c r="B65"/>
  <c r="B75"/>
  <c r="I51"/>
  <c r="B77"/>
  <c r="B72"/>
  <c r="I48"/>
  <c r="B74"/>
  <c r="I71"/>
  <c r="B82"/>
  <c r="I81"/>
  <c r="I66"/>
  <c r="B79"/>
  <c r="I74"/>
  <c r="I50"/>
  <c r="I69"/>
  <c r="B73"/>
  <c r="B70"/>
  <c r="I45"/>
  <c r="B80"/>
  <c r="I56"/>
  <c r="I58"/>
  <c r="I72"/>
  <c r="B71"/>
  <c r="I80"/>
  <c r="I59"/>
  <c r="I47"/>
  <c r="I67"/>
  <c r="I55"/>
  <c r="I82"/>
  <c r="I73"/>
  <c r="I46"/>
  <c r="B78"/>
  <c r="I53"/>
  <c r="B69"/>
  <c r="I70"/>
  <c r="B68"/>
  <c r="I65"/>
  <c r="B76"/>
  <c r="I52"/>
  <c r="I68"/>
  <c r="I60"/>
  <c r="B67"/>
  <c r="I75"/>
  <c r="I79"/>
  <c r="I77"/>
  <c r="I64"/>
  <c r="I76"/>
  <c r="I61"/>
  <c r="C165" i="42"/>
  <c r="C166"/>
  <c r="C171"/>
  <c r="C167"/>
  <c r="C168"/>
  <c r="C170"/>
  <c r="C175"/>
  <c r="C176"/>
  <c r="C172"/>
  <c r="C169"/>
  <c r="C180"/>
  <c r="C177"/>
  <c r="C173"/>
  <c r="C174"/>
  <c r="C179"/>
  <c r="C181"/>
  <c r="C182"/>
  <c r="C178"/>
  <c r="C183"/>
  <c r="C184"/>
  <c r="C118" i="101"/>
  <c r="G119" s="1"/>
  <c r="E223"/>
  <c r="F133" i="85"/>
  <c r="N179"/>
  <c r="E38" i="84"/>
  <c r="E37"/>
  <c r="AP227" i="45"/>
  <c r="C216"/>
  <c r="C211"/>
  <c r="AK227"/>
  <c r="C214"/>
  <c r="AN227"/>
  <c r="C213"/>
  <c r="AM227"/>
  <c r="I36" i="80"/>
  <c r="I51"/>
  <c r="B55"/>
  <c r="B64"/>
  <c r="B50"/>
  <c r="I52"/>
  <c r="I47"/>
  <c r="I46"/>
  <c r="I64"/>
  <c r="I55"/>
  <c r="I38"/>
  <c r="I56"/>
  <c r="I57"/>
  <c r="B61"/>
  <c r="B47"/>
  <c r="B56"/>
  <c r="I58"/>
  <c r="I45"/>
  <c r="B49"/>
  <c r="B60"/>
  <c r="I48"/>
  <c r="B57"/>
  <c r="B52"/>
  <c r="I41"/>
  <c r="I49"/>
  <c r="B53"/>
  <c r="I39"/>
  <c r="B48"/>
  <c r="I50"/>
  <c r="I37"/>
  <c r="I61"/>
  <c r="B51"/>
  <c r="B62"/>
  <c r="I40"/>
  <c r="B59"/>
  <c r="B54"/>
  <c r="I44"/>
  <c r="I59"/>
  <c r="B63"/>
  <c r="I42"/>
  <c r="B58"/>
  <c r="I60"/>
  <c r="I63"/>
  <c r="I62"/>
  <c r="I53"/>
  <c r="I43"/>
  <c r="I54"/>
  <c r="B163" i="85"/>
  <c r="Y182"/>
  <c r="B166"/>
  <c r="AB182"/>
  <c r="B170"/>
  <c r="AF182"/>
  <c r="AJ182"/>
  <c r="B174"/>
  <c r="AM182"/>
  <c r="B177"/>
  <c r="AL182"/>
  <c r="B176"/>
  <c r="B164"/>
  <c r="Z182"/>
  <c r="X182"/>
  <c r="B162"/>
  <c r="AA182"/>
  <c r="B165"/>
  <c r="C87" i="101"/>
  <c r="G88" s="1"/>
  <c r="C218"/>
  <c r="I53" i="82"/>
  <c r="B57"/>
  <c r="I56"/>
  <c r="B60"/>
  <c r="I62"/>
  <c r="I60"/>
  <c r="I44"/>
  <c r="I52"/>
  <c r="B58"/>
  <c r="I36"/>
  <c r="B59"/>
  <c r="B50"/>
  <c r="I47"/>
  <c r="I41"/>
  <c r="I54"/>
  <c r="I64"/>
  <c r="I59"/>
  <c r="I58"/>
  <c r="B53"/>
  <c r="B64"/>
  <c r="B49"/>
  <c r="I39"/>
  <c r="I46"/>
  <c r="B51"/>
  <c r="B61"/>
  <c r="I42"/>
  <c r="I49"/>
  <c r="B48"/>
  <c r="I48"/>
  <c r="I40"/>
  <c r="I63"/>
  <c r="I38"/>
  <c r="B62"/>
  <c r="I57"/>
  <c r="B56"/>
  <c r="B47"/>
  <c r="I43"/>
  <c r="I37"/>
  <c r="I61"/>
  <c r="I55"/>
  <c r="B52"/>
  <c r="B54"/>
  <c r="B63"/>
  <c r="B55"/>
  <c r="I45"/>
  <c r="I51"/>
  <c r="I50"/>
  <c r="B156" i="92"/>
  <c r="E8"/>
  <c r="O154"/>
  <c r="F113"/>
  <c r="B84" i="94"/>
  <c r="B58"/>
  <c r="C58" s="1"/>
  <c r="B110"/>
  <c r="M154" s="1"/>
  <c r="B32"/>
  <c r="E33" s="1"/>
  <c r="I5" i="93"/>
  <c r="B20"/>
  <c r="I12"/>
  <c r="B22"/>
  <c r="B19"/>
  <c r="I14"/>
  <c r="B16"/>
  <c r="B21"/>
  <c r="B27"/>
  <c r="I6"/>
  <c r="I13"/>
  <c r="I23"/>
  <c r="B13"/>
  <c r="I7"/>
  <c r="I26"/>
  <c r="I27"/>
  <c r="I20"/>
  <c r="B18"/>
  <c r="B15"/>
  <c r="I15"/>
  <c r="I24"/>
  <c r="B14"/>
  <c r="I10"/>
  <c r="I19"/>
  <c r="I8"/>
  <c r="I22"/>
  <c r="I21"/>
  <c r="B28"/>
  <c r="B17"/>
  <c r="I25"/>
  <c r="I11"/>
  <c r="I16"/>
  <c r="B26"/>
  <c r="I9"/>
  <c r="B12"/>
  <c r="I28"/>
  <c r="I17"/>
  <c r="B23"/>
  <c r="B24"/>
  <c r="B25"/>
  <c r="B11"/>
  <c r="I18"/>
  <c r="K55" i="57"/>
  <c r="K54"/>
  <c r="I4" i="85"/>
  <c r="I70" i="39"/>
  <c r="B76"/>
  <c r="I62"/>
  <c r="I48"/>
  <c r="B71"/>
  <c r="B74"/>
  <c r="I59"/>
  <c r="I73"/>
  <c r="I60"/>
  <c r="I46"/>
  <c r="I68"/>
  <c r="I71"/>
  <c r="I57"/>
  <c r="I45"/>
  <c r="I70" i="42"/>
  <c r="B76"/>
  <c r="I54"/>
  <c r="I76"/>
  <c r="B71"/>
  <c r="I67"/>
  <c r="I53"/>
  <c r="I47"/>
  <c r="B73"/>
  <c r="I69"/>
  <c r="I56"/>
  <c r="B74"/>
  <c r="I51"/>
  <c r="B77"/>
  <c r="E7" i="36"/>
  <c r="B226"/>
  <c r="AM226" i="60"/>
  <c r="B213"/>
  <c r="C214" i="51"/>
  <c r="AN227"/>
  <c r="AN226" i="60"/>
  <c r="B214"/>
  <c r="C213" i="51"/>
  <c r="AM227"/>
  <c r="E38" i="83"/>
  <c r="E37"/>
  <c r="D153" i="101"/>
  <c r="H232"/>
  <c r="D86"/>
  <c r="D217"/>
  <c r="I77" i="85"/>
  <c r="I83"/>
  <c r="I70"/>
  <c r="I94"/>
  <c r="B78"/>
  <c r="I86"/>
  <c r="B89"/>
  <c r="B92"/>
  <c r="I91"/>
  <c r="I95"/>
  <c r="B95"/>
  <c r="I72"/>
  <c r="B87"/>
  <c r="B86"/>
  <c r="I93"/>
  <c r="I75"/>
  <c r="I80"/>
  <c r="I71"/>
  <c r="I92"/>
  <c r="I68"/>
  <c r="I74"/>
  <c r="B85"/>
  <c r="B94"/>
  <c r="I84"/>
  <c r="B93"/>
  <c r="I90"/>
  <c r="I89"/>
  <c r="I88"/>
  <c r="I81"/>
  <c r="B84"/>
  <c r="B80"/>
  <c r="B82"/>
  <c r="B83"/>
  <c r="I69"/>
  <c r="I82"/>
  <c r="B88"/>
  <c r="I78"/>
  <c r="I67"/>
  <c r="I87"/>
  <c r="B79"/>
  <c r="I79"/>
  <c r="B90"/>
  <c r="B91"/>
  <c r="I73"/>
  <c r="B81"/>
  <c r="I76"/>
  <c r="I85"/>
  <c r="E32" i="94"/>
  <c r="I16" i="87"/>
  <c r="I27"/>
  <c r="B29"/>
  <c r="I8"/>
  <c r="B26"/>
  <c r="I26"/>
  <c r="B20"/>
  <c r="I11"/>
  <c r="B30"/>
  <c r="B28"/>
  <c r="B23"/>
  <c r="I20"/>
  <c r="I19"/>
  <c r="B16"/>
  <c r="I30"/>
  <c r="B18"/>
  <c r="I7"/>
  <c r="B25"/>
  <c r="I32"/>
  <c r="I33"/>
  <c r="B17"/>
  <c r="B21"/>
  <c r="I25"/>
  <c r="B32"/>
  <c r="I24"/>
  <c r="B31"/>
  <c r="I29"/>
  <c r="B19"/>
  <c r="I28"/>
  <c r="I31"/>
  <c r="I17"/>
  <c r="I9"/>
  <c r="I14"/>
  <c r="B33"/>
  <c r="I12"/>
  <c r="B24"/>
  <c r="I10"/>
  <c r="I15"/>
  <c r="I21"/>
  <c r="I5"/>
  <c r="I13"/>
  <c r="I6"/>
  <c r="I22"/>
  <c r="B27"/>
  <c r="I23"/>
  <c r="B22"/>
  <c r="I18"/>
  <c r="AL227" i="57"/>
  <c r="C212"/>
  <c r="AN227"/>
  <c r="C214"/>
  <c r="K45"/>
  <c r="I44"/>
  <c r="C211"/>
  <c r="AK227"/>
  <c r="C217"/>
  <c r="AQ227"/>
  <c r="D123" i="101"/>
  <c r="H124" s="1"/>
  <c r="F228"/>
  <c r="AL227" i="48"/>
  <c r="C212"/>
  <c r="C209"/>
  <c r="AI227"/>
  <c r="C220"/>
  <c r="AT227"/>
  <c r="AO227"/>
  <c r="C215"/>
  <c r="D148" i="101"/>
  <c r="H149" s="1"/>
  <c r="H227"/>
  <c r="C142"/>
  <c r="G143" s="1"/>
  <c r="G221"/>
  <c r="F166" i="51"/>
  <c r="F165"/>
  <c r="C170" i="101"/>
  <c r="G171" s="1"/>
  <c r="I223"/>
  <c r="C62" i="95"/>
  <c r="F58"/>
  <c r="B112"/>
  <c r="O154" s="1"/>
  <c r="B86"/>
  <c r="C86" s="1"/>
  <c r="B34"/>
  <c r="B60"/>
  <c r="C60" s="1"/>
  <c r="B176" i="78"/>
  <c r="AL182"/>
  <c r="B163"/>
  <c r="Y182"/>
  <c r="B169"/>
  <c r="AE182"/>
  <c r="B166"/>
  <c r="AB182"/>
  <c r="B177"/>
  <c r="AM182"/>
  <c r="AD182"/>
  <c r="B168"/>
  <c r="B174"/>
  <c r="AJ182"/>
  <c r="E33" i="91"/>
  <c r="E32"/>
  <c r="I52" i="79"/>
  <c r="I39"/>
  <c r="I50"/>
  <c r="I60"/>
  <c r="B52"/>
  <c r="I41"/>
  <c r="I44"/>
  <c r="I47"/>
  <c r="B56"/>
  <c r="I37"/>
  <c r="I54"/>
  <c r="I53"/>
  <c r="I59"/>
  <c r="B57"/>
  <c r="B48"/>
  <c r="B60"/>
  <c r="I48"/>
  <c r="B53"/>
  <c r="I61"/>
  <c r="I55"/>
  <c r="B64"/>
  <c r="I45"/>
  <c r="B62"/>
  <c r="B49"/>
  <c r="B59"/>
  <c r="B47"/>
  <c r="I49"/>
  <c r="B55"/>
  <c r="B50"/>
  <c r="I57"/>
  <c r="I63"/>
  <c r="I42"/>
  <c r="I62"/>
  <c r="I43"/>
  <c r="I38"/>
  <c r="I56"/>
  <c r="B61"/>
  <c r="B63"/>
  <c r="B58"/>
  <c r="I36"/>
  <c r="I58"/>
  <c r="B54"/>
  <c r="I40"/>
  <c r="B51"/>
  <c r="I46"/>
  <c r="I64"/>
  <c r="I51"/>
  <c r="C127" i="101"/>
  <c r="G128" s="1"/>
  <c r="E232"/>
  <c r="D120"/>
  <c r="H121" s="1"/>
  <c r="F225"/>
  <c r="B60" i="97"/>
  <c r="C60" s="1"/>
  <c r="B86"/>
  <c r="C86" s="1"/>
  <c r="B34"/>
  <c r="B112"/>
  <c r="O154" s="1"/>
  <c r="B181" i="84"/>
  <c r="E8"/>
  <c r="AF227" i="45"/>
  <c r="C206"/>
  <c r="C210"/>
  <c r="AJ227"/>
  <c r="AI227"/>
  <c r="C209"/>
  <c r="C207"/>
  <c r="AG227"/>
  <c r="AG182" i="85"/>
  <c r="B171"/>
  <c r="B169"/>
  <c r="AE182"/>
  <c r="B172"/>
  <c r="AH182"/>
  <c r="B161"/>
  <c r="W179"/>
  <c r="W182"/>
  <c r="C166" i="101"/>
  <c r="G167" s="1"/>
  <c r="I219"/>
  <c r="I67" i="78"/>
  <c r="B91"/>
  <c r="I84"/>
  <c r="I81"/>
  <c r="B83"/>
  <c r="I92"/>
  <c r="I73"/>
  <c r="I87"/>
  <c r="I70"/>
  <c r="B88"/>
  <c r="I95"/>
  <c r="I78"/>
  <c r="I80"/>
  <c r="B82"/>
  <c r="B79"/>
  <c r="I72"/>
  <c r="B90"/>
  <c r="I89"/>
  <c r="B85"/>
  <c r="I86"/>
  <c r="I75"/>
  <c r="B93"/>
  <c r="I94"/>
  <c r="B78"/>
  <c r="I77"/>
  <c r="B95"/>
  <c r="I88"/>
  <c r="I69"/>
  <c r="B87"/>
  <c r="I82"/>
  <c r="B84"/>
  <c r="I91"/>
  <c r="I74"/>
  <c r="B92"/>
  <c r="I83"/>
  <c r="B94"/>
  <c r="I93"/>
  <c r="I68"/>
  <c r="B86"/>
  <c r="I85"/>
  <c r="I76"/>
  <c r="B80"/>
  <c r="I71"/>
  <c r="B89"/>
  <c r="I90"/>
  <c r="I79"/>
  <c r="B81"/>
  <c r="C60" i="92"/>
  <c r="I56"/>
  <c r="D181" i="79"/>
  <c r="F70"/>
  <c r="E33" i="93"/>
  <c r="E32"/>
  <c r="I4" i="60"/>
  <c r="I44" i="48"/>
  <c r="B70" i="39"/>
  <c r="I47"/>
  <c r="I74"/>
  <c r="B80"/>
  <c r="I65"/>
  <c r="I52"/>
  <c r="B75"/>
  <c r="I53"/>
  <c r="B73"/>
  <c r="I77"/>
  <c r="I64"/>
  <c r="I50"/>
  <c r="I72"/>
  <c r="I63" i="42"/>
  <c r="I49"/>
  <c r="I66"/>
  <c r="B72"/>
  <c r="I65"/>
  <c r="I52"/>
  <c r="B67"/>
  <c r="I79"/>
  <c r="B66"/>
  <c r="I82"/>
  <c r="B69"/>
  <c r="I50"/>
  <c r="I72"/>
  <c r="D226" i="48" l="1"/>
  <c r="F87"/>
  <c r="AL228" i="57"/>
  <c r="D212"/>
  <c r="C111"/>
  <c r="D221"/>
  <c r="AU228"/>
  <c r="C120"/>
  <c r="C116"/>
  <c r="D217"/>
  <c r="AQ228"/>
  <c r="I81" i="82"/>
  <c r="B79"/>
  <c r="B95"/>
  <c r="I84"/>
  <c r="B82"/>
  <c r="I71"/>
  <c r="I87"/>
  <c r="B85"/>
  <c r="I68"/>
  <c r="I86"/>
  <c r="B84"/>
  <c r="I75"/>
  <c r="I89"/>
  <c r="B87"/>
  <c r="I72"/>
  <c r="I92"/>
  <c r="B90"/>
  <c r="I79"/>
  <c r="I95"/>
  <c r="B93"/>
  <c r="I78"/>
  <c r="I94"/>
  <c r="B92"/>
  <c r="B91"/>
  <c r="B94"/>
  <c r="I69"/>
  <c r="B80"/>
  <c r="I85"/>
  <c r="B83"/>
  <c r="I73"/>
  <c r="I88"/>
  <c r="B86"/>
  <c r="I70"/>
  <c r="I91"/>
  <c r="B89"/>
  <c r="I76"/>
  <c r="I90"/>
  <c r="B88"/>
  <c r="I74"/>
  <c r="I77"/>
  <c r="I93"/>
  <c r="I80"/>
  <c r="B78"/>
  <c r="I83"/>
  <c r="B81"/>
  <c r="I82"/>
  <c r="I67"/>
  <c r="I66" s="1"/>
  <c r="E33" i="89"/>
  <c r="E32"/>
  <c r="B169" i="82"/>
  <c r="AE182"/>
  <c r="AC182"/>
  <c r="B167"/>
  <c r="B170"/>
  <c r="AF182"/>
  <c r="AN182"/>
  <c r="B178"/>
  <c r="B226" i="54"/>
  <c r="E7"/>
  <c r="E104" i="81"/>
  <c r="D105"/>
  <c r="C83" i="79"/>
  <c r="D166"/>
  <c r="AB184"/>
  <c r="AC184"/>
  <c r="D167"/>
  <c r="C84"/>
  <c r="AM184"/>
  <c r="D177"/>
  <c r="C94"/>
  <c r="D108" i="84"/>
  <c r="E107"/>
  <c r="Z182" i="81"/>
  <c r="B164"/>
  <c r="B178"/>
  <c r="AN182"/>
  <c r="AD182"/>
  <c r="B168"/>
  <c r="AE182"/>
  <c r="B169"/>
  <c r="X182"/>
  <c r="B162"/>
  <c r="B163"/>
  <c r="Y182"/>
  <c r="E130" i="51"/>
  <c r="D131"/>
  <c r="D162" i="83"/>
  <c r="X184"/>
  <c r="C79"/>
  <c r="D168"/>
  <c r="AD184"/>
  <c r="C85"/>
  <c r="B109"/>
  <c r="I99"/>
  <c r="B118"/>
  <c r="I115"/>
  <c r="I114"/>
  <c r="B113"/>
  <c r="I112"/>
  <c r="I106"/>
  <c r="B116"/>
  <c r="B125"/>
  <c r="I113"/>
  <c r="B115"/>
  <c r="I122"/>
  <c r="I104"/>
  <c r="I107"/>
  <c r="B121"/>
  <c r="I111"/>
  <c r="B112"/>
  <c r="I108"/>
  <c r="I125"/>
  <c r="B111"/>
  <c r="I126"/>
  <c r="I102"/>
  <c r="B114"/>
  <c r="I105"/>
  <c r="I120"/>
  <c r="B110"/>
  <c r="I98"/>
  <c r="I97" s="1"/>
  <c r="G102" s="1"/>
  <c r="I123"/>
  <c r="I124"/>
  <c r="B122"/>
  <c r="I119"/>
  <c r="I116"/>
  <c r="B117"/>
  <c r="I117"/>
  <c r="I118"/>
  <c r="B120"/>
  <c r="I100"/>
  <c r="I103"/>
  <c r="B119"/>
  <c r="I121"/>
  <c r="I101"/>
  <c r="B124"/>
  <c r="I109"/>
  <c r="B123"/>
  <c r="B126"/>
  <c r="I110"/>
  <c r="AV228" i="54"/>
  <c r="C121"/>
  <c r="D222"/>
  <c r="D206"/>
  <c r="C105"/>
  <c r="AF228"/>
  <c r="D215"/>
  <c r="C114"/>
  <c r="AO228"/>
  <c r="D208"/>
  <c r="AH228"/>
  <c r="C107"/>
  <c r="D213"/>
  <c r="C112"/>
  <c r="AM228"/>
  <c r="I8" i="91"/>
  <c r="I16"/>
  <c r="I24"/>
  <c r="B12"/>
  <c r="B20"/>
  <c r="B28"/>
  <c r="I14"/>
  <c r="I22"/>
  <c r="I9"/>
  <c r="B18"/>
  <c r="B26"/>
  <c r="B15"/>
  <c r="B23"/>
  <c r="I7"/>
  <c r="I17"/>
  <c r="I25"/>
  <c r="B13"/>
  <c r="B21"/>
  <c r="I5"/>
  <c r="I15"/>
  <c r="I23"/>
  <c r="I12"/>
  <c r="I20"/>
  <c r="I28"/>
  <c r="B16"/>
  <c r="B24"/>
  <c r="I10"/>
  <c r="I18"/>
  <c r="I26"/>
  <c r="B14"/>
  <c r="B22"/>
  <c r="B11"/>
  <c r="B19"/>
  <c r="B27"/>
  <c r="I13"/>
  <c r="I21"/>
  <c r="I6"/>
  <c r="B17"/>
  <c r="B25"/>
  <c r="I11"/>
  <c r="I19"/>
  <c r="I27"/>
  <c r="B168" i="80"/>
  <c r="AD182"/>
  <c r="Y182"/>
  <c r="B163"/>
  <c r="AH182"/>
  <c r="B172"/>
  <c r="B177"/>
  <c r="AM182"/>
  <c r="C137"/>
  <c r="C136"/>
  <c r="C129"/>
  <c r="C139"/>
  <c r="C138"/>
  <c r="C134"/>
  <c r="C133"/>
  <c r="C130"/>
  <c r="C131"/>
  <c r="C132"/>
  <c r="C135"/>
  <c r="C116" i="45"/>
  <c r="AQ228"/>
  <c r="D217"/>
  <c r="D210"/>
  <c r="AJ228"/>
  <c r="C109"/>
  <c r="C118"/>
  <c r="AS228"/>
  <c r="D219"/>
  <c r="C107"/>
  <c r="AH228"/>
  <c r="D208"/>
  <c r="G38" i="119"/>
  <c r="G34"/>
  <c r="I84" i="57"/>
  <c r="I4" i="82"/>
  <c r="E32" i="90"/>
  <c r="I81" i="81"/>
  <c r="I95"/>
  <c r="B82"/>
  <c r="I87"/>
  <c r="B80"/>
  <c r="B88"/>
  <c r="I92"/>
  <c r="B85"/>
  <c r="B93"/>
  <c r="I76"/>
  <c r="I89"/>
  <c r="I84" i="54"/>
  <c r="E33" i="90"/>
  <c r="AJ228" i="57"/>
  <c r="D210"/>
  <c r="C109"/>
  <c r="D219"/>
  <c r="AS228"/>
  <c r="C118"/>
  <c r="C117"/>
  <c r="D218"/>
  <c r="AR228"/>
  <c r="AK228"/>
  <c r="C110"/>
  <c r="D211"/>
  <c r="D214"/>
  <c r="C113"/>
  <c r="AN228"/>
  <c r="C106"/>
  <c r="AG228"/>
  <c r="D207"/>
  <c r="I92" i="80"/>
  <c r="B90"/>
  <c r="I77"/>
  <c r="B80"/>
  <c r="I72"/>
  <c r="B79"/>
  <c r="I71"/>
  <c r="I90"/>
  <c r="B93"/>
  <c r="I83"/>
  <c r="B87"/>
  <c r="I84"/>
  <c r="B82"/>
  <c r="I69"/>
  <c r="I87"/>
  <c r="B91"/>
  <c r="I86"/>
  <c r="B89"/>
  <c r="I79"/>
  <c r="B83"/>
  <c r="I75"/>
  <c r="I94"/>
  <c r="I68"/>
  <c r="I80"/>
  <c r="B78"/>
  <c r="B94"/>
  <c r="I82"/>
  <c r="B85"/>
  <c r="I81"/>
  <c r="B84"/>
  <c r="I76"/>
  <c r="I95"/>
  <c r="I70"/>
  <c r="I89"/>
  <c r="B92"/>
  <c r="I88"/>
  <c r="I67"/>
  <c r="B88"/>
  <c r="I93"/>
  <c r="I85"/>
  <c r="I74"/>
  <c r="I73"/>
  <c r="B95"/>
  <c r="B81"/>
  <c r="B86"/>
  <c r="I91"/>
  <c r="I78"/>
  <c r="D131" i="60"/>
  <c r="E130"/>
  <c r="D89" i="90"/>
  <c r="D90" s="1"/>
  <c r="D91" s="1"/>
  <c r="D92" s="1"/>
  <c r="D93" s="1"/>
  <c r="D94" s="1"/>
  <c r="D95" s="1"/>
  <c r="D96" s="1"/>
  <c r="D97" s="1"/>
  <c r="D98" s="1"/>
  <c r="D99" s="1"/>
  <c r="D100" s="1"/>
  <c r="D101" s="1"/>
  <c r="D102" s="1"/>
  <c r="D103" s="1"/>
  <c r="D104" s="1"/>
  <c r="D105" s="1"/>
  <c r="D106" s="1"/>
  <c r="E88"/>
  <c r="B175" i="82"/>
  <c r="AK182"/>
  <c r="AJ182"/>
  <c r="B174"/>
  <c r="X182"/>
  <c r="B162"/>
  <c r="C78" i="79"/>
  <c r="W184"/>
  <c r="D161"/>
  <c r="C85"/>
  <c r="D168"/>
  <c r="AD184"/>
  <c r="D170"/>
  <c r="AF184"/>
  <c r="C87"/>
  <c r="D171"/>
  <c r="AG184"/>
  <c r="C88"/>
  <c r="AA184"/>
  <c r="D165"/>
  <c r="C82"/>
  <c r="D162" i="81"/>
  <c r="X184"/>
  <c r="C79"/>
  <c r="C83"/>
  <c r="D166"/>
  <c r="AB184"/>
  <c r="C87"/>
  <c r="AF184"/>
  <c r="D170"/>
  <c r="AI184"/>
  <c r="D173"/>
  <c r="C90"/>
  <c r="W179"/>
  <c r="W182"/>
  <c r="B161"/>
  <c r="B174"/>
  <c r="AJ182"/>
  <c r="AB182"/>
  <c r="B166"/>
  <c r="B226" i="57"/>
  <c r="E7"/>
  <c r="C87" i="83"/>
  <c r="D170"/>
  <c r="AF184"/>
  <c r="Z184"/>
  <c r="C81"/>
  <c r="D164"/>
  <c r="AJ184"/>
  <c r="C91"/>
  <c r="D174"/>
  <c r="D172"/>
  <c r="AH184"/>
  <c r="C89"/>
  <c r="AN184"/>
  <c r="D178"/>
  <c r="C95"/>
  <c r="C93"/>
  <c r="D176"/>
  <c r="AL184"/>
  <c r="AA184"/>
  <c r="D165"/>
  <c r="C82"/>
  <c r="D163"/>
  <c r="Y184"/>
  <c r="C80"/>
  <c r="AJ228" i="54"/>
  <c r="D210"/>
  <c r="C109"/>
  <c r="C118"/>
  <c r="AS228"/>
  <c r="D219"/>
  <c r="D212"/>
  <c r="AL228"/>
  <c r="C111"/>
  <c r="C116"/>
  <c r="AQ228"/>
  <c r="D217"/>
  <c r="M154" i="90"/>
  <c r="F113"/>
  <c r="B176" i="80"/>
  <c r="AL182"/>
  <c r="B161"/>
  <c r="W179"/>
  <c r="W182"/>
  <c r="B171"/>
  <c r="AG182"/>
  <c r="X182"/>
  <c r="B162"/>
  <c r="B167"/>
  <c r="AC182"/>
  <c r="AU228" i="45"/>
  <c r="D221"/>
  <c r="C120"/>
  <c r="AN228"/>
  <c r="C113"/>
  <c r="D214"/>
  <c r="AW228"/>
  <c r="C122"/>
  <c r="D223"/>
  <c r="AG228"/>
  <c r="D207"/>
  <c r="C106"/>
  <c r="AL228"/>
  <c r="D212"/>
  <c r="C111"/>
  <c r="I66" i="81"/>
  <c r="B226" i="63"/>
  <c r="E7"/>
  <c r="B181" i="79"/>
  <c r="E8"/>
  <c r="D220" i="57"/>
  <c r="C119"/>
  <c r="AT228"/>
  <c r="AM228"/>
  <c r="D213"/>
  <c r="C112"/>
  <c r="D206"/>
  <c r="C105"/>
  <c r="AF228"/>
  <c r="C122"/>
  <c r="D223"/>
  <c r="AW228"/>
  <c r="D216"/>
  <c r="C115"/>
  <c r="AP228"/>
  <c r="C108"/>
  <c r="D209"/>
  <c r="AI228"/>
  <c r="C61" i="89"/>
  <c r="I56"/>
  <c r="B166" i="82"/>
  <c r="AB182"/>
  <c r="B168"/>
  <c r="AD182"/>
  <c r="AI182"/>
  <c r="B173"/>
  <c r="Z182"/>
  <c r="B164"/>
  <c r="AA182"/>
  <c r="B165"/>
  <c r="C89" i="79"/>
  <c r="D172"/>
  <c r="AH184"/>
  <c r="AL184"/>
  <c r="C93"/>
  <c r="D176"/>
  <c r="Z184"/>
  <c r="D164"/>
  <c r="C81"/>
  <c r="D174"/>
  <c r="AJ184"/>
  <c r="C91"/>
  <c r="C92"/>
  <c r="D175"/>
  <c r="AK184"/>
  <c r="AE184"/>
  <c r="D169"/>
  <c r="C86"/>
  <c r="B11" i="90"/>
  <c r="I21"/>
  <c r="I11"/>
  <c r="I16"/>
  <c r="B28"/>
  <c r="B18"/>
  <c r="I7"/>
  <c r="B21"/>
  <c r="I20"/>
  <c r="B24"/>
  <c r="I28"/>
  <c r="B27"/>
  <c r="B17"/>
  <c r="I27"/>
  <c r="B12"/>
  <c r="I22"/>
  <c r="B15"/>
  <c r="I25"/>
  <c r="I15"/>
  <c r="B22"/>
  <c r="B16"/>
  <c r="B19"/>
  <c r="I6"/>
  <c r="I4" s="1"/>
  <c r="I19"/>
  <c r="I24"/>
  <c r="I14"/>
  <c r="B26"/>
  <c r="I17"/>
  <c r="I5"/>
  <c r="I10"/>
  <c r="B14"/>
  <c r="I18"/>
  <c r="I13"/>
  <c r="I9"/>
  <c r="I12"/>
  <c r="B20"/>
  <c r="I23"/>
  <c r="I8"/>
  <c r="B13"/>
  <c r="B25"/>
  <c r="B23"/>
  <c r="I26"/>
  <c r="E130" i="54"/>
  <c r="D131"/>
  <c r="C81" i="81"/>
  <c r="D164"/>
  <c r="Z184"/>
  <c r="AN184"/>
  <c r="D178"/>
  <c r="C95"/>
  <c r="AE184"/>
  <c r="C86"/>
  <c r="D169"/>
  <c r="C78"/>
  <c r="D161"/>
  <c r="W184"/>
  <c r="D175"/>
  <c r="C92"/>
  <c r="AK184"/>
  <c r="D174"/>
  <c r="AJ184"/>
  <c r="C91"/>
  <c r="AA182"/>
  <c r="B165"/>
  <c r="AL182"/>
  <c r="B176"/>
  <c r="AM182"/>
  <c r="B177"/>
  <c r="B170"/>
  <c r="AF182"/>
  <c r="C83" i="83"/>
  <c r="D166"/>
  <c r="AB184"/>
  <c r="C113" i="54"/>
  <c r="D214"/>
  <c r="AN228"/>
  <c r="D223"/>
  <c r="AW228"/>
  <c r="C122"/>
  <c r="AG228"/>
  <c r="D207"/>
  <c r="C106"/>
  <c r="AP228"/>
  <c r="C115"/>
  <c r="D216"/>
  <c r="AU228"/>
  <c r="D221"/>
  <c r="C120"/>
  <c r="C84" i="90"/>
  <c r="AB182" i="80"/>
  <c r="B166"/>
  <c r="B165"/>
  <c r="AA182"/>
  <c r="B170"/>
  <c r="AF182"/>
  <c r="AK182"/>
  <c r="B175"/>
  <c r="D209" i="45"/>
  <c r="C108"/>
  <c r="AI228"/>
  <c r="AR228"/>
  <c r="C117"/>
  <c r="D218"/>
  <c r="AK228"/>
  <c r="D211"/>
  <c r="C110"/>
  <c r="D216"/>
  <c r="C115"/>
  <c r="AP228"/>
  <c r="F165" i="36"/>
  <c r="H44" i="119"/>
  <c r="I4" i="80"/>
  <c r="I84" i="45"/>
  <c r="AV228" i="57"/>
  <c r="C121"/>
  <c r="D222"/>
  <c r="D215"/>
  <c r="AO228"/>
  <c r="C114"/>
  <c r="AH228"/>
  <c r="D208"/>
  <c r="C107"/>
  <c r="P154" i="89"/>
  <c r="F113"/>
  <c r="AL182" i="82"/>
  <c r="B176"/>
  <c r="B177"/>
  <c r="AM182"/>
  <c r="B161"/>
  <c r="W182"/>
  <c r="W179"/>
  <c r="B171"/>
  <c r="AG182"/>
  <c r="B163"/>
  <c r="Y182"/>
  <c r="B172"/>
  <c r="AH182"/>
  <c r="C95" i="79"/>
  <c r="AN184"/>
  <c r="D178"/>
  <c r="Y184"/>
  <c r="D163"/>
  <c r="C80"/>
  <c r="AI184"/>
  <c r="D173"/>
  <c r="C90"/>
  <c r="D162"/>
  <c r="X184"/>
  <c r="C79"/>
  <c r="C62" i="90"/>
  <c r="F58"/>
  <c r="G100" i="79"/>
  <c r="G103" s="1"/>
  <c r="G99"/>
  <c r="AH184" i="81"/>
  <c r="C89"/>
  <c r="D172"/>
  <c r="C94"/>
  <c r="AM184"/>
  <c r="D177"/>
  <c r="D167"/>
  <c r="AC184"/>
  <c r="C84"/>
  <c r="AH182"/>
  <c r="B172"/>
  <c r="B171"/>
  <c r="AG182"/>
  <c r="AK182"/>
  <c r="B175"/>
  <c r="B167"/>
  <c r="AC182"/>
  <c r="AI182"/>
  <c r="B173"/>
  <c r="W184" i="83"/>
  <c r="D161"/>
  <c r="C78"/>
  <c r="C88"/>
  <c r="D171"/>
  <c r="AG184"/>
  <c r="AE184"/>
  <c r="D169"/>
  <c r="C86"/>
  <c r="C92"/>
  <c r="D175"/>
  <c r="AK184"/>
  <c r="D173"/>
  <c r="C90"/>
  <c r="AI184"/>
  <c r="AM184"/>
  <c r="D177"/>
  <c r="C94"/>
  <c r="C84"/>
  <c r="D167"/>
  <c r="AC184"/>
  <c r="D218" i="54"/>
  <c r="AR228"/>
  <c r="C117"/>
  <c r="AK228"/>
  <c r="D211"/>
  <c r="C110"/>
  <c r="C119"/>
  <c r="D220"/>
  <c r="AT228"/>
  <c r="AI228"/>
  <c r="D209"/>
  <c r="C108"/>
  <c r="F58" i="91"/>
  <c r="C62"/>
  <c r="AJ182" i="80"/>
  <c r="B174"/>
  <c r="AI182"/>
  <c r="B173"/>
  <c r="AN182"/>
  <c r="B178"/>
  <c r="B164"/>
  <c r="Z182"/>
  <c r="AE182"/>
  <c r="B169"/>
  <c r="C112" i="45"/>
  <c r="AM228"/>
  <c r="D213"/>
  <c r="C121"/>
  <c r="D222"/>
  <c r="AV228"/>
  <c r="C105"/>
  <c r="D206"/>
  <c r="AF228"/>
  <c r="D215"/>
  <c r="C114"/>
  <c r="AO228"/>
  <c r="D220"/>
  <c r="C119"/>
  <c r="AT228"/>
  <c r="G43" i="119"/>
  <c r="I4" i="81"/>
  <c r="G46" i="119"/>
  <c r="G42"/>
  <c r="G35"/>
  <c r="C61" s="1"/>
  <c r="G62" s="1"/>
  <c r="G40"/>
  <c r="D89" i="91"/>
  <c r="D90" s="1"/>
  <c r="D91" s="1"/>
  <c r="D92" s="1"/>
  <c r="D93" s="1"/>
  <c r="D94" s="1"/>
  <c r="D95" s="1"/>
  <c r="D96" s="1"/>
  <c r="D97" s="1"/>
  <c r="D98" s="1"/>
  <c r="D99" s="1"/>
  <c r="D100" s="1"/>
  <c r="D101" s="1"/>
  <c r="D102" s="1"/>
  <c r="D103" s="1"/>
  <c r="D104" s="1"/>
  <c r="D105" s="1"/>
  <c r="D106" s="1"/>
  <c r="E88"/>
  <c r="C115" i="36"/>
  <c r="D216"/>
  <c r="AP228"/>
  <c r="C108"/>
  <c r="D209"/>
  <c r="AI228"/>
  <c r="AF228"/>
  <c r="D206"/>
  <c r="C105"/>
  <c r="C118"/>
  <c r="D219"/>
  <c r="AS228"/>
  <c r="AH228"/>
  <c r="C107"/>
  <c r="D208"/>
  <c r="C71" i="119"/>
  <c r="G72" s="1"/>
  <c r="C202"/>
  <c r="F87" i="63"/>
  <c r="D226"/>
  <c r="I228" i="101"/>
  <c r="C175"/>
  <c r="G176" s="1"/>
  <c r="I27" i="97"/>
  <c r="I17"/>
  <c r="I9"/>
  <c r="I20"/>
  <c r="I10"/>
  <c r="I15"/>
  <c r="B27"/>
  <c r="B17"/>
  <c r="B22"/>
  <c r="I24"/>
  <c r="I19"/>
  <c r="I7"/>
  <c r="B21"/>
  <c r="I12"/>
  <c r="B24"/>
  <c r="I5"/>
  <c r="B19"/>
  <c r="I6"/>
  <c r="B20"/>
  <c r="B14"/>
  <c r="B28"/>
  <c r="I11"/>
  <c r="B23"/>
  <c r="B13"/>
  <c r="B26"/>
  <c r="B16"/>
  <c r="I26"/>
  <c r="B11"/>
  <c r="I21"/>
  <c r="I8"/>
  <c r="I22"/>
  <c r="I16"/>
  <c r="B15"/>
  <c r="I25"/>
  <c r="B18"/>
  <c r="I28"/>
  <c r="I18"/>
  <c r="I23"/>
  <c r="I13"/>
  <c r="B25"/>
  <c r="B12"/>
  <c r="I14"/>
  <c r="F58"/>
  <c r="C57"/>
  <c r="F59"/>
  <c r="D165" i="84"/>
  <c r="C82"/>
  <c r="AA184"/>
  <c r="D166"/>
  <c r="AB184"/>
  <c r="C83"/>
  <c r="AD184"/>
  <c r="C85"/>
  <c r="D168"/>
  <c r="C196" i="119"/>
  <c r="C65"/>
  <c r="G66" s="1"/>
  <c r="C197"/>
  <c r="C66"/>
  <c r="G67" s="1"/>
  <c r="G32"/>
  <c r="K88" i="101"/>
  <c r="L88" s="1"/>
  <c r="C198" i="119"/>
  <c r="C67"/>
  <c r="G68" s="1"/>
  <c r="D31"/>
  <c r="D48"/>
  <c r="H49" s="1"/>
  <c r="J39"/>
  <c r="H40"/>
  <c r="H39"/>
  <c r="J38"/>
  <c r="D105" i="85"/>
  <c r="E104"/>
  <c r="D89" i="97"/>
  <c r="D90" s="1"/>
  <c r="D91" s="1"/>
  <c r="D92" s="1"/>
  <c r="D93" s="1"/>
  <c r="D94" s="1"/>
  <c r="D95" s="1"/>
  <c r="D96" s="1"/>
  <c r="D97" s="1"/>
  <c r="D98" s="1"/>
  <c r="D99" s="1"/>
  <c r="D100" s="1"/>
  <c r="D101" s="1"/>
  <c r="D102" s="1"/>
  <c r="D103" s="1"/>
  <c r="D104" s="1"/>
  <c r="D105" s="1"/>
  <c r="D106" s="1"/>
  <c r="E88"/>
  <c r="C192" i="119"/>
  <c r="H47"/>
  <c r="G100" i="82"/>
  <c r="G103" s="1"/>
  <c r="G36" i="119"/>
  <c r="D139" i="42"/>
  <c r="E138"/>
  <c r="D222" i="36"/>
  <c r="C121"/>
  <c r="AV228"/>
  <c r="AO228"/>
  <c r="C114"/>
  <c r="D215"/>
  <c r="D217"/>
  <c r="AQ228"/>
  <c r="C116"/>
  <c r="AN228"/>
  <c r="D214"/>
  <c r="C113"/>
  <c r="AG228"/>
  <c r="C106"/>
  <c r="D207"/>
  <c r="C64" i="119"/>
  <c r="G65" s="1"/>
  <c r="C195"/>
  <c r="E103" i="78"/>
  <c r="D104"/>
  <c r="E136" i="57"/>
  <c r="D137"/>
  <c r="C31" i="63"/>
  <c r="B30"/>
  <c r="I30"/>
  <c r="C87" i="84"/>
  <c r="D170"/>
  <c r="AF184"/>
  <c r="C81"/>
  <c r="D164"/>
  <c r="Z184"/>
  <c r="AG184"/>
  <c r="C88"/>
  <c r="D171"/>
  <c r="C86"/>
  <c r="AE184"/>
  <c r="D169"/>
  <c r="D176"/>
  <c r="C93"/>
  <c r="AL184"/>
  <c r="D137" i="45"/>
  <c r="E136"/>
  <c r="D115" i="101"/>
  <c r="F220"/>
  <c r="C88" i="96"/>
  <c r="C86"/>
  <c r="C87"/>
  <c r="C60" i="119"/>
  <c r="G61" s="1"/>
  <c r="C191"/>
  <c r="E104" i="87"/>
  <c r="D105"/>
  <c r="C62" i="96"/>
  <c r="F58"/>
  <c r="I14"/>
  <c r="I22"/>
  <c r="I9"/>
  <c r="B18"/>
  <c r="B26"/>
  <c r="I12"/>
  <c r="I20"/>
  <c r="I28"/>
  <c r="B16"/>
  <c r="B24"/>
  <c r="B13"/>
  <c r="B21"/>
  <c r="I5"/>
  <c r="I15"/>
  <c r="I23"/>
  <c r="B11"/>
  <c r="B19"/>
  <c r="B27"/>
  <c r="I13"/>
  <c r="I21"/>
  <c r="I10"/>
  <c r="I18"/>
  <c r="I26"/>
  <c r="B14"/>
  <c r="B22"/>
  <c r="I8"/>
  <c r="I16"/>
  <c r="I24"/>
  <c r="B12"/>
  <c r="B20"/>
  <c r="B28"/>
  <c r="I6"/>
  <c r="B17"/>
  <c r="B25"/>
  <c r="I11"/>
  <c r="I19"/>
  <c r="I27"/>
  <c r="B15"/>
  <c r="B23"/>
  <c r="I7"/>
  <c r="I17"/>
  <c r="I25"/>
  <c r="H38" i="119"/>
  <c r="J37"/>
  <c r="H37"/>
  <c r="J36"/>
  <c r="I4" i="94"/>
  <c r="I84" i="36"/>
  <c r="H46" i="119"/>
  <c r="H45"/>
  <c r="C8"/>
  <c r="C9"/>
  <c r="E130" i="63"/>
  <c r="D131"/>
  <c r="F223" i="101"/>
  <c r="D118"/>
  <c r="C119" i="36"/>
  <c r="D220"/>
  <c r="AT228"/>
  <c r="C112"/>
  <c r="D213"/>
  <c r="AM228"/>
  <c r="C122"/>
  <c r="AW228"/>
  <c r="D223"/>
  <c r="D212"/>
  <c r="AL228"/>
  <c r="C111"/>
  <c r="C194" i="119"/>
  <c r="C63"/>
  <c r="G64" s="1"/>
  <c r="X184" i="84"/>
  <c r="C79"/>
  <c r="D162"/>
  <c r="D163"/>
  <c r="C80"/>
  <c r="Y184"/>
  <c r="D177"/>
  <c r="C94"/>
  <c r="AM184"/>
  <c r="C204" i="119"/>
  <c r="C73"/>
  <c r="G74" s="1"/>
  <c r="G99" i="80"/>
  <c r="G100"/>
  <c r="G103" s="1"/>
  <c r="E134" i="39"/>
  <c r="D135"/>
  <c r="G58" i="101"/>
  <c r="C77"/>
  <c r="C57" i="96"/>
  <c r="F59"/>
  <c r="C190" i="119"/>
  <c r="C59"/>
  <c r="G60" s="1"/>
  <c r="C178" i="101"/>
  <c r="G179" s="1"/>
  <c r="I231"/>
  <c r="J35" i="119"/>
  <c r="H36"/>
  <c r="D70"/>
  <c r="H71" s="1"/>
  <c r="D201"/>
  <c r="H35"/>
  <c r="J34"/>
  <c r="C200"/>
  <c r="C69"/>
  <c r="G70" s="1"/>
  <c r="H43"/>
  <c r="G44"/>
  <c r="G84" i="91"/>
  <c r="G85"/>
  <c r="G88" s="1"/>
  <c r="K91" i="101"/>
  <c r="L91" s="1"/>
  <c r="AR228" i="36"/>
  <c r="D218"/>
  <c r="C117"/>
  <c r="AK228"/>
  <c r="C110"/>
  <c r="D211"/>
  <c r="AJ228"/>
  <c r="D210"/>
  <c r="C109"/>
  <c r="C120"/>
  <c r="D221"/>
  <c r="AU228"/>
  <c r="D57" i="101"/>
  <c r="H57" s="1"/>
  <c r="H51"/>
  <c r="G52" s="1"/>
  <c r="D24" i="100" s="1"/>
  <c r="C72" i="119"/>
  <c r="G73" s="1"/>
  <c r="C203"/>
  <c r="B210" i="63"/>
  <c r="AJ226"/>
  <c r="AC184" i="84"/>
  <c r="C84"/>
  <c r="D167"/>
  <c r="C91"/>
  <c r="D174"/>
  <c r="AJ184"/>
  <c r="D178"/>
  <c r="C95"/>
  <c r="AN184"/>
  <c r="D161"/>
  <c r="W184"/>
  <c r="C78"/>
  <c r="C89"/>
  <c r="D172"/>
  <c r="AH184"/>
  <c r="D175"/>
  <c r="AK184"/>
  <c r="C92"/>
  <c r="AI184"/>
  <c r="D173"/>
  <c r="C90"/>
  <c r="C22" i="119"/>
  <c r="C48"/>
  <c r="G49" s="1"/>
  <c r="D140" i="36"/>
  <c r="E139"/>
  <c r="C68" i="119"/>
  <c r="G69" s="1"/>
  <c r="C199"/>
  <c r="E131" i="48"/>
  <c r="D132"/>
  <c r="H41" i="119"/>
  <c r="J40"/>
  <c r="C85" i="97"/>
  <c r="H34" i="119"/>
  <c r="H42"/>
  <c r="H33"/>
  <c r="C16"/>
  <c r="C17"/>
  <c r="L77" i="101"/>
  <c r="D177" i="78"/>
  <c r="C94"/>
  <c r="AM184"/>
  <c r="B52" i="91"/>
  <c r="I39"/>
  <c r="I34"/>
  <c r="I46"/>
  <c r="B54"/>
  <c r="B40"/>
  <c r="B53"/>
  <c r="B43"/>
  <c r="I53"/>
  <c r="B42"/>
  <c r="B44"/>
  <c r="I31"/>
  <c r="B47"/>
  <c r="I38"/>
  <c r="B46"/>
  <c r="I32"/>
  <c r="B45"/>
  <c r="I51"/>
  <c r="I45"/>
  <c r="I33"/>
  <c r="I48"/>
  <c r="I36"/>
  <c r="B49"/>
  <c r="B39"/>
  <c r="I49"/>
  <c r="B38"/>
  <c r="I52"/>
  <c r="B37"/>
  <c r="I43"/>
  <c r="I37"/>
  <c r="I50"/>
  <c r="I40"/>
  <c r="B41"/>
  <c r="I47"/>
  <c r="I41"/>
  <c r="I54"/>
  <c r="I44"/>
  <c r="B48"/>
  <c r="I35"/>
  <c r="B51"/>
  <c r="I42"/>
  <c r="B50"/>
  <c r="AK182" i="87"/>
  <c r="B175"/>
  <c r="C79" i="85"/>
  <c r="X184"/>
  <c r="D162"/>
  <c r="H87" i="101"/>
  <c r="J86"/>
  <c r="C226" i="48"/>
  <c r="E47"/>
  <c r="X183" i="79"/>
  <c r="C162"/>
  <c r="J228" i="101"/>
  <c r="D175"/>
  <c r="H176" s="1"/>
  <c r="AC182" i="87"/>
  <c r="B167"/>
  <c r="AL182"/>
  <c r="B176"/>
  <c r="B170"/>
  <c r="AF182"/>
  <c r="W179"/>
  <c r="W182"/>
  <c r="B161"/>
  <c r="D164" i="85"/>
  <c r="C81"/>
  <c r="Z184"/>
  <c r="C87"/>
  <c r="D170"/>
  <c r="AF184"/>
  <c r="AR227" i="42"/>
  <c r="C218"/>
  <c r="B226" i="60"/>
  <c r="E7"/>
  <c r="D163" i="78"/>
  <c r="Y184"/>
  <c r="C80"/>
  <c r="C92"/>
  <c r="D175"/>
  <c r="AK184"/>
  <c r="C95"/>
  <c r="AN184"/>
  <c r="D178"/>
  <c r="AJ227" i="42"/>
  <c r="C210"/>
  <c r="AH227"/>
  <c r="C208"/>
  <c r="C221" i="39"/>
  <c r="AU227"/>
  <c r="Z184" i="78"/>
  <c r="C81"/>
  <c r="D164"/>
  <c r="C86"/>
  <c r="AE184"/>
  <c r="D169"/>
  <c r="D167"/>
  <c r="AC184"/>
  <c r="C84"/>
  <c r="D168"/>
  <c r="C85"/>
  <c r="AD184"/>
  <c r="C79"/>
  <c r="D162"/>
  <c r="X184"/>
  <c r="C193" i="101"/>
  <c r="G194" s="1"/>
  <c r="M221" s="1"/>
  <c r="K220"/>
  <c r="C175" i="79"/>
  <c r="AK183"/>
  <c r="C164"/>
  <c r="Z183"/>
  <c r="AI183"/>
  <c r="C173"/>
  <c r="C178"/>
  <c r="AN183"/>
  <c r="C170"/>
  <c r="AF183"/>
  <c r="AB183"/>
  <c r="C166"/>
  <c r="C197" i="101"/>
  <c r="G198" s="1"/>
  <c r="M225" s="1"/>
  <c r="K224"/>
  <c r="I171" i="51"/>
  <c r="I202"/>
  <c r="I186"/>
  <c r="I167"/>
  <c r="I179"/>
  <c r="I191"/>
  <c r="I168"/>
  <c r="I183"/>
  <c r="I195"/>
  <c r="B197"/>
  <c r="B201"/>
  <c r="B189"/>
  <c r="B196"/>
  <c r="I173"/>
  <c r="I181"/>
  <c r="B202"/>
  <c r="B187"/>
  <c r="I196"/>
  <c r="I172"/>
  <c r="I184"/>
  <c r="I193"/>
  <c r="I176"/>
  <c r="B188"/>
  <c r="B200"/>
  <c r="I190"/>
  <c r="B192"/>
  <c r="B190"/>
  <c r="I199"/>
  <c r="I182"/>
  <c r="I201"/>
  <c r="I174"/>
  <c r="B185"/>
  <c r="B198"/>
  <c r="B199"/>
  <c r="I187"/>
  <c r="I177"/>
  <c r="B193"/>
  <c r="I169"/>
  <c r="I192"/>
  <c r="B194"/>
  <c r="I165"/>
  <c r="B186"/>
  <c r="I178"/>
  <c r="I175"/>
  <c r="B191"/>
  <c r="I197"/>
  <c r="I194"/>
  <c r="I189"/>
  <c r="I198"/>
  <c r="I188"/>
  <c r="I170"/>
  <c r="B195"/>
  <c r="I200"/>
  <c r="I166"/>
  <c r="I185"/>
  <c r="I180"/>
  <c r="I222" i="101"/>
  <c r="C169"/>
  <c r="G170" s="1"/>
  <c r="D150"/>
  <c r="H151" s="1"/>
  <c r="H229"/>
  <c r="AH182" i="87"/>
  <c r="B172"/>
  <c r="AE182"/>
  <c r="B169"/>
  <c r="B164"/>
  <c r="Z182"/>
  <c r="AM182"/>
  <c r="B177"/>
  <c r="Y182"/>
  <c r="B163"/>
  <c r="B46" i="94"/>
  <c r="B43"/>
  <c r="I32"/>
  <c r="I44"/>
  <c r="I34"/>
  <c r="B39"/>
  <c r="I33"/>
  <c r="B38"/>
  <c r="B37"/>
  <c r="B45"/>
  <c r="B49"/>
  <c r="I41"/>
  <c r="I39"/>
  <c r="B44"/>
  <c r="B42"/>
  <c r="B53"/>
  <c r="I48"/>
  <c r="B50"/>
  <c r="I36"/>
  <c r="I51"/>
  <c r="I37"/>
  <c r="I53"/>
  <c r="I50"/>
  <c r="I31"/>
  <c r="B41"/>
  <c r="I45"/>
  <c r="B52"/>
  <c r="B47"/>
  <c r="I47"/>
  <c r="I46"/>
  <c r="I54"/>
  <c r="I40"/>
  <c r="I42"/>
  <c r="B40"/>
  <c r="B51"/>
  <c r="I43"/>
  <c r="I52"/>
  <c r="I35"/>
  <c r="I49"/>
  <c r="I38"/>
  <c r="B54"/>
  <c r="B48"/>
  <c r="AJ184" i="85"/>
  <c r="C91"/>
  <c r="D174"/>
  <c r="C80"/>
  <c r="D163"/>
  <c r="Y184"/>
  <c r="AM184"/>
  <c r="C94"/>
  <c r="D177"/>
  <c r="D178"/>
  <c r="AN184"/>
  <c r="C95"/>
  <c r="C89"/>
  <c r="D172"/>
  <c r="AH184"/>
  <c r="C215" i="42"/>
  <c r="AO227"/>
  <c r="C215" i="39"/>
  <c r="AO227"/>
  <c r="C217"/>
  <c r="AQ227"/>
  <c r="B136" i="93"/>
  <c r="R157"/>
  <c r="B151"/>
  <c r="AG157"/>
  <c r="B142"/>
  <c r="X157"/>
  <c r="T157"/>
  <c r="B138"/>
  <c r="B152"/>
  <c r="AH157"/>
  <c r="Z157"/>
  <c r="B144"/>
  <c r="C169" i="82"/>
  <c r="AE183"/>
  <c r="C161"/>
  <c r="W183"/>
  <c r="X183"/>
  <c r="C162"/>
  <c r="C165"/>
  <c r="AA183"/>
  <c r="C178"/>
  <c r="AN183"/>
  <c r="Z183"/>
  <c r="C164"/>
  <c r="C174"/>
  <c r="AJ183"/>
  <c r="AM183" i="80"/>
  <c r="C177"/>
  <c r="AI183"/>
  <c r="C173"/>
  <c r="C166"/>
  <c r="AB183"/>
  <c r="C163"/>
  <c r="Y183"/>
  <c r="W183"/>
  <c r="C161"/>
  <c r="C169"/>
  <c r="AE183"/>
  <c r="G224" i="101"/>
  <c r="C145"/>
  <c r="G146" s="1"/>
  <c r="F166" i="42"/>
  <c r="F165"/>
  <c r="C211" i="36"/>
  <c r="AK227"/>
  <c r="AW227"/>
  <c r="C223"/>
  <c r="C213"/>
  <c r="AM227"/>
  <c r="C206"/>
  <c r="AF227"/>
  <c r="AL183" i="81"/>
  <c r="C176"/>
  <c r="AH183"/>
  <c r="C172"/>
  <c r="Y183"/>
  <c r="C163"/>
  <c r="AC183"/>
  <c r="C167"/>
  <c r="F224" i="101"/>
  <c r="D119"/>
  <c r="H120" s="1"/>
  <c r="AI183" i="78"/>
  <c r="C173"/>
  <c r="C169"/>
  <c r="AE183"/>
  <c r="C172"/>
  <c r="AH183"/>
  <c r="AA183"/>
  <c r="C165"/>
  <c r="C178"/>
  <c r="AN183"/>
  <c r="AJ183"/>
  <c r="C174"/>
  <c r="C84" i="97"/>
  <c r="C216" i="42"/>
  <c r="AP227"/>
  <c r="AV227" i="39"/>
  <c r="C222"/>
  <c r="C220"/>
  <c r="AT227"/>
  <c r="AS227"/>
  <c r="C219"/>
  <c r="F131" i="78"/>
  <c r="F130"/>
  <c r="G84" i="93"/>
  <c r="G85"/>
  <c r="G88" s="1"/>
  <c r="C130" i="84"/>
  <c r="C133"/>
  <c r="C139"/>
  <c r="C129"/>
  <c r="C136"/>
  <c r="C135"/>
  <c r="C138"/>
  <c r="C132"/>
  <c r="C131"/>
  <c r="C134"/>
  <c r="C137"/>
  <c r="F222" i="101"/>
  <c r="D117"/>
  <c r="B153" i="95"/>
  <c r="AI157"/>
  <c r="AC157"/>
  <c r="B147"/>
  <c r="AG157"/>
  <c r="B151"/>
  <c r="AH157"/>
  <c r="B152"/>
  <c r="AE157"/>
  <c r="B149"/>
  <c r="C214" i="63"/>
  <c r="AN227"/>
  <c r="AP227"/>
  <c r="C216"/>
  <c r="AI227"/>
  <c r="C209"/>
  <c r="AS227"/>
  <c r="C219"/>
  <c r="I229" i="101"/>
  <c r="C176"/>
  <c r="G177" s="1"/>
  <c r="B87" i="87"/>
  <c r="B89"/>
  <c r="I86"/>
  <c r="I93"/>
  <c r="B85"/>
  <c r="B91"/>
  <c r="I90"/>
  <c r="I70"/>
  <c r="I92"/>
  <c r="I68"/>
  <c r="I69"/>
  <c r="I83"/>
  <c r="I77"/>
  <c r="B83"/>
  <c r="B92"/>
  <c r="I67"/>
  <c r="B88"/>
  <c r="I80"/>
  <c r="I79"/>
  <c r="B86"/>
  <c r="I74"/>
  <c r="B81"/>
  <c r="I95"/>
  <c r="I85"/>
  <c r="I94"/>
  <c r="I91"/>
  <c r="I78"/>
  <c r="B95"/>
  <c r="I88"/>
  <c r="B94"/>
  <c r="B80"/>
  <c r="I72"/>
  <c r="B78"/>
  <c r="I82"/>
  <c r="I89"/>
  <c r="I73"/>
  <c r="B79"/>
  <c r="B93"/>
  <c r="B90"/>
  <c r="I81"/>
  <c r="B84"/>
  <c r="I75"/>
  <c r="B82"/>
  <c r="I71"/>
  <c r="I76"/>
  <c r="I84"/>
  <c r="I87"/>
  <c r="F130" i="82"/>
  <c r="F131"/>
  <c r="B172" i="86"/>
  <c r="AH182"/>
  <c r="B167"/>
  <c r="AC182"/>
  <c r="AJ182"/>
  <c r="B174"/>
  <c r="B173"/>
  <c r="AI182"/>
  <c r="C131" i="83"/>
  <c r="C133"/>
  <c r="C135"/>
  <c r="C130"/>
  <c r="C136"/>
  <c r="C137"/>
  <c r="C129"/>
  <c r="C132"/>
  <c r="C134"/>
  <c r="C139"/>
  <c r="C138"/>
  <c r="C209" i="39"/>
  <c r="AI227"/>
  <c r="B181" i="78"/>
  <c r="E8"/>
  <c r="E33" i="96"/>
  <c r="E32"/>
  <c r="C114" i="93"/>
  <c r="C111"/>
  <c r="C113"/>
  <c r="C112"/>
  <c r="C110"/>
  <c r="C109"/>
  <c r="D181" i="84"/>
  <c r="F70"/>
  <c r="AV227" i="60"/>
  <c r="C222"/>
  <c r="C219"/>
  <c r="AS227"/>
  <c r="AU227"/>
  <c r="C221"/>
  <c r="C216"/>
  <c r="AP227"/>
  <c r="D139" i="101"/>
  <c r="H218"/>
  <c r="B144" i="94"/>
  <c r="Z157"/>
  <c r="B136"/>
  <c r="R157"/>
  <c r="U157"/>
  <c r="B139"/>
  <c r="B138"/>
  <c r="T157"/>
  <c r="B141"/>
  <c r="W157"/>
  <c r="AD157"/>
  <c r="B148"/>
  <c r="B151"/>
  <c r="AG157"/>
  <c r="E32" i="95"/>
  <c r="E33"/>
  <c r="D214" i="60"/>
  <c r="AN228"/>
  <c r="C113"/>
  <c r="D216"/>
  <c r="AP228"/>
  <c r="C115"/>
  <c r="AG228"/>
  <c r="D207"/>
  <c r="C106"/>
  <c r="D222"/>
  <c r="C121"/>
  <c r="AV228"/>
  <c r="D208"/>
  <c r="C107"/>
  <c r="AH228"/>
  <c r="D181" i="83"/>
  <c r="F70"/>
  <c r="I230" i="101"/>
  <c r="C177"/>
  <c r="G178" s="1"/>
  <c r="I80" i="86"/>
  <c r="I84"/>
  <c r="I88"/>
  <c r="I92"/>
  <c r="I67"/>
  <c r="I71"/>
  <c r="I75"/>
  <c r="B84"/>
  <c r="B92"/>
  <c r="B81"/>
  <c r="B89"/>
  <c r="I79"/>
  <c r="I83"/>
  <c r="I87"/>
  <c r="I91"/>
  <c r="I95"/>
  <c r="I70"/>
  <c r="I74"/>
  <c r="B82"/>
  <c r="B90"/>
  <c r="B78"/>
  <c r="B87"/>
  <c r="B95"/>
  <c r="I78"/>
  <c r="I82"/>
  <c r="I86"/>
  <c r="I90"/>
  <c r="I94"/>
  <c r="I69"/>
  <c r="I73"/>
  <c r="B80"/>
  <c r="B88"/>
  <c r="B79"/>
  <c r="B85"/>
  <c r="B93"/>
  <c r="I77"/>
  <c r="I81"/>
  <c r="I85"/>
  <c r="I89"/>
  <c r="I93"/>
  <c r="I68"/>
  <c r="I72"/>
  <c r="I76"/>
  <c r="B86"/>
  <c r="B94"/>
  <c r="B83"/>
  <c r="B91"/>
  <c r="D179" i="101"/>
  <c r="J232"/>
  <c r="F166" i="60"/>
  <c r="F165"/>
  <c r="I66" i="78"/>
  <c r="I4" i="87"/>
  <c r="I44" i="39"/>
  <c r="F113" i="94"/>
  <c r="C213" i="42"/>
  <c r="AM227"/>
  <c r="AN227" i="39"/>
  <c r="C214"/>
  <c r="C211"/>
  <c r="AK227"/>
  <c r="AD183" i="79"/>
  <c r="C168"/>
  <c r="W183"/>
  <c r="C161"/>
  <c r="AC183"/>
  <c r="C167"/>
  <c r="AG183"/>
  <c r="C171"/>
  <c r="AN227" i="42"/>
  <c r="C214"/>
  <c r="AL227"/>
  <c r="C212"/>
  <c r="B148" i="93"/>
  <c r="AD157"/>
  <c r="B139"/>
  <c r="U157"/>
  <c r="Y157"/>
  <c r="B143"/>
  <c r="AA157"/>
  <c r="B145"/>
  <c r="C166" i="82"/>
  <c r="AB183"/>
  <c r="AL183"/>
  <c r="C176"/>
  <c r="AK183"/>
  <c r="C175"/>
  <c r="C163"/>
  <c r="Y183"/>
  <c r="C172"/>
  <c r="AH183"/>
  <c r="AD183" i="80"/>
  <c r="C168"/>
  <c r="AA183"/>
  <c r="C165"/>
  <c r="X183"/>
  <c r="C162"/>
  <c r="C174"/>
  <c r="AJ183"/>
  <c r="AF183"/>
  <c r="C170"/>
  <c r="C178"/>
  <c r="AN183"/>
  <c r="I43" i="84"/>
  <c r="B56"/>
  <c r="I58"/>
  <c r="I48"/>
  <c r="I61"/>
  <c r="B58"/>
  <c r="I44"/>
  <c r="B55"/>
  <c r="B50"/>
  <c r="I36"/>
  <c r="B63"/>
  <c r="I63"/>
  <c r="B48"/>
  <c r="I50"/>
  <c r="I41"/>
  <c r="I53"/>
  <c r="B57"/>
  <c r="I57"/>
  <c r="I39"/>
  <c r="I54"/>
  <c r="I49"/>
  <c r="B47"/>
  <c r="I62"/>
  <c r="I55"/>
  <c r="B59"/>
  <c r="I42"/>
  <c r="B62"/>
  <c r="I64"/>
  <c r="B49"/>
  <c r="I60"/>
  <c r="I51"/>
  <c r="I38"/>
  <c r="I52"/>
  <c r="I59"/>
  <c r="I46"/>
  <c r="I47"/>
  <c r="B51"/>
  <c r="B64"/>
  <c r="B54"/>
  <c r="I56"/>
  <c r="I40"/>
  <c r="I45"/>
  <c r="B61"/>
  <c r="B52"/>
  <c r="I37"/>
  <c r="B53"/>
  <c r="B60"/>
  <c r="C208" i="36"/>
  <c r="AH227"/>
  <c r="C217"/>
  <c r="AQ227"/>
  <c r="C210"/>
  <c r="AJ227"/>
  <c r="C216"/>
  <c r="AP227"/>
  <c r="AV227"/>
  <c r="C222"/>
  <c r="AG183" i="81"/>
  <c r="C171"/>
  <c r="C175"/>
  <c r="AK183"/>
  <c r="C174"/>
  <c r="AJ183"/>
  <c r="C169"/>
  <c r="AE183"/>
  <c r="C173"/>
  <c r="AI183"/>
  <c r="C132" i="87"/>
  <c r="C135"/>
  <c r="C136"/>
  <c r="C139"/>
  <c r="C130"/>
  <c r="C138"/>
  <c r="C129"/>
  <c r="C137"/>
  <c r="C133"/>
  <c r="C134"/>
  <c r="C131"/>
  <c r="C171" i="78"/>
  <c r="AG183"/>
  <c r="W183"/>
  <c r="C161"/>
  <c r="E32" i="97"/>
  <c r="E33"/>
  <c r="G99" i="86"/>
  <c r="G100"/>
  <c r="G103" s="1"/>
  <c r="C221" i="42"/>
  <c r="AU227"/>
  <c r="C219"/>
  <c r="AS227"/>
  <c r="C223" i="39"/>
  <c r="AW227"/>
  <c r="B80" i="93"/>
  <c r="I69"/>
  <c r="I72"/>
  <c r="I67"/>
  <c r="B66"/>
  <c r="B67"/>
  <c r="B64"/>
  <c r="B79"/>
  <c r="B76"/>
  <c r="B77"/>
  <c r="I77"/>
  <c r="I80"/>
  <c r="I75"/>
  <c r="B74"/>
  <c r="B75"/>
  <c r="B72"/>
  <c r="B65"/>
  <c r="B70"/>
  <c r="I68"/>
  <c r="I63"/>
  <c r="I66"/>
  <c r="B63"/>
  <c r="I62"/>
  <c r="I61"/>
  <c r="I78"/>
  <c r="I57"/>
  <c r="B73"/>
  <c r="B78"/>
  <c r="I76"/>
  <c r="I71"/>
  <c r="I74"/>
  <c r="I79"/>
  <c r="I59"/>
  <c r="I70"/>
  <c r="I73"/>
  <c r="I65"/>
  <c r="I60"/>
  <c r="I64"/>
  <c r="I58"/>
  <c r="B71"/>
  <c r="B68"/>
  <c r="B69"/>
  <c r="H233" i="101"/>
  <c r="D154"/>
  <c r="I193" i="54"/>
  <c r="I189"/>
  <c r="I176"/>
  <c r="I195"/>
  <c r="I179"/>
  <c r="I182"/>
  <c r="B200"/>
  <c r="I184"/>
  <c r="I175"/>
  <c r="B196"/>
  <c r="I201"/>
  <c r="I188"/>
  <c r="I199"/>
  <c r="B188"/>
  <c r="B190"/>
  <c r="B194"/>
  <c r="I181"/>
  <c r="I191"/>
  <c r="I183"/>
  <c r="I167"/>
  <c r="I173"/>
  <c r="I198"/>
  <c r="I192"/>
  <c r="I166"/>
  <c r="I186"/>
  <c r="I190"/>
  <c r="B198"/>
  <c r="B191"/>
  <c r="B187"/>
  <c r="I168"/>
  <c r="I180"/>
  <c r="I197"/>
  <c r="I194"/>
  <c r="I187"/>
  <c r="B186"/>
  <c r="I177"/>
  <c r="I202"/>
  <c r="I178"/>
  <c r="I200"/>
  <c r="B189"/>
  <c r="B201"/>
  <c r="B202"/>
  <c r="B197"/>
  <c r="B193"/>
  <c r="I169"/>
  <c r="B185"/>
  <c r="B195"/>
  <c r="I170"/>
  <c r="I172"/>
  <c r="I165"/>
  <c r="I171"/>
  <c r="I174"/>
  <c r="I196"/>
  <c r="B199"/>
  <c r="I185"/>
  <c r="B192"/>
  <c r="B145" i="95"/>
  <c r="AA157"/>
  <c r="U157"/>
  <c r="B139"/>
  <c r="S157"/>
  <c r="B137"/>
  <c r="B146"/>
  <c r="AB157"/>
  <c r="Y157"/>
  <c r="B143"/>
  <c r="AG227" i="63"/>
  <c r="C207"/>
  <c r="C218"/>
  <c r="AR227"/>
  <c r="C220"/>
  <c r="AT227"/>
  <c r="C213"/>
  <c r="AM227"/>
  <c r="AW227"/>
  <c r="C223"/>
  <c r="C144" i="101"/>
  <c r="G145" s="1"/>
  <c r="G223"/>
  <c r="I46" i="86"/>
  <c r="B62"/>
  <c r="I64"/>
  <c r="I44"/>
  <c r="I59"/>
  <c r="B63"/>
  <c r="I42"/>
  <c r="B58"/>
  <c r="I60"/>
  <c r="B49"/>
  <c r="I63"/>
  <c r="I38"/>
  <c r="B54"/>
  <c r="I56"/>
  <c r="I36"/>
  <c r="I51"/>
  <c r="B55"/>
  <c r="B64"/>
  <c r="B50"/>
  <c r="I52"/>
  <c r="I40"/>
  <c r="I55"/>
  <c r="B59"/>
  <c r="B60"/>
  <c r="I62"/>
  <c r="I48"/>
  <c r="I57"/>
  <c r="B61"/>
  <c r="B47"/>
  <c r="B56"/>
  <c r="I58"/>
  <c r="I45"/>
  <c r="I61"/>
  <c r="I47"/>
  <c r="B51"/>
  <c r="B52"/>
  <c r="I54"/>
  <c r="I41"/>
  <c r="I49"/>
  <c r="B53"/>
  <c r="I39"/>
  <c r="B48"/>
  <c r="I50"/>
  <c r="I37"/>
  <c r="I53"/>
  <c r="B57"/>
  <c r="I43"/>
  <c r="W182"/>
  <c r="B161"/>
  <c r="W179"/>
  <c r="AK182"/>
  <c r="B175"/>
  <c r="X182"/>
  <c r="B162"/>
  <c r="AD182"/>
  <c r="B168"/>
  <c r="Y182"/>
  <c r="B163"/>
  <c r="C206" i="39"/>
  <c r="AF227"/>
  <c r="C226" i="45"/>
  <c r="E47"/>
  <c r="M154" i="96"/>
  <c r="F113"/>
  <c r="C84"/>
  <c r="D116" i="101"/>
  <c r="F221"/>
  <c r="I37" i="85"/>
  <c r="B49"/>
  <c r="B61"/>
  <c r="I43"/>
  <c r="I62"/>
  <c r="I63"/>
  <c r="I54"/>
  <c r="I48"/>
  <c r="B58"/>
  <c r="I51"/>
  <c r="I44"/>
  <c r="B57"/>
  <c r="B56"/>
  <c r="I60"/>
  <c r="I42"/>
  <c r="I61"/>
  <c r="I46"/>
  <c r="I47"/>
  <c r="B55"/>
  <c r="B60"/>
  <c r="B53"/>
  <c r="B63"/>
  <c r="I41"/>
  <c r="B48"/>
  <c r="I52"/>
  <c r="B62"/>
  <c r="I53"/>
  <c r="B59"/>
  <c r="I58"/>
  <c r="I39"/>
  <c r="I38"/>
  <c r="B54"/>
  <c r="B47"/>
  <c r="I55"/>
  <c r="I36"/>
  <c r="I45"/>
  <c r="I40"/>
  <c r="B50"/>
  <c r="B51"/>
  <c r="I59"/>
  <c r="I49"/>
  <c r="B64"/>
  <c r="I64"/>
  <c r="I57"/>
  <c r="I50"/>
  <c r="B52"/>
  <c r="I56"/>
  <c r="AQ227" i="60"/>
  <c r="C217"/>
  <c r="C212"/>
  <c r="AL227"/>
  <c r="C215"/>
  <c r="AO227"/>
  <c r="C206"/>
  <c r="AF227"/>
  <c r="F165" i="39"/>
  <c r="F166"/>
  <c r="AF157" i="94"/>
  <c r="B150"/>
  <c r="B145"/>
  <c r="AA157"/>
  <c r="B152"/>
  <c r="AH157"/>
  <c r="B147"/>
  <c r="AC157"/>
  <c r="D213" i="60"/>
  <c r="AM228"/>
  <c r="C112"/>
  <c r="AW228"/>
  <c r="D223"/>
  <c r="C122"/>
  <c r="C120"/>
  <c r="AU228"/>
  <c r="D221"/>
  <c r="AO228"/>
  <c r="D215"/>
  <c r="C114"/>
  <c r="I4" i="93"/>
  <c r="I44" i="36"/>
  <c r="I35" i="78"/>
  <c r="I44" i="42"/>
  <c r="C84" i="94"/>
  <c r="X182" i="87"/>
  <c r="B162"/>
  <c r="AA184" i="85"/>
  <c r="C82"/>
  <c r="D165"/>
  <c r="D175"/>
  <c r="AK184"/>
  <c r="C92"/>
  <c r="I52" i="93"/>
  <c r="B46"/>
  <c r="B44"/>
  <c r="B49"/>
  <c r="I37"/>
  <c r="I40"/>
  <c r="I54"/>
  <c r="I35"/>
  <c r="B47"/>
  <c r="I36"/>
  <c r="I47"/>
  <c r="I34"/>
  <c r="B43"/>
  <c r="I41"/>
  <c r="B38"/>
  <c r="B52"/>
  <c r="B53"/>
  <c r="I49"/>
  <c r="I50"/>
  <c r="B42"/>
  <c r="I32"/>
  <c r="I39"/>
  <c r="I46"/>
  <c r="B50"/>
  <c r="B45"/>
  <c r="I33"/>
  <c r="I42"/>
  <c r="I31"/>
  <c r="B41"/>
  <c r="I53"/>
  <c r="I38"/>
  <c r="B48"/>
  <c r="B37"/>
  <c r="I45"/>
  <c r="I44"/>
  <c r="B40"/>
  <c r="B51"/>
  <c r="I43"/>
  <c r="I48"/>
  <c r="B54"/>
  <c r="B39"/>
  <c r="I51"/>
  <c r="C87" i="78"/>
  <c r="AF184"/>
  <c r="D170"/>
  <c r="C90"/>
  <c r="AI184"/>
  <c r="D173"/>
  <c r="C176" i="79"/>
  <c r="AL183"/>
  <c r="B54" i="83"/>
  <c r="I56"/>
  <c r="I40"/>
  <c r="I59"/>
  <c r="B63"/>
  <c r="I46"/>
  <c r="B58"/>
  <c r="I60"/>
  <c r="I47"/>
  <c r="B51"/>
  <c r="B64"/>
  <c r="I48"/>
  <c r="I61"/>
  <c r="I51"/>
  <c r="B55"/>
  <c r="I38"/>
  <c r="B50"/>
  <c r="I52"/>
  <c r="I36"/>
  <c r="B61"/>
  <c r="I43"/>
  <c r="B56"/>
  <c r="I58"/>
  <c r="I41"/>
  <c r="I53"/>
  <c r="B57"/>
  <c r="B47"/>
  <c r="B60"/>
  <c r="I62"/>
  <c r="I45"/>
  <c r="I57"/>
  <c r="B53"/>
  <c r="I63"/>
  <c r="B48"/>
  <c r="I50"/>
  <c r="B62"/>
  <c r="I64"/>
  <c r="B49"/>
  <c r="I39"/>
  <c r="B52"/>
  <c r="I54"/>
  <c r="I37"/>
  <c r="I49"/>
  <c r="I44"/>
  <c r="I55"/>
  <c r="B59"/>
  <c r="I42"/>
  <c r="C217" i="42"/>
  <c r="AQ227"/>
  <c r="AE157" i="93"/>
  <c r="B149"/>
  <c r="S157"/>
  <c r="B137"/>
  <c r="B140"/>
  <c r="V157"/>
  <c r="W157"/>
  <c r="B141"/>
  <c r="AD183" i="82"/>
  <c r="C168"/>
  <c r="C171"/>
  <c r="AG183"/>
  <c r="C172" i="80"/>
  <c r="AH183"/>
  <c r="AL183"/>
  <c r="C176"/>
  <c r="C164"/>
  <c r="Z183"/>
  <c r="C138" i="85"/>
  <c r="C131"/>
  <c r="C130"/>
  <c r="C129"/>
  <c r="C134"/>
  <c r="C137"/>
  <c r="C132"/>
  <c r="C139"/>
  <c r="C135"/>
  <c r="C136"/>
  <c r="C133"/>
  <c r="C212" i="36"/>
  <c r="AL227"/>
  <c r="AU227"/>
  <c r="C221"/>
  <c r="AO227"/>
  <c r="C215"/>
  <c r="AG227"/>
  <c r="C207"/>
  <c r="C162" i="81"/>
  <c r="X183"/>
  <c r="C161"/>
  <c r="W183"/>
  <c r="X183" i="78"/>
  <c r="C162"/>
  <c r="C176"/>
  <c r="AL183"/>
  <c r="AB183"/>
  <c r="C166"/>
  <c r="C164"/>
  <c r="Z183"/>
  <c r="C175"/>
  <c r="AK183"/>
  <c r="AF183"/>
  <c r="C170"/>
  <c r="AC183"/>
  <c r="C167"/>
  <c r="C58" i="97"/>
  <c r="C132" i="86"/>
  <c r="C135"/>
  <c r="C139"/>
  <c r="C131"/>
  <c r="C134"/>
  <c r="C129"/>
  <c r="C137"/>
  <c r="C138"/>
  <c r="C136"/>
  <c r="C133"/>
  <c r="C130"/>
  <c r="AV227" i="42"/>
  <c r="C222"/>
  <c r="AM227" i="39"/>
  <c r="C213"/>
  <c r="F131" i="79"/>
  <c r="F130"/>
  <c r="B185" i="48"/>
  <c r="B186"/>
  <c r="I165"/>
  <c r="I183"/>
  <c r="B201"/>
  <c r="I169"/>
  <c r="B193"/>
  <c r="I185"/>
  <c r="I174"/>
  <c r="B189"/>
  <c r="I198"/>
  <c r="B202"/>
  <c r="I181"/>
  <c r="I167"/>
  <c r="I192"/>
  <c r="I199"/>
  <c r="B192"/>
  <c r="I166"/>
  <c r="I170"/>
  <c r="I196"/>
  <c r="I176"/>
  <c r="I188"/>
  <c r="I171"/>
  <c r="I173"/>
  <c r="I201"/>
  <c r="I189"/>
  <c r="I193"/>
  <c r="B196"/>
  <c r="I179"/>
  <c r="I175"/>
  <c r="B197"/>
  <c r="B200"/>
  <c r="B188"/>
  <c r="I202"/>
  <c r="I177"/>
  <c r="I194"/>
  <c r="I190"/>
  <c r="I186"/>
  <c r="I195"/>
  <c r="I191"/>
  <c r="I187"/>
  <c r="B190"/>
  <c r="I180"/>
  <c r="I184"/>
  <c r="I172"/>
  <c r="I182"/>
  <c r="B195"/>
  <c r="B194"/>
  <c r="I178"/>
  <c r="B199"/>
  <c r="B198"/>
  <c r="B191"/>
  <c r="I200"/>
  <c r="I168"/>
  <c r="B187"/>
  <c r="I197"/>
  <c r="AF157" i="95"/>
  <c r="B150"/>
  <c r="B148"/>
  <c r="AD157"/>
  <c r="X157"/>
  <c r="B142"/>
  <c r="W157"/>
  <c r="B141"/>
  <c r="Z157"/>
  <c r="B144"/>
  <c r="AK227" i="63"/>
  <c r="C211"/>
  <c r="AV227"/>
  <c r="C222"/>
  <c r="C217"/>
  <c r="AQ227"/>
  <c r="C206"/>
  <c r="AF227"/>
  <c r="AH227"/>
  <c r="C208"/>
  <c r="I188" i="36"/>
  <c r="I200"/>
  <c r="B188"/>
  <c r="I185"/>
  <c r="I166"/>
  <c r="I178"/>
  <c r="I172"/>
  <c r="I170"/>
  <c r="I175"/>
  <c r="I168"/>
  <c r="I199"/>
  <c r="I192"/>
  <c r="I191"/>
  <c r="B191"/>
  <c r="I183"/>
  <c r="I187"/>
  <c r="B193"/>
  <c r="B196"/>
  <c r="I167"/>
  <c r="I171"/>
  <c r="I165"/>
  <c r="I198"/>
  <c r="I194"/>
  <c r="I190"/>
  <c r="I176"/>
  <c r="B195"/>
  <c r="B200"/>
  <c r="B197"/>
  <c r="B192"/>
  <c r="I180"/>
  <c r="I184"/>
  <c r="I201"/>
  <c r="B202"/>
  <c r="I181"/>
  <c r="I174"/>
  <c r="B187"/>
  <c r="B199"/>
  <c r="B198"/>
  <c r="I196"/>
  <c r="B190"/>
  <c r="I169"/>
  <c r="I179"/>
  <c r="B194"/>
  <c r="I173"/>
  <c r="B186"/>
  <c r="I195"/>
  <c r="I177"/>
  <c r="B201"/>
  <c r="I186"/>
  <c r="I182"/>
  <c r="I193"/>
  <c r="B185"/>
  <c r="I202"/>
  <c r="I197"/>
  <c r="B189"/>
  <c r="I189"/>
  <c r="B194" i="57"/>
  <c r="I184"/>
  <c r="I172"/>
  <c r="I176"/>
  <c r="B191"/>
  <c r="I187"/>
  <c r="I175"/>
  <c r="I193"/>
  <c r="I190"/>
  <c r="I186"/>
  <c r="B196"/>
  <c r="I168"/>
  <c r="I188"/>
  <c r="I200"/>
  <c r="B200"/>
  <c r="I201"/>
  <c r="I197"/>
  <c r="I171"/>
  <c r="I194"/>
  <c r="B197"/>
  <c r="B193"/>
  <c r="I165"/>
  <c r="I167"/>
  <c r="I192"/>
  <c r="I191"/>
  <c r="I181"/>
  <c r="I183"/>
  <c r="B189"/>
  <c r="I196"/>
  <c r="B202"/>
  <c r="B198"/>
  <c r="I179"/>
  <c r="B190"/>
  <c r="B199"/>
  <c r="B195"/>
  <c r="I174"/>
  <c r="I170"/>
  <c r="I166"/>
  <c r="I199"/>
  <c r="I189"/>
  <c r="I185"/>
  <c r="I182"/>
  <c r="B201"/>
  <c r="I177"/>
  <c r="I173"/>
  <c r="I178"/>
  <c r="B188"/>
  <c r="B192"/>
  <c r="I180"/>
  <c r="I195"/>
  <c r="B187"/>
  <c r="I169"/>
  <c r="B185"/>
  <c r="I202"/>
  <c r="I198"/>
  <c r="B186"/>
  <c r="AF182" i="86"/>
  <c r="B170"/>
  <c r="B169"/>
  <c r="AE182"/>
  <c r="AL182"/>
  <c r="B176"/>
  <c r="AG182"/>
  <c r="B171"/>
  <c r="AI227" i="42"/>
  <c r="C209"/>
  <c r="AT227"/>
  <c r="C220"/>
  <c r="AR227" i="39"/>
  <c r="C218"/>
  <c r="AG227"/>
  <c r="C207"/>
  <c r="I226" i="101"/>
  <c r="C173"/>
  <c r="G174" s="1"/>
  <c r="K89"/>
  <c r="L89" s="1"/>
  <c r="I33" i="92"/>
  <c r="I48"/>
  <c r="I38"/>
  <c r="I39"/>
  <c r="I32"/>
  <c r="B45"/>
  <c r="B54"/>
  <c r="I45"/>
  <c r="I35"/>
  <c r="B51"/>
  <c r="B41"/>
  <c r="I40"/>
  <c r="I49"/>
  <c r="I31"/>
  <c r="B47"/>
  <c r="B37"/>
  <c r="B46"/>
  <c r="I37"/>
  <c r="I50"/>
  <c r="B43"/>
  <c r="B52"/>
  <c r="B50"/>
  <c r="I41"/>
  <c r="I54"/>
  <c r="B39"/>
  <c r="B48"/>
  <c r="B38"/>
  <c r="I52"/>
  <c r="I42"/>
  <c r="I51"/>
  <c r="B44"/>
  <c r="B42"/>
  <c r="I34"/>
  <c r="I46"/>
  <c r="I47"/>
  <c r="B40"/>
  <c r="B53"/>
  <c r="I44"/>
  <c r="I53"/>
  <c r="I43"/>
  <c r="I36"/>
  <c r="B49"/>
  <c r="B200" i="45"/>
  <c r="B196"/>
  <c r="B192"/>
  <c r="B188"/>
  <c r="I188"/>
  <c r="I170"/>
  <c r="I167"/>
  <c r="I179"/>
  <c r="B201"/>
  <c r="I171"/>
  <c r="B193"/>
  <c r="B197"/>
  <c r="I175"/>
  <c r="I187"/>
  <c r="I172"/>
  <c r="B194"/>
  <c r="I181"/>
  <c r="I184"/>
  <c r="I180"/>
  <c r="B185"/>
  <c r="B189"/>
  <c r="I168"/>
  <c r="B195"/>
  <c r="B199"/>
  <c r="B187"/>
  <c r="B191"/>
  <c r="B198"/>
  <c r="I176"/>
  <c r="I189"/>
  <c r="I169"/>
  <c r="I198"/>
  <c r="B186"/>
  <c r="I173"/>
  <c r="I177"/>
  <c r="I165"/>
  <c r="B202"/>
  <c r="B190"/>
  <c r="I202"/>
  <c r="I190"/>
  <c r="I194"/>
  <c r="I197"/>
  <c r="I186"/>
  <c r="I191"/>
  <c r="I192"/>
  <c r="I183"/>
  <c r="I195"/>
  <c r="I174"/>
  <c r="I193"/>
  <c r="I166"/>
  <c r="I185"/>
  <c r="I196"/>
  <c r="I178"/>
  <c r="I182"/>
  <c r="I201"/>
  <c r="I199"/>
  <c r="I200"/>
  <c r="AN227" i="60"/>
  <c r="C214"/>
  <c r="AK227"/>
  <c r="C211"/>
  <c r="AM227"/>
  <c r="C213"/>
  <c r="AH227"/>
  <c r="C208"/>
  <c r="AJ227"/>
  <c r="C210"/>
  <c r="C218"/>
  <c r="AR227"/>
  <c r="AB157" i="94"/>
  <c r="B146"/>
  <c r="AI157"/>
  <c r="B153"/>
  <c r="B143"/>
  <c r="Y157"/>
  <c r="B142"/>
  <c r="X157"/>
  <c r="B149"/>
  <c r="AE157"/>
  <c r="F113" i="95"/>
  <c r="M154"/>
  <c r="C111" i="60"/>
  <c r="D212"/>
  <c r="AL228"/>
  <c r="AR228"/>
  <c r="C117"/>
  <c r="D218"/>
  <c r="D220"/>
  <c r="AT228"/>
  <c r="C119"/>
  <c r="AK228"/>
  <c r="D211"/>
  <c r="C110"/>
  <c r="AJ228"/>
  <c r="C109"/>
  <c r="D210"/>
  <c r="I35" i="82"/>
  <c r="I35" i="80"/>
  <c r="C89" i="78"/>
  <c r="D172"/>
  <c r="AH184"/>
  <c r="C78"/>
  <c r="W184"/>
  <c r="D161"/>
  <c r="AM183" i="79"/>
  <c r="C177"/>
  <c r="C226" i="57"/>
  <c r="E47"/>
  <c r="B171" i="87"/>
  <c r="AG182"/>
  <c r="C88" i="85"/>
  <c r="AG184"/>
  <c r="D171"/>
  <c r="AG227" i="42"/>
  <c r="C207"/>
  <c r="D156" i="92"/>
  <c r="F60"/>
  <c r="D166" i="78"/>
  <c r="AB184"/>
  <c r="C83"/>
  <c r="AH183" i="79"/>
  <c r="C172"/>
  <c r="B178" i="87"/>
  <c r="AN182"/>
  <c r="B166"/>
  <c r="AB182"/>
  <c r="AI182"/>
  <c r="B173"/>
  <c r="C83" i="85"/>
  <c r="D166"/>
  <c r="AB184"/>
  <c r="C93"/>
  <c r="D176"/>
  <c r="AL184"/>
  <c r="C78"/>
  <c r="D161"/>
  <c r="W184"/>
  <c r="B181"/>
  <c r="E8"/>
  <c r="C216" i="39"/>
  <c r="AP227"/>
  <c r="AL184" i="78"/>
  <c r="C93"/>
  <c r="D176"/>
  <c r="D165"/>
  <c r="C82"/>
  <c r="AA184"/>
  <c r="C88"/>
  <c r="D171"/>
  <c r="AG184"/>
  <c r="C91"/>
  <c r="D174"/>
  <c r="AJ184"/>
  <c r="H226" i="101"/>
  <c r="D147"/>
  <c r="H148" s="1"/>
  <c r="G233"/>
  <c r="C154"/>
  <c r="G154" s="1"/>
  <c r="C165" i="79"/>
  <c r="AA183"/>
  <c r="AE183"/>
  <c r="C169"/>
  <c r="C163"/>
  <c r="Y183"/>
  <c r="C174"/>
  <c r="AJ183"/>
  <c r="I60" i="95"/>
  <c r="I65"/>
  <c r="I69"/>
  <c r="I73"/>
  <c r="I77"/>
  <c r="I62"/>
  <c r="B66"/>
  <c r="B70"/>
  <c r="B74"/>
  <c r="B78"/>
  <c r="I59"/>
  <c r="I64"/>
  <c r="I68"/>
  <c r="I72"/>
  <c r="I76"/>
  <c r="I80"/>
  <c r="B65"/>
  <c r="B69"/>
  <c r="B73"/>
  <c r="B77"/>
  <c r="I58"/>
  <c r="I63"/>
  <c r="I67"/>
  <c r="I71"/>
  <c r="I75"/>
  <c r="I79"/>
  <c r="B64"/>
  <c r="B68"/>
  <c r="B72"/>
  <c r="B76"/>
  <c r="B80"/>
  <c r="I57"/>
  <c r="I61"/>
  <c r="I66"/>
  <c r="I70"/>
  <c r="I74"/>
  <c r="I78"/>
  <c r="B63"/>
  <c r="B67"/>
  <c r="B71"/>
  <c r="B75"/>
  <c r="B79"/>
  <c r="AD182" i="87"/>
  <c r="B168"/>
  <c r="AA182"/>
  <c r="B165"/>
  <c r="AJ182"/>
  <c r="B174"/>
  <c r="D173" i="85"/>
  <c r="AI184"/>
  <c r="C90"/>
  <c r="C84"/>
  <c r="D167"/>
  <c r="AC184"/>
  <c r="D168"/>
  <c r="AD184"/>
  <c r="C85"/>
  <c r="C86"/>
  <c r="D169"/>
  <c r="AE184"/>
  <c r="C212" i="39"/>
  <c r="AL227"/>
  <c r="AF157" i="93"/>
  <c r="B150"/>
  <c r="B153"/>
  <c r="AI157"/>
  <c r="AB157"/>
  <c r="B146"/>
  <c r="B147"/>
  <c r="AC157"/>
  <c r="C114" i="92"/>
  <c r="C109"/>
  <c r="C113"/>
  <c r="C112"/>
  <c r="C111"/>
  <c r="C110"/>
  <c r="AM183" i="82"/>
  <c r="C177"/>
  <c r="C170"/>
  <c r="AF183"/>
  <c r="AC183"/>
  <c r="C167"/>
  <c r="C173"/>
  <c r="AI183"/>
  <c r="C114" i="101"/>
  <c r="G115" s="1"/>
  <c r="E219"/>
  <c r="C167" i="80"/>
  <c r="AC183"/>
  <c r="C171"/>
  <c r="AG183"/>
  <c r="C175"/>
  <c r="AK183"/>
  <c r="C209" i="36"/>
  <c r="AI227"/>
  <c r="AS227"/>
  <c r="C219"/>
  <c r="C214"/>
  <c r="AN227"/>
  <c r="C220"/>
  <c r="AT227"/>
  <c r="C218"/>
  <c r="AR227"/>
  <c r="AB183" i="81"/>
  <c r="C166"/>
  <c r="C170"/>
  <c r="AF183"/>
  <c r="AN183"/>
  <c r="C178"/>
  <c r="AA183"/>
  <c r="C165"/>
  <c r="C164"/>
  <c r="Z183"/>
  <c r="AM183"/>
  <c r="C177"/>
  <c r="AD183"/>
  <c r="C168"/>
  <c r="H230" i="101"/>
  <c r="D151"/>
  <c r="H152" s="1"/>
  <c r="K92"/>
  <c r="L92" s="1"/>
  <c r="B51" i="87"/>
  <c r="B64"/>
  <c r="B50"/>
  <c r="I56"/>
  <c r="I40"/>
  <c r="I55"/>
  <c r="B55"/>
  <c r="I38"/>
  <c r="B54"/>
  <c r="I52"/>
  <c r="I36"/>
  <c r="I51"/>
  <c r="I43"/>
  <c r="B56"/>
  <c r="I58"/>
  <c r="I48"/>
  <c r="I61"/>
  <c r="I47"/>
  <c r="B47"/>
  <c r="B60"/>
  <c r="I62"/>
  <c r="I45"/>
  <c r="I57"/>
  <c r="B61"/>
  <c r="B48"/>
  <c r="I50"/>
  <c r="I41"/>
  <c r="I53"/>
  <c r="B57"/>
  <c r="I39"/>
  <c r="B52"/>
  <c r="I54"/>
  <c r="I37"/>
  <c r="I49"/>
  <c r="B53"/>
  <c r="B59"/>
  <c r="I42"/>
  <c r="B58"/>
  <c r="I64"/>
  <c r="B49"/>
  <c r="I63"/>
  <c r="B63"/>
  <c r="I46"/>
  <c r="B62"/>
  <c r="I60"/>
  <c r="I44"/>
  <c r="I59"/>
  <c r="C163" i="78"/>
  <c r="Y183"/>
  <c r="AM183"/>
  <c r="C177"/>
  <c r="C168"/>
  <c r="AD183"/>
  <c r="M154" i="97"/>
  <c r="F113"/>
  <c r="D176" i="101"/>
  <c r="H177" s="1"/>
  <c r="J229"/>
  <c r="AJ227" i="39"/>
  <c r="C210"/>
  <c r="AH227"/>
  <c r="C208"/>
  <c r="K90" i="101"/>
  <c r="L90" s="1"/>
  <c r="B140" i="95"/>
  <c r="V157"/>
  <c r="R157"/>
  <c r="B136"/>
  <c r="T157"/>
  <c r="B138"/>
  <c r="AL227" i="63"/>
  <c r="C212"/>
  <c r="AO227"/>
  <c r="C215"/>
  <c r="AU227"/>
  <c r="C221"/>
  <c r="AJ227"/>
  <c r="C210"/>
  <c r="C174" i="101"/>
  <c r="G175" s="1"/>
  <c r="I227"/>
  <c r="I78" i="94"/>
  <c r="I69"/>
  <c r="B79"/>
  <c r="B64"/>
  <c r="I75"/>
  <c r="I66"/>
  <c r="B78"/>
  <c r="B67"/>
  <c r="I80"/>
  <c r="I71"/>
  <c r="B66"/>
  <c r="B63"/>
  <c r="I76"/>
  <c r="I61"/>
  <c r="I59"/>
  <c r="I57"/>
  <c r="B68"/>
  <c r="B65"/>
  <c r="I70"/>
  <c r="I77"/>
  <c r="I68"/>
  <c r="I67"/>
  <c r="I74"/>
  <c r="I73"/>
  <c r="I72"/>
  <c r="I79"/>
  <c r="I58"/>
  <c r="I60"/>
  <c r="I62"/>
  <c r="B80"/>
  <c r="B77"/>
  <c r="I65"/>
  <c r="I64"/>
  <c r="I63"/>
  <c r="B74"/>
  <c r="B71"/>
  <c r="B72"/>
  <c r="B69"/>
  <c r="B70"/>
  <c r="B75"/>
  <c r="B76"/>
  <c r="B73"/>
  <c r="K77" i="101"/>
  <c r="G57"/>
  <c r="Z182" i="86"/>
  <c r="B164"/>
  <c r="B178"/>
  <c r="AN182"/>
  <c r="B177"/>
  <c r="AM182"/>
  <c r="AB182"/>
  <c r="B166"/>
  <c r="AA182"/>
  <c r="B165"/>
  <c r="C206" i="42"/>
  <c r="AF227"/>
  <c r="C223"/>
  <c r="AW227"/>
  <c r="C58" i="96"/>
  <c r="B190" i="63"/>
  <c r="B193"/>
  <c r="I186"/>
  <c r="B199"/>
  <c r="I196"/>
  <c r="I177"/>
  <c r="I189"/>
  <c r="I191"/>
  <c r="I190"/>
  <c r="B186"/>
  <c r="B185"/>
  <c r="I169"/>
  <c r="I195"/>
  <c r="B192"/>
  <c r="B196"/>
  <c r="I187"/>
  <c r="I193"/>
  <c r="I168"/>
  <c r="I200"/>
  <c r="I184"/>
  <c r="I197"/>
  <c r="I182"/>
  <c r="I178"/>
  <c r="B189"/>
  <c r="B188"/>
  <c r="B195"/>
  <c r="I171"/>
  <c r="B191"/>
  <c r="I179"/>
  <c r="B198"/>
  <c r="I202"/>
  <c r="B201"/>
  <c r="I180"/>
  <c r="I170"/>
  <c r="I174"/>
  <c r="I185"/>
  <c r="I198"/>
  <c r="I188"/>
  <c r="I194"/>
  <c r="B194"/>
  <c r="I173"/>
  <c r="I176"/>
  <c r="I166"/>
  <c r="I172"/>
  <c r="B197"/>
  <c r="I201"/>
  <c r="I199"/>
  <c r="I167"/>
  <c r="I183"/>
  <c r="I181"/>
  <c r="I175"/>
  <c r="I192"/>
  <c r="B187"/>
  <c r="B202"/>
  <c r="I165"/>
  <c r="B200"/>
  <c r="F130" i="81"/>
  <c r="F131"/>
  <c r="C113" i="101"/>
  <c r="G114" s="1"/>
  <c r="E218"/>
  <c r="C207" i="60"/>
  <c r="AG227"/>
  <c r="AT227"/>
  <c r="C220"/>
  <c r="AW227"/>
  <c r="C223"/>
  <c r="AI227"/>
  <c r="C209"/>
  <c r="C113" i="91"/>
  <c r="C111"/>
  <c r="C110"/>
  <c r="C109"/>
  <c r="C114"/>
  <c r="C112"/>
  <c r="K112" i="101"/>
  <c r="L112" s="1"/>
  <c r="B137" i="94"/>
  <c r="S157"/>
  <c r="V157"/>
  <c r="B140"/>
  <c r="E8"/>
  <c r="B156"/>
  <c r="C84" i="95"/>
  <c r="AS228" i="60"/>
  <c r="D219"/>
  <c r="C118"/>
  <c r="C116"/>
  <c r="AQ228"/>
  <c r="D217"/>
  <c r="AF228"/>
  <c r="C105"/>
  <c r="D206"/>
  <c r="C108"/>
  <c r="D209"/>
  <c r="AI228"/>
  <c r="J87" i="101"/>
  <c r="H88"/>
  <c r="I35" i="79"/>
  <c r="I66" i="85"/>
  <c r="H154" i="101"/>
  <c r="I35" i="81"/>
  <c r="I4" i="95"/>
  <c r="I44" i="63"/>
  <c r="I4" i="86"/>
  <c r="I44" i="60"/>
  <c r="I84"/>
  <c r="B120" i="79" l="1"/>
  <c r="I112"/>
  <c r="B113"/>
  <c r="I105"/>
  <c r="I101"/>
  <c r="B116"/>
  <c r="B114"/>
  <c r="I108"/>
  <c r="B115"/>
  <c r="B117"/>
  <c r="I102"/>
  <c r="B124"/>
  <c r="I110"/>
  <c r="I106"/>
  <c r="B119"/>
  <c r="I99"/>
  <c r="I117"/>
  <c r="B118"/>
  <c r="I121"/>
  <c r="I116"/>
  <c r="B121"/>
  <c r="I103"/>
  <c r="I124"/>
  <c r="B109"/>
  <c r="I113"/>
  <c r="I120"/>
  <c r="B123"/>
  <c r="I107"/>
  <c r="I98"/>
  <c r="I97" s="1"/>
  <c r="G102" s="1"/>
  <c r="B122"/>
  <c r="I125"/>
  <c r="I109"/>
  <c r="B125"/>
  <c r="I123"/>
  <c r="I126"/>
  <c r="B110"/>
  <c r="I115"/>
  <c r="I119"/>
  <c r="B112"/>
  <c r="I100"/>
  <c r="I114"/>
  <c r="B111"/>
  <c r="I118"/>
  <c r="I122"/>
  <c r="B126"/>
  <c r="I104"/>
  <c r="I111"/>
  <c r="C111" i="89"/>
  <c r="C112"/>
  <c r="C109"/>
  <c r="C110"/>
  <c r="C114"/>
  <c r="C113"/>
  <c r="B181" i="80"/>
  <c r="E8"/>
  <c r="B144" i="90"/>
  <c r="Z157"/>
  <c r="B149"/>
  <c r="AE157"/>
  <c r="Y157"/>
  <c r="B143"/>
  <c r="E131" i="60"/>
  <c r="D132"/>
  <c r="C81" i="80"/>
  <c r="D164"/>
  <c r="Z184"/>
  <c r="D168"/>
  <c r="C85"/>
  <c r="AD184"/>
  <c r="D166"/>
  <c r="AB184"/>
  <c r="C83"/>
  <c r="D174"/>
  <c r="AJ184"/>
  <c r="C91"/>
  <c r="C80"/>
  <c r="Y184"/>
  <c r="D163"/>
  <c r="AA184" i="81"/>
  <c r="D165"/>
  <c r="C82"/>
  <c r="B181" i="82"/>
  <c r="E8"/>
  <c r="X157" i="91"/>
  <c r="B142"/>
  <c r="AH157"/>
  <c r="B152"/>
  <c r="U157"/>
  <c r="B139"/>
  <c r="AE157"/>
  <c r="B149"/>
  <c r="B146"/>
  <c r="AB157"/>
  <c r="Y157"/>
  <c r="B143"/>
  <c r="B153"/>
  <c r="AI157"/>
  <c r="AE184" i="82"/>
  <c r="D169"/>
  <c r="C86"/>
  <c r="AJ184"/>
  <c r="C91"/>
  <c r="D174"/>
  <c r="C93"/>
  <c r="D176"/>
  <c r="AL184"/>
  <c r="C85"/>
  <c r="AD184"/>
  <c r="D168"/>
  <c r="H48" i="119"/>
  <c r="D226" i="45"/>
  <c r="F87"/>
  <c r="T157" i="90"/>
  <c r="B138"/>
  <c r="B139"/>
  <c r="U157"/>
  <c r="AG157"/>
  <c r="B151"/>
  <c r="E8"/>
  <c r="B156"/>
  <c r="S157"/>
  <c r="B137"/>
  <c r="D169" i="80"/>
  <c r="AE184"/>
  <c r="C86"/>
  <c r="D161"/>
  <c r="C78"/>
  <c r="W184"/>
  <c r="AA184"/>
  <c r="D165"/>
  <c r="C82"/>
  <c r="C93"/>
  <c r="AL184"/>
  <c r="D176"/>
  <c r="F87" i="54"/>
  <c r="D226"/>
  <c r="C85" i="81"/>
  <c r="D168"/>
  <c r="AD184"/>
  <c r="B44" i="90"/>
  <c r="I39"/>
  <c r="I46"/>
  <c r="I33"/>
  <c r="I32"/>
  <c r="B38"/>
  <c r="I36"/>
  <c r="B53"/>
  <c r="I31"/>
  <c r="B51"/>
  <c r="I34"/>
  <c r="I50"/>
  <c r="I49"/>
  <c r="I48"/>
  <c r="B45"/>
  <c r="I44"/>
  <c r="B49"/>
  <c r="B43"/>
  <c r="B47"/>
  <c r="I42"/>
  <c r="B46"/>
  <c r="I40"/>
  <c r="I54"/>
  <c r="B41"/>
  <c r="I51"/>
  <c r="B39"/>
  <c r="I53"/>
  <c r="I38"/>
  <c r="B50"/>
  <c r="B48"/>
  <c r="I41"/>
  <c r="B52"/>
  <c r="I43"/>
  <c r="I47"/>
  <c r="I45"/>
  <c r="B54"/>
  <c r="B42"/>
  <c r="B40"/>
  <c r="I52"/>
  <c r="I35"/>
  <c r="I37"/>
  <c r="B37"/>
  <c r="B150" i="91"/>
  <c r="AF157"/>
  <c r="AC157"/>
  <c r="B147"/>
  <c r="B151"/>
  <c r="AG157"/>
  <c r="E105" i="81"/>
  <c r="D106"/>
  <c r="B41" i="89"/>
  <c r="B39"/>
  <c r="B42"/>
  <c r="B46"/>
  <c r="I50"/>
  <c r="B38"/>
  <c r="I42"/>
  <c r="I46"/>
  <c r="B50"/>
  <c r="B54"/>
  <c r="B51"/>
  <c r="I54"/>
  <c r="I37"/>
  <c r="I49"/>
  <c r="I52"/>
  <c r="I34"/>
  <c r="I44"/>
  <c r="I48"/>
  <c r="I53"/>
  <c r="I38"/>
  <c r="I33"/>
  <c r="I41"/>
  <c r="I35"/>
  <c r="I39"/>
  <c r="I43"/>
  <c r="I31"/>
  <c r="B53"/>
  <c r="B49"/>
  <c r="B45"/>
  <c r="I40"/>
  <c r="I51"/>
  <c r="I45"/>
  <c r="I47"/>
  <c r="B48"/>
  <c r="B44"/>
  <c r="B40"/>
  <c r="I36"/>
  <c r="I32"/>
  <c r="B43"/>
  <c r="B47"/>
  <c r="B52"/>
  <c r="B37"/>
  <c r="D164" i="82"/>
  <c r="Z184"/>
  <c r="C81"/>
  <c r="AB184"/>
  <c r="D166"/>
  <c r="C83"/>
  <c r="AM184"/>
  <c r="C94"/>
  <c r="D177"/>
  <c r="D173"/>
  <c r="C90"/>
  <c r="AI184"/>
  <c r="D165"/>
  <c r="AA184"/>
  <c r="C82"/>
  <c r="I66" i="80"/>
  <c r="B71" i="91"/>
  <c r="I64"/>
  <c r="I80"/>
  <c r="B67"/>
  <c r="I77"/>
  <c r="I60"/>
  <c r="B68"/>
  <c r="I74"/>
  <c r="I57"/>
  <c r="B65"/>
  <c r="I79"/>
  <c r="I63"/>
  <c r="B70"/>
  <c r="B75"/>
  <c r="B79"/>
  <c r="I59"/>
  <c r="I69"/>
  <c r="B76"/>
  <c r="I66"/>
  <c r="B73"/>
  <c r="I71"/>
  <c r="B78"/>
  <c r="B63"/>
  <c r="I62"/>
  <c r="B72"/>
  <c r="I61"/>
  <c r="B74"/>
  <c r="I68"/>
  <c r="I72"/>
  <c r="I76"/>
  <c r="I73"/>
  <c r="B80"/>
  <c r="B64"/>
  <c r="I70"/>
  <c r="B77"/>
  <c r="I75"/>
  <c r="I58"/>
  <c r="I56" s="1"/>
  <c r="B66"/>
  <c r="I65"/>
  <c r="I78"/>
  <c r="B69"/>
  <c r="I67"/>
  <c r="D132" i="54"/>
  <c r="E131"/>
  <c r="B150" i="90"/>
  <c r="AF157"/>
  <c r="B145"/>
  <c r="AA157"/>
  <c r="AC157"/>
  <c r="B147"/>
  <c r="AH157"/>
  <c r="B152"/>
  <c r="AB157"/>
  <c r="B146"/>
  <c r="D156" i="89"/>
  <c r="F60"/>
  <c r="F70" i="81"/>
  <c r="D181"/>
  <c r="C88" i="80"/>
  <c r="D171"/>
  <c r="AG184"/>
  <c r="D167"/>
  <c r="C84"/>
  <c r="AC184"/>
  <c r="AM184"/>
  <c r="D177"/>
  <c r="C94"/>
  <c r="C89"/>
  <c r="AH184"/>
  <c r="D172"/>
  <c r="X184"/>
  <c r="C79"/>
  <c r="D162"/>
  <c r="AI184"/>
  <c r="D173"/>
  <c r="C90"/>
  <c r="D176" i="81"/>
  <c r="AL184"/>
  <c r="C93"/>
  <c r="Y184"/>
  <c r="C80"/>
  <c r="D163"/>
  <c r="R157" i="91"/>
  <c r="B136"/>
  <c r="V157"/>
  <c r="B140"/>
  <c r="B137"/>
  <c r="S157"/>
  <c r="D132" i="51"/>
  <c r="E131"/>
  <c r="AG184" i="82"/>
  <c r="C88"/>
  <c r="D171"/>
  <c r="D170"/>
  <c r="C87"/>
  <c r="AF184"/>
  <c r="C79"/>
  <c r="X184"/>
  <c r="D162"/>
  <c r="E8" i="81"/>
  <c r="B181"/>
  <c r="I58" i="90"/>
  <c r="B73"/>
  <c r="B64"/>
  <c r="I73"/>
  <c r="I59"/>
  <c r="B78"/>
  <c r="I71"/>
  <c r="B69"/>
  <c r="I61"/>
  <c r="I78"/>
  <c r="B76"/>
  <c r="I69"/>
  <c r="B63"/>
  <c r="B79"/>
  <c r="I72"/>
  <c r="B74"/>
  <c r="I67"/>
  <c r="B65"/>
  <c r="I57"/>
  <c r="I74"/>
  <c r="B72"/>
  <c r="I65"/>
  <c r="I62"/>
  <c r="B75"/>
  <c r="I68"/>
  <c r="B70"/>
  <c r="I63"/>
  <c r="I79"/>
  <c r="B77"/>
  <c r="I70"/>
  <c r="B68"/>
  <c r="I60"/>
  <c r="I77"/>
  <c r="B71"/>
  <c r="I64"/>
  <c r="I80"/>
  <c r="B66"/>
  <c r="I75"/>
  <c r="I66"/>
  <c r="B80"/>
  <c r="B67"/>
  <c r="I76"/>
  <c r="AD157"/>
  <c r="B148"/>
  <c r="W157"/>
  <c r="B141"/>
  <c r="B140"/>
  <c r="V157"/>
  <c r="B142"/>
  <c r="X157"/>
  <c r="AI157"/>
  <c r="B153"/>
  <c r="B136"/>
  <c r="R157"/>
  <c r="C110"/>
  <c r="C109"/>
  <c r="C113"/>
  <c r="C111"/>
  <c r="C114"/>
  <c r="C112"/>
  <c r="G84"/>
  <c r="G85"/>
  <c r="G88" s="1"/>
  <c r="C95" i="80"/>
  <c r="D178"/>
  <c r="AN184"/>
  <c r="D175"/>
  <c r="C92"/>
  <c r="AK184"/>
  <c r="C87"/>
  <c r="D170"/>
  <c r="AF184"/>
  <c r="AG184" i="81"/>
  <c r="D171"/>
  <c r="C88"/>
  <c r="D226" i="57"/>
  <c r="F87"/>
  <c r="F130" i="80"/>
  <c r="F131"/>
  <c r="B144" i="91"/>
  <c r="Z157"/>
  <c r="W157"/>
  <c r="B141"/>
  <c r="B138"/>
  <c r="T157"/>
  <c r="AD157"/>
  <c r="B148"/>
  <c r="AA157"/>
  <c r="B145"/>
  <c r="E108" i="84"/>
  <c r="G99" s="1"/>
  <c r="D109"/>
  <c r="D110" s="1"/>
  <c r="D111" s="1"/>
  <c r="D112" s="1"/>
  <c r="D113" s="1"/>
  <c r="D114" s="1"/>
  <c r="D115" s="1"/>
  <c r="D116" s="1"/>
  <c r="D117" s="1"/>
  <c r="D118" s="1"/>
  <c r="D119" s="1"/>
  <c r="D120" s="1"/>
  <c r="D121" s="1"/>
  <c r="D122" s="1"/>
  <c r="D123" s="1"/>
  <c r="D124" s="1"/>
  <c r="D125" s="1"/>
  <c r="D126" s="1"/>
  <c r="F70" i="82"/>
  <c r="D181"/>
  <c r="C78"/>
  <c r="W184"/>
  <c r="D161"/>
  <c r="D172"/>
  <c r="C89"/>
  <c r="AH184"/>
  <c r="D163"/>
  <c r="Y184"/>
  <c r="C80"/>
  <c r="C92"/>
  <c r="D175"/>
  <c r="AK184"/>
  <c r="C84"/>
  <c r="D167"/>
  <c r="AC184"/>
  <c r="AN184"/>
  <c r="C95"/>
  <c r="D178"/>
  <c r="I4" i="91"/>
  <c r="E25" i="119"/>
  <c r="C25" s="1"/>
  <c r="C22" i="100" s="1"/>
  <c r="G48" i="119"/>
  <c r="C205" s="1"/>
  <c r="D191"/>
  <c r="D60"/>
  <c r="D198"/>
  <c r="D67"/>
  <c r="H68" s="1"/>
  <c r="C95"/>
  <c r="G96" s="1"/>
  <c r="E200"/>
  <c r="C70"/>
  <c r="G71" s="1"/>
  <c r="C201"/>
  <c r="D97"/>
  <c r="H98" s="1"/>
  <c r="F202"/>
  <c r="C205" i="101"/>
  <c r="K232"/>
  <c r="H119"/>
  <c r="J118"/>
  <c r="D226" i="36"/>
  <c r="F87"/>
  <c r="K37" i="119"/>
  <c r="L37" s="1"/>
  <c r="U157" i="96"/>
  <c r="B139"/>
  <c r="B136"/>
  <c r="R157"/>
  <c r="AB157"/>
  <c r="B146"/>
  <c r="Y157"/>
  <c r="B143"/>
  <c r="C32" i="63"/>
  <c r="I31"/>
  <c r="B31"/>
  <c r="E196" i="119"/>
  <c r="C91"/>
  <c r="G92" s="1"/>
  <c r="C62"/>
  <c r="G63" s="1"/>
  <c r="C193"/>
  <c r="D65"/>
  <c r="D196"/>
  <c r="E198"/>
  <c r="C93"/>
  <c r="G94" s="1"/>
  <c r="B141" i="97"/>
  <c r="W157"/>
  <c r="C202" i="101"/>
  <c r="G203" s="1"/>
  <c r="M230" s="1"/>
  <c r="K229"/>
  <c r="I4" i="96"/>
  <c r="I4" i="97"/>
  <c r="D199" i="119"/>
  <c r="D68"/>
  <c r="H69" s="1"/>
  <c r="K40"/>
  <c r="C75"/>
  <c r="G76" s="1"/>
  <c r="C206"/>
  <c r="H58" i="101"/>
  <c r="D77"/>
  <c r="C96" i="119"/>
  <c r="G97" s="1"/>
  <c r="E201"/>
  <c r="I58" i="96"/>
  <c r="I63"/>
  <c r="I67"/>
  <c r="I71"/>
  <c r="I75"/>
  <c r="I79"/>
  <c r="B64"/>
  <c r="B68"/>
  <c r="B72"/>
  <c r="B76"/>
  <c r="B80"/>
  <c r="I57"/>
  <c r="I61"/>
  <c r="I66"/>
  <c r="I70"/>
  <c r="I74"/>
  <c r="I78"/>
  <c r="B63"/>
  <c r="B67"/>
  <c r="B71"/>
  <c r="B75"/>
  <c r="B79"/>
  <c r="I60"/>
  <c r="I65"/>
  <c r="I69"/>
  <c r="I73"/>
  <c r="I77"/>
  <c r="I62"/>
  <c r="B66"/>
  <c r="B70"/>
  <c r="B74"/>
  <c r="B78"/>
  <c r="I59"/>
  <c r="I64"/>
  <c r="I68"/>
  <c r="I72"/>
  <c r="I76"/>
  <c r="I80"/>
  <c r="B65"/>
  <c r="B69"/>
  <c r="B73"/>
  <c r="B77"/>
  <c r="E135" i="39"/>
  <c r="D136"/>
  <c r="E205" i="119"/>
  <c r="C100"/>
  <c r="G101" s="1"/>
  <c r="D72"/>
  <c r="H73" s="1"/>
  <c r="D203"/>
  <c r="D63"/>
  <c r="D194"/>
  <c r="X157" i="96"/>
  <c r="B142"/>
  <c r="S157"/>
  <c r="B137"/>
  <c r="B147"/>
  <c r="AC157"/>
  <c r="B144"/>
  <c r="Z157"/>
  <c r="W157"/>
  <c r="B141"/>
  <c r="AG157"/>
  <c r="B151"/>
  <c r="B211" i="63"/>
  <c r="AK226"/>
  <c r="D138" i="57"/>
  <c r="E137"/>
  <c r="D74" i="119"/>
  <c r="H75" s="1"/>
  <c r="D205"/>
  <c r="K38"/>
  <c r="L38" s="1"/>
  <c r="D206"/>
  <c r="D75"/>
  <c r="H76" s="1"/>
  <c r="Y157" i="97"/>
  <c r="B143"/>
  <c r="AD157"/>
  <c r="B148"/>
  <c r="AA157"/>
  <c r="B145"/>
  <c r="AE157"/>
  <c r="B149"/>
  <c r="B152"/>
  <c r="AH157"/>
  <c r="C51" i="119"/>
  <c r="D190"/>
  <c r="D59"/>
  <c r="H60" s="1"/>
  <c r="D141" i="36"/>
  <c r="E140"/>
  <c r="B101" i="91"/>
  <c r="AD160" s="1"/>
  <c r="B93"/>
  <c r="V160" s="1"/>
  <c r="B104"/>
  <c r="AG160" s="1"/>
  <c r="B105"/>
  <c r="AH160" s="1"/>
  <c r="B92"/>
  <c r="U160" s="1"/>
  <c r="I90"/>
  <c r="I95"/>
  <c r="I100"/>
  <c r="I96"/>
  <c r="I106"/>
  <c r="B103"/>
  <c r="AF160" s="1"/>
  <c r="B97"/>
  <c r="Z160" s="1"/>
  <c r="B102"/>
  <c r="AE160" s="1"/>
  <c r="I83"/>
  <c r="I82" s="1"/>
  <c r="G87" s="1"/>
  <c r="I105"/>
  <c r="I87"/>
  <c r="I101"/>
  <c r="I102"/>
  <c r="B106"/>
  <c r="AI160" s="1"/>
  <c r="B94"/>
  <c r="W160" s="1"/>
  <c r="B99"/>
  <c r="AB160" s="1"/>
  <c r="I92"/>
  <c r="I86"/>
  <c r="I93"/>
  <c r="I98"/>
  <c r="B90"/>
  <c r="S160" s="1"/>
  <c r="B89"/>
  <c r="R160" s="1"/>
  <c r="B91"/>
  <c r="T160" s="1"/>
  <c r="B100"/>
  <c r="AC160" s="1"/>
  <c r="I94"/>
  <c r="I85"/>
  <c r="I104"/>
  <c r="I88"/>
  <c r="I99"/>
  <c r="B95"/>
  <c r="X160" s="1"/>
  <c r="I91"/>
  <c r="B96"/>
  <c r="Y160" s="1"/>
  <c r="I97"/>
  <c r="I84"/>
  <c r="I89"/>
  <c r="I103"/>
  <c r="B98"/>
  <c r="AA160" s="1"/>
  <c r="D69" i="119"/>
  <c r="H70" s="1"/>
  <c r="D200"/>
  <c r="D61"/>
  <c r="D192"/>
  <c r="K35"/>
  <c r="L35" s="1"/>
  <c r="C215" i="101"/>
  <c r="C84"/>
  <c r="G85" s="1"/>
  <c r="C90" i="119"/>
  <c r="G91" s="1"/>
  <c r="E195"/>
  <c r="D132" i="63"/>
  <c r="E131"/>
  <c r="D202" i="119"/>
  <c r="D71"/>
  <c r="H72" s="1"/>
  <c r="K36"/>
  <c r="L36" s="1"/>
  <c r="B140" i="96"/>
  <c r="V157"/>
  <c r="AF157"/>
  <c r="B150"/>
  <c r="B145"/>
  <c r="AA157"/>
  <c r="B152"/>
  <c r="AH157"/>
  <c r="AE157"/>
  <c r="B149"/>
  <c r="D106" i="87"/>
  <c r="E105"/>
  <c r="J115" i="101"/>
  <c r="K115" s="1"/>
  <c r="L115" s="1"/>
  <c r="H116"/>
  <c r="D138" i="45"/>
  <c r="E137"/>
  <c r="D73" i="119"/>
  <c r="H74" s="1"/>
  <c r="D204"/>
  <c r="E105" i="85"/>
  <c r="D106"/>
  <c r="K39" i="119"/>
  <c r="L39" s="1"/>
  <c r="C189"/>
  <c r="C58"/>
  <c r="G59" s="1"/>
  <c r="C92"/>
  <c r="G93" s="1"/>
  <c r="E197"/>
  <c r="AF157" i="97"/>
  <c r="B150"/>
  <c r="B136"/>
  <c r="R157"/>
  <c r="B138"/>
  <c r="T157"/>
  <c r="B139"/>
  <c r="U157"/>
  <c r="B142"/>
  <c r="X157"/>
  <c r="E132" i="48"/>
  <c r="D133"/>
  <c r="E204" i="119"/>
  <c r="C99"/>
  <c r="G100" s="1"/>
  <c r="C74"/>
  <c r="G75" s="1"/>
  <c r="J51"/>
  <c r="K34"/>
  <c r="G31" s="1"/>
  <c r="D193"/>
  <c r="D62"/>
  <c r="C86"/>
  <c r="G87" s="1"/>
  <c r="E191"/>
  <c r="B113" i="80"/>
  <c r="I118"/>
  <c r="I117"/>
  <c r="B116"/>
  <c r="B119"/>
  <c r="I126"/>
  <c r="B126"/>
  <c r="I114"/>
  <c r="B120"/>
  <c r="I109"/>
  <c r="I99"/>
  <c r="B111"/>
  <c r="B109"/>
  <c r="I106"/>
  <c r="I122"/>
  <c r="B112"/>
  <c r="I105"/>
  <c r="I112"/>
  <c r="B122"/>
  <c r="I116"/>
  <c r="B110"/>
  <c r="I120"/>
  <c r="I119"/>
  <c r="I102"/>
  <c r="B121"/>
  <c r="I125"/>
  <c r="I101"/>
  <c r="B124"/>
  <c r="I98"/>
  <c r="I108"/>
  <c r="B115"/>
  <c r="I110"/>
  <c r="B125"/>
  <c r="I103"/>
  <c r="I124"/>
  <c r="I115"/>
  <c r="I123"/>
  <c r="B114"/>
  <c r="B123"/>
  <c r="I121"/>
  <c r="B117"/>
  <c r="I111"/>
  <c r="I100"/>
  <c r="I113"/>
  <c r="I107"/>
  <c r="B118"/>
  <c r="I104"/>
  <c r="D195" i="119"/>
  <c r="D64"/>
  <c r="B148" i="96"/>
  <c r="AD157"/>
  <c r="B153"/>
  <c r="AI157"/>
  <c r="T157"/>
  <c r="B138"/>
  <c r="C87" i="119"/>
  <c r="G88" s="1"/>
  <c r="E192"/>
  <c r="D105" i="78"/>
  <c r="E104"/>
  <c r="E139" i="42"/>
  <c r="D140"/>
  <c r="B121" i="82"/>
  <c r="B114"/>
  <c r="B120"/>
  <c r="I110"/>
  <c r="B117"/>
  <c r="B115"/>
  <c r="I103"/>
  <c r="B112"/>
  <c r="I104"/>
  <c r="I124"/>
  <c r="I109"/>
  <c r="B125"/>
  <c r="I112"/>
  <c r="B116"/>
  <c r="I123"/>
  <c r="I113"/>
  <c r="B119"/>
  <c r="I117"/>
  <c r="I122"/>
  <c r="B118"/>
  <c r="I116"/>
  <c r="I102"/>
  <c r="I114"/>
  <c r="B126"/>
  <c r="I98"/>
  <c r="I97" s="1"/>
  <c r="G102" s="1"/>
  <c r="B109"/>
  <c r="I115"/>
  <c r="I108"/>
  <c r="B124"/>
  <c r="I105"/>
  <c r="I101"/>
  <c r="B122"/>
  <c r="I126"/>
  <c r="I120"/>
  <c r="I119"/>
  <c r="B111"/>
  <c r="I107"/>
  <c r="B110"/>
  <c r="I99"/>
  <c r="I100"/>
  <c r="B113"/>
  <c r="I106"/>
  <c r="I111"/>
  <c r="B123"/>
  <c r="I118"/>
  <c r="I121"/>
  <c r="I125"/>
  <c r="E193" i="119"/>
  <c r="C88"/>
  <c r="G89" s="1"/>
  <c r="D197"/>
  <c r="D66"/>
  <c r="D51"/>
  <c r="H32"/>
  <c r="E199"/>
  <c r="C94"/>
  <c r="G95" s="1"/>
  <c r="B72" i="97"/>
  <c r="I65"/>
  <c r="B63"/>
  <c r="B79"/>
  <c r="I72"/>
  <c r="B66"/>
  <c r="I58"/>
  <c r="I75"/>
  <c r="B73"/>
  <c r="I66"/>
  <c r="B68"/>
  <c r="I60"/>
  <c r="I77"/>
  <c r="B75"/>
  <c r="I68"/>
  <c r="I62"/>
  <c r="B78"/>
  <c r="I71"/>
  <c r="B69"/>
  <c r="I61"/>
  <c r="I78"/>
  <c r="B64"/>
  <c r="B80"/>
  <c r="I73"/>
  <c r="B71"/>
  <c r="I64"/>
  <c r="I80"/>
  <c r="B74"/>
  <c r="I67"/>
  <c r="B65"/>
  <c r="I57"/>
  <c r="I74"/>
  <c r="B76"/>
  <c r="I69"/>
  <c r="B67"/>
  <c r="I59"/>
  <c r="I76"/>
  <c r="B70"/>
  <c r="I63"/>
  <c r="I79"/>
  <c r="B77"/>
  <c r="I70"/>
  <c r="S157"/>
  <c r="B137"/>
  <c r="B140"/>
  <c r="V157"/>
  <c r="AG157"/>
  <c r="B151"/>
  <c r="B153"/>
  <c r="AI157"/>
  <c r="B144"/>
  <c r="Z157"/>
  <c r="AB157"/>
  <c r="B146"/>
  <c r="B147"/>
  <c r="AC157"/>
  <c r="C98" i="119"/>
  <c r="G99" s="1"/>
  <c r="E203"/>
  <c r="C78" i="101"/>
  <c r="C180"/>
  <c r="G180" s="1"/>
  <c r="I233"/>
  <c r="E39" i="81"/>
  <c r="C181"/>
  <c r="I141"/>
  <c r="B151"/>
  <c r="B157"/>
  <c r="I134"/>
  <c r="I156"/>
  <c r="B149"/>
  <c r="B153"/>
  <c r="I131"/>
  <c r="B155"/>
  <c r="I146"/>
  <c r="B144"/>
  <c r="B154"/>
  <c r="I143"/>
  <c r="B150"/>
  <c r="I151"/>
  <c r="I135"/>
  <c r="B142"/>
  <c r="I136"/>
  <c r="I154"/>
  <c r="I138"/>
  <c r="I129"/>
  <c r="I149"/>
  <c r="I132"/>
  <c r="I157"/>
  <c r="I153"/>
  <c r="I147"/>
  <c r="B148"/>
  <c r="I145"/>
  <c r="I139"/>
  <c r="I152"/>
  <c r="B140"/>
  <c r="B152"/>
  <c r="B145"/>
  <c r="I144"/>
  <c r="I140"/>
  <c r="B156"/>
  <c r="I150"/>
  <c r="B146"/>
  <c r="B143"/>
  <c r="I142"/>
  <c r="I137"/>
  <c r="I133"/>
  <c r="I148"/>
  <c r="B141"/>
  <c r="I130"/>
  <c r="I155"/>
  <c r="B147"/>
  <c r="F223" i="63"/>
  <c r="AW230"/>
  <c r="F219"/>
  <c r="AS230"/>
  <c r="F216"/>
  <c r="AP230"/>
  <c r="F213"/>
  <c r="AM230"/>
  <c r="F207"/>
  <c r="AG230"/>
  <c r="F214"/>
  <c r="AN230"/>
  <c r="AB159" i="94"/>
  <c r="C73"/>
  <c r="D146"/>
  <c r="C69"/>
  <c r="D142"/>
  <c r="X159"/>
  <c r="C80"/>
  <c r="AI159"/>
  <c r="D153"/>
  <c r="C65"/>
  <c r="D138"/>
  <c r="T159"/>
  <c r="C167" i="87"/>
  <c r="AC183"/>
  <c r="C166"/>
  <c r="AB183"/>
  <c r="W183"/>
  <c r="C161"/>
  <c r="C169"/>
  <c r="AE183"/>
  <c r="Z183"/>
  <c r="C164"/>
  <c r="G220" i="101"/>
  <c r="C141"/>
  <c r="G142" s="1"/>
  <c r="D144" i="95"/>
  <c r="Z159"/>
  <c r="C71"/>
  <c r="D141"/>
  <c r="C68"/>
  <c r="W159"/>
  <c r="AF159"/>
  <c r="D150"/>
  <c r="C77"/>
  <c r="C70"/>
  <c r="Y159"/>
  <c r="D143"/>
  <c r="E39" i="82"/>
  <c r="C181"/>
  <c r="C111" i="95"/>
  <c r="C112"/>
  <c r="C114"/>
  <c r="C110"/>
  <c r="C109"/>
  <c r="C113"/>
  <c r="F211" i="45"/>
  <c r="AK230"/>
  <c r="F208"/>
  <c r="AH230"/>
  <c r="AJ230"/>
  <c r="F210"/>
  <c r="AV230"/>
  <c r="F222"/>
  <c r="F221"/>
  <c r="AU230"/>
  <c r="Y158" i="92"/>
  <c r="C143"/>
  <c r="C137"/>
  <c r="S158"/>
  <c r="C146"/>
  <c r="AB158"/>
  <c r="C140"/>
  <c r="V158"/>
  <c r="C153"/>
  <c r="AI158"/>
  <c r="AH230" i="57"/>
  <c r="F208"/>
  <c r="AI230"/>
  <c r="F209"/>
  <c r="F222"/>
  <c r="AV230"/>
  <c r="F216"/>
  <c r="AP230"/>
  <c r="F219"/>
  <c r="AS230"/>
  <c r="F221"/>
  <c r="AU230"/>
  <c r="F217"/>
  <c r="AQ230"/>
  <c r="AG230" i="36"/>
  <c r="F207"/>
  <c r="H207" s="1"/>
  <c r="AG231" s="1"/>
  <c r="F220"/>
  <c r="AT230"/>
  <c r="F223"/>
  <c r="AW230"/>
  <c r="F213"/>
  <c r="AM230"/>
  <c r="AN230"/>
  <c r="F214"/>
  <c r="H214" s="1"/>
  <c r="AN231" s="1"/>
  <c r="F208" i="48"/>
  <c r="AH230"/>
  <c r="AS230"/>
  <c r="F219"/>
  <c r="F216"/>
  <c r="AP230"/>
  <c r="AR230"/>
  <c r="F218"/>
  <c r="F214"/>
  <c r="AN230"/>
  <c r="I153" i="79"/>
  <c r="I140"/>
  <c r="I146"/>
  <c r="I145"/>
  <c r="B157"/>
  <c r="B156"/>
  <c r="B153"/>
  <c r="B149"/>
  <c r="B148"/>
  <c r="B140"/>
  <c r="B144"/>
  <c r="I134"/>
  <c r="I132"/>
  <c r="I150"/>
  <c r="I131"/>
  <c r="I156"/>
  <c r="I142"/>
  <c r="I149"/>
  <c r="I148"/>
  <c r="B142"/>
  <c r="I141"/>
  <c r="B143"/>
  <c r="I138"/>
  <c r="I151"/>
  <c r="I130"/>
  <c r="I136"/>
  <c r="I157"/>
  <c r="B155"/>
  <c r="I152"/>
  <c r="B151"/>
  <c r="B147"/>
  <c r="B152"/>
  <c r="B145"/>
  <c r="I139"/>
  <c r="B154"/>
  <c r="B150"/>
  <c r="B146"/>
  <c r="I143"/>
  <c r="I155"/>
  <c r="I137"/>
  <c r="I135"/>
  <c r="I147"/>
  <c r="I129"/>
  <c r="I144"/>
  <c r="I133"/>
  <c r="B141"/>
  <c r="I154"/>
  <c r="G207" i="36"/>
  <c r="I207" s="1"/>
  <c r="C164" i="83"/>
  <c r="Z183"/>
  <c r="AM183"/>
  <c r="C177"/>
  <c r="C168"/>
  <c r="AD183"/>
  <c r="C138" i="93"/>
  <c r="T158"/>
  <c r="C150"/>
  <c r="AF158"/>
  <c r="R158"/>
  <c r="C136"/>
  <c r="V158"/>
  <c r="C140"/>
  <c r="C144"/>
  <c r="Z158"/>
  <c r="AH158"/>
  <c r="C152"/>
  <c r="X158"/>
  <c r="C142"/>
  <c r="C146"/>
  <c r="AB158"/>
  <c r="E8"/>
  <c r="B156"/>
  <c r="AD183" i="85"/>
  <c r="C168"/>
  <c r="C173"/>
  <c r="AI183"/>
  <c r="X183"/>
  <c r="C162"/>
  <c r="C174"/>
  <c r="AJ183"/>
  <c r="C171"/>
  <c r="AG183"/>
  <c r="G84" i="96"/>
  <c r="G85"/>
  <c r="G88" s="1"/>
  <c r="W183" i="86"/>
  <c r="C161"/>
  <c r="AE183"/>
  <c r="C169"/>
  <c r="C168"/>
  <c r="AD183"/>
  <c r="C171" i="101"/>
  <c r="G172" s="1"/>
  <c r="I224"/>
  <c r="F216" i="54"/>
  <c r="AP230"/>
  <c r="F218"/>
  <c r="AR230"/>
  <c r="AG230"/>
  <c r="F207"/>
  <c r="AS230"/>
  <c r="F219"/>
  <c r="F211"/>
  <c r="AK230"/>
  <c r="F221"/>
  <c r="AU230"/>
  <c r="C73" i="93"/>
  <c r="D146"/>
  <c r="AB159"/>
  <c r="C75"/>
  <c r="AD159"/>
  <c r="D148"/>
  <c r="C64"/>
  <c r="D137"/>
  <c r="S159"/>
  <c r="AB183" i="84"/>
  <c r="C166"/>
  <c r="C169"/>
  <c r="AE183"/>
  <c r="E47" i="39"/>
  <c r="C226"/>
  <c r="C94" i="86"/>
  <c r="AM184"/>
  <c r="D177"/>
  <c r="D162"/>
  <c r="X184"/>
  <c r="C79"/>
  <c r="C78"/>
  <c r="D161"/>
  <c r="W184"/>
  <c r="C92"/>
  <c r="D175"/>
  <c r="AK184"/>
  <c r="F111" i="93"/>
  <c r="F110"/>
  <c r="B145" i="82"/>
  <c r="B153"/>
  <c r="I154"/>
  <c r="B154"/>
  <c r="I134"/>
  <c r="B147"/>
  <c r="I131"/>
  <c r="B146"/>
  <c r="I139"/>
  <c r="I155"/>
  <c r="I137"/>
  <c r="I140"/>
  <c r="I129"/>
  <c r="I141"/>
  <c r="I153"/>
  <c r="B156"/>
  <c r="B157"/>
  <c r="I132"/>
  <c r="I152"/>
  <c r="B148"/>
  <c r="I143"/>
  <c r="I149"/>
  <c r="B149"/>
  <c r="I157"/>
  <c r="I145"/>
  <c r="B140"/>
  <c r="I146"/>
  <c r="B151"/>
  <c r="I151"/>
  <c r="I156"/>
  <c r="I135"/>
  <c r="I138"/>
  <c r="B142"/>
  <c r="I144"/>
  <c r="I142"/>
  <c r="I147"/>
  <c r="B152"/>
  <c r="I130"/>
  <c r="B141"/>
  <c r="I148"/>
  <c r="B150"/>
  <c r="I136"/>
  <c r="I133"/>
  <c r="B144"/>
  <c r="B155"/>
  <c r="B143"/>
  <c r="I150"/>
  <c r="C84" i="87"/>
  <c r="AC184"/>
  <c r="D167"/>
  <c r="X184"/>
  <c r="C79"/>
  <c r="D162"/>
  <c r="W184"/>
  <c r="D161"/>
  <c r="C78"/>
  <c r="AG184"/>
  <c r="C88"/>
  <c r="D171"/>
  <c r="C85"/>
  <c r="AD184"/>
  <c r="D168"/>
  <c r="AF184"/>
  <c r="C87"/>
  <c r="D170"/>
  <c r="C172" i="101"/>
  <c r="G173" s="1"/>
  <c r="I225"/>
  <c r="AF158" i="94"/>
  <c r="C150"/>
  <c r="C151"/>
  <c r="AG158"/>
  <c r="C141"/>
  <c r="W158"/>
  <c r="AD158"/>
  <c r="C148"/>
  <c r="J230" i="101"/>
  <c r="D177"/>
  <c r="H178" s="1"/>
  <c r="F212" i="51"/>
  <c r="AL230"/>
  <c r="F214"/>
  <c r="AN230"/>
  <c r="F219"/>
  <c r="AS230"/>
  <c r="AH230"/>
  <c r="F208"/>
  <c r="AQ230"/>
  <c r="F217"/>
  <c r="D113" i="101"/>
  <c r="F218"/>
  <c r="AF158" i="91"/>
  <c r="C150"/>
  <c r="C136"/>
  <c r="R158"/>
  <c r="T158"/>
  <c r="C138"/>
  <c r="C142"/>
  <c r="X158"/>
  <c r="I35" i="87"/>
  <c r="I164" i="36"/>
  <c r="I164" i="48"/>
  <c r="I30" i="93"/>
  <c r="I56"/>
  <c r="I66" i="86"/>
  <c r="I30" i="94"/>
  <c r="I164" i="51"/>
  <c r="I30" i="91"/>
  <c r="C226" i="60"/>
  <c r="E47"/>
  <c r="E39" i="79"/>
  <c r="C181"/>
  <c r="G219" i="101"/>
  <c r="C140"/>
  <c r="G141" s="1"/>
  <c r="AQ230" i="63"/>
  <c r="F217"/>
  <c r="AF223"/>
  <c r="F206"/>
  <c r="H206" s="1"/>
  <c r="AF231" s="1"/>
  <c r="AF230"/>
  <c r="C70" i="94"/>
  <c r="D143"/>
  <c r="Y159"/>
  <c r="C74"/>
  <c r="D147"/>
  <c r="AC159"/>
  <c r="C77"/>
  <c r="D150"/>
  <c r="AF159"/>
  <c r="U159"/>
  <c r="D139"/>
  <c r="C66"/>
  <c r="C78"/>
  <c r="D151"/>
  <c r="AG159"/>
  <c r="D152"/>
  <c r="C79"/>
  <c r="AH159"/>
  <c r="C201" i="101"/>
  <c r="G202" s="1"/>
  <c r="M229" s="1"/>
  <c r="K228"/>
  <c r="L230"/>
  <c r="D203"/>
  <c r="H204" s="1"/>
  <c r="N231" s="1"/>
  <c r="C176" i="87"/>
  <c r="AL183"/>
  <c r="Y183"/>
  <c r="C163"/>
  <c r="C173"/>
  <c r="AI183"/>
  <c r="C175"/>
  <c r="AK183"/>
  <c r="AJ183"/>
  <c r="C174"/>
  <c r="F110" i="92"/>
  <c r="F111"/>
  <c r="AD159" i="95"/>
  <c r="C75"/>
  <c r="D148"/>
  <c r="C72"/>
  <c r="AA159"/>
  <c r="D145"/>
  <c r="T159"/>
  <c r="D138"/>
  <c r="C65"/>
  <c r="C74"/>
  <c r="AC159"/>
  <c r="D147"/>
  <c r="C181" i="80"/>
  <c r="E39"/>
  <c r="AL230" i="45"/>
  <c r="F212"/>
  <c r="AQ230"/>
  <c r="F217"/>
  <c r="C139" i="92"/>
  <c r="U158"/>
  <c r="W158"/>
  <c r="C141"/>
  <c r="C142"/>
  <c r="X158"/>
  <c r="C136"/>
  <c r="R158"/>
  <c r="F207" i="57"/>
  <c r="AG230"/>
  <c r="F213"/>
  <c r="AM230"/>
  <c r="F210"/>
  <c r="AJ230"/>
  <c r="AR230"/>
  <c r="F218"/>
  <c r="F219" i="36"/>
  <c r="H219" s="1"/>
  <c r="AS231" s="1"/>
  <c r="AS230"/>
  <c r="AP230"/>
  <c r="F216"/>
  <c r="F217"/>
  <c r="H217" s="1"/>
  <c r="AQ231" s="1"/>
  <c r="AQ230"/>
  <c r="F212"/>
  <c r="G212" s="1"/>
  <c r="I212" s="1"/>
  <c r="AL230"/>
  <c r="F212" i="48"/>
  <c r="AL230"/>
  <c r="F215"/>
  <c r="AO230"/>
  <c r="AU230"/>
  <c r="F221"/>
  <c r="AQ230"/>
  <c r="F217"/>
  <c r="AW230"/>
  <c r="F223"/>
  <c r="H212" i="36"/>
  <c r="AL231" s="1"/>
  <c r="C173" i="83"/>
  <c r="AI183"/>
  <c r="C163"/>
  <c r="Y183"/>
  <c r="C162"/>
  <c r="X183"/>
  <c r="AG183"/>
  <c r="C171"/>
  <c r="AF183"/>
  <c r="C170"/>
  <c r="C165"/>
  <c r="AA183"/>
  <c r="AA158" i="93"/>
  <c r="C145"/>
  <c r="E47" i="42"/>
  <c r="C226"/>
  <c r="C161" i="85"/>
  <c r="W183"/>
  <c r="C167"/>
  <c r="AC183"/>
  <c r="AF183"/>
  <c r="C170"/>
  <c r="AH183"/>
  <c r="C172"/>
  <c r="J116" i="101"/>
  <c r="H117"/>
  <c r="C114" i="96"/>
  <c r="C113"/>
  <c r="C111"/>
  <c r="C112"/>
  <c r="C110"/>
  <c r="C109"/>
  <c r="C171" i="86"/>
  <c r="AG183"/>
  <c r="C162"/>
  <c r="X183"/>
  <c r="AF183"/>
  <c r="C170"/>
  <c r="C178"/>
  <c r="AN183"/>
  <c r="C163"/>
  <c r="Y183"/>
  <c r="AM183"/>
  <c r="C177"/>
  <c r="C176"/>
  <c r="AL183"/>
  <c r="AM230" i="54"/>
  <c r="F213"/>
  <c r="F214"/>
  <c r="AN230"/>
  <c r="AJ230"/>
  <c r="F210"/>
  <c r="F212"/>
  <c r="AL230"/>
  <c r="F215"/>
  <c r="AO230"/>
  <c r="D144" i="93"/>
  <c r="C71"/>
  <c r="Z159"/>
  <c r="AG159"/>
  <c r="C78"/>
  <c r="D151"/>
  <c r="D145"/>
  <c r="AA159"/>
  <c r="C72"/>
  <c r="AH159"/>
  <c r="D152"/>
  <c r="C79"/>
  <c r="B117" i="86"/>
  <c r="B122"/>
  <c r="B119"/>
  <c r="B115"/>
  <c r="B110"/>
  <c r="B109"/>
  <c r="B120"/>
  <c r="B116"/>
  <c r="B121"/>
  <c r="B111"/>
  <c r="B123"/>
  <c r="B114"/>
  <c r="B125"/>
  <c r="B112"/>
  <c r="B113"/>
  <c r="B124"/>
  <c r="B126"/>
  <c r="B118"/>
  <c r="I123"/>
  <c r="I112"/>
  <c r="I113"/>
  <c r="I105"/>
  <c r="I116"/>
  <c r="I99"/>
  <c r="I110"/>
  <c r="I122"/>
  <c r="I107"/>
  <c r="I125"/>
  <c r="I103"/>
  <c r="I124"/>
  <c r="I111"/>
  <c r="I109"/>
  <c r="I102"/>
  <c r="I115"/>
  <c r="I100"/>
  <c r="I118"/>
  <c r="I98"/>
  <c r="I97" s="1"/>
  <c r="G102" s="1"/>
  <c r="I106"/>
  <c r="I117"/>
  <c r="I104"/>
  <c r="I120"/>
  <c r="I119"/>
  <c r="I121"/>
  <c r="I114"/>
  <c r="I108"/>
  <c r="I101"/>
  <c r="I126"/>
  <c r="AA183" i="84"/>
  <c r="C165"/>
  <c r="C163"/>
  <c r="Y183"/>
  <c r="C173"/>
  <c r="AI183"/>
  <c r="C171"/>
  <c r="AG183"/>
  <c r="C162"/>
  <c r="X183"/>
  <c r="Z183"/>
  <c r="C164"/>
  <c r="I166" i="60"/>
  <c r="I184"/>
  <c r="I178"/>
  <c r="B196"/>
  <c r="I176"/>
  <c r="I170"/>
  <c r="I182"/>
  <c r="I167"/>
  <c r="B186"/>
  <c r="B190"/>
  <c r="B191"/>
  <c r="I197"/>
  <c r="I169"/>
  <c r="I168"/>
  <c r="I181"/>
  <c r="I188"/>
  <c r="I195"/>
  <c r="I199"/>
  <c r="I165"/>
  <c r="B185"/>
  <c r="I200"/>
  <c r="I194"/>
  <c r="B197"/>
  <c r="B193"/>
  <c r="B189"/>
  <c r="B199"/>
  <c r="I193"/>
  <c r="I196"/>
  <c r="I177"/>
  <c r="I189"/>
  <c r="I172"/>
  <c r="B201"/>
  <c r="B188"/>
  <c r="I198"/>
  <c r="I174"/>
  <c r="I171"/>
  <c r="I175"/>
  <c r="I185"/>
  <c r="I180"/>
  <c r="B192"/>
  <c r="I191"/>
  <c r="I179"/>
  <c r="I187"/>
  <c r="I190"/>
  <c r="I202"/>
  <c r="I183"/>
  <c r="B202"/>
  <c r="I173"/>
  <c r="B194"/>
  <c r="B200"/>
  <c r="I201"/>
  <c r="B195"/>
  <c r="I192"/>
  <c r="B187"/>
  <c r="I186"/>
  <c r="B198"/>
  <c r="C83" i="86"/>
  <c r="D166"/>
  <c r="AB184"/>
  <c r="AD184"/>
  <c r="C85"/>
  <c r="D168"/>
  <c r="D170"/>
  <c r="AF184"/>
  <c r="C87"/>
  <c r="C81"/>
  <c r="D164"/>
  <c r="Z184"/>
  <c r="D176" i="87"/>
  <c r="C93"/>
  <c r="AL184"/>
  <c r="AM184"/>
  <c r="D177"/>
  <c r="C94"/>
  <c r="D164"/>
  <c r="C81"/>
  <c r="Z184"/>
  <c r="C83"/>
  <c r="AB184"/>
  <c r="D166"/>
  <c r="D174"/>
  <c r="C91"/>
  <c r="AJ184"/>
  <c r="C89"/>
  <c r="AH184"/>
  <c r="D172"/>
  <c r="J117" i="101"/>
  <c r="H118"/>
  <c r="F131" i="84"/>
  <c r="F130"/>
  <c r="I98" i="93"/>
  <c r="I100"/>
  <c r="I102"/>
  <c r="I90"/>
  <c r="I88"/>
  <c r="I103"/>
  <c r="I87"/>
  <c r="I89"/>
  <c r="I86"/>
  <c r="I106"/>
  <c r="B104"/>
  <c r="AG160" s="1"/>
  <c r="B89"/>
  <c r="R160" s="1"/>
  <c r="B90"/>
  <c r="S160" s="1"/>
  <c r="B100"/>
  <c r="AC160" s="1"/>
  <c r="B95"/>
  <c r="X160" s="1"/>
  <c r="B94"/>
  <c r="W160" s="1"/>
  <c r="B106"/>
  <c r="AI160" s="1"/>
  <c r="B98"/>
  <c r="AA160" s="1"/>
  <c r="I85"/>
  <c r="I92"/>
  <c r="I97"/>
  <c r="I95"/>
  <c r="I101"/>
  <c r="I91"/>
  <c r="B93"/>
  <c r="V160" s="1"/>
  <c r="B105"/>
  <c r="AH160" s="1"/>
  <c r="B99"/>
  <c r="AB160" s="1"/>
  <c r="I93"/>
  <c r="B92"/>
  <c r="U160" s="1"/>
  <c r="B97"/>
  <c r="Z160" s="1"/>
  <c r="I96"/>
  <c r="B103"/>
  <c r="AF160" s="1"/>
  <c r="B101"/>
  <c r="AD160" s="1"/>
  <c r="I104"/>
  <c r="I105"/>
  <c r="B96"/>
  <c r="Y160" s="1"/>
  <c r="B91"/>
  <c r="T160" s="1"/>
  <c r="B102"/>
  <c r="AE160" s="1"/>
  <c r="I99"/>
  <c r="I94"/>
  <c r="I84"/>
  <c r="I83"/>
  <c r="I82" s="1"/>
  <c r="G87" s="1"/>
  <c r="G85" i="97"/>
  <c r="G88" s="1"/>
  <c r="G84"/>
  <c r="B192" i="42"/>
  <c r="B190"/>
  <c r="I188"/>
  <c r="I181"/>
  <c r="B202"/>
  <c r="I173"/>
  <c r="I166"/>
  <c r="I172"/>
  <c r="I184"/>
  <c r="I193"/>
  <c r="I176"/>
  <c r="B187"/>
  <c r="I168"/>
  <c r="B189"/>
  <c r="B197"/>
  <c r="I165"/>
  <c r="B186"/>
  <c r="I189"/>
  <c r="I201"/>
  <c r="I182"/>
  <c r="I186"/>
  <c r="B198"/>
  <c r="B199"/>
  <c r="I187"/>
  <c r="I177"/>
  <c r="B193"/>
  <c r="I169"/>
  <c r="I171"/>
  <c r="I200"/>
  <c r="I199"/>
  <c r="I192"/>
  <c r="I180"/>
  <c r="I178"/>
  <c r="I183"/>
  <c r="B191"/>
  <c r="I174"/>
  <c r="I185"/>
  <c r="I197"/>
  <c r="I202"/>
  <c r="I196"/>
  <c r="I170"/>
  <c r="B195"/>
  <c r="I190"/>
  <c r="I194"/>
  <c r="B196"/>
  <c r="B185"/>
  <c r="B188"/>
  <c r="B200"/>
  <c r="I198"/>
  <c r="I175"/>
  <c r="I179"/>
  <c r="I167"/>
  <c r="B194"/>
  <c r="I191"/>
  <c r="I195"/>
  <c r="B201"/>
  <c r="AB158" i="94"/>
  <c r="C146"/>
  <c r="C152"/>
  <c r="AH158"/>
  <c r="C137"/>
  <c r="S158"/>
  <c r="K223" i="101"/>
  <c r="C196"/>
  <c r="G197" s="1"/>
  <c r="M224" s="1"/>
  <c r="AG230" i="51"/>
  <c r="F207"/>
  <c r="F220"/>
  <c r="AT230"/>
  <c r="AM230"/>
  <c r="F213"/>
  <c r="AR230"/>
  <c r="F218"/>
  <c r="L229" i="101"/>
  <c r="D202"/>
  <c r="H203" s="1"/>
  <c r="N230" s="1"/>
  <c r="K86"/>
  <c r="L86" s="1"/>
  <c r="J103"/>
  <c r="C140" i="91"/>
  <c r="V158"/>
  <c r="C144"/>
  <c r="Z158"/>
  <c r="C146"/>
  <c r="AB158"/>
  <c r="AI158"/>
  <c r="C153"/>
  <c r="AG158"/>
  <c r="C151"/>
  <c r="D83" i="101"/>
  <c r="D214"/>
  <c r="H77"/>
  <c r="I164" i="63"/>
  <c r="I56" i="94"/>
  <c r="I56" i="95"/>
  <c r="D226" i="60"/>
  <c r="F87"/>
  <c r="B156" i="95"/>
  <c r="E8"/>
  <c r="K87" i="101"/>
  <c r="L87" s="1"/>
  <c r="F215" i="63"/>
  <c r="AO230"/>
  <c r="AL230"/>
  <c r="F212"/>
  <c r="AD159" i="94"/>
  <c r="D148"/>
  <c r="C75"/>
  <c r="C67"/>
  <c r="V159"/>
  <c r="D140"/>
  <c r="C171" i="87"/>
  <c r="AG183"/>
  <c r="AD183"/>
  <c r="C168"/>
  <c r="AA183"/>
  <c r="C165"/>
  <c r="C63" i="95"/>
  <c r="R159"/>
  <c r="D136"/>
  <c r="D149"/>
  <c r="AE159"/>
  <c r="C76"/>
  <c r="D142"/>
  <c r="C69"/>
  <c r="X159"/>
  <c r="AG159"/>
  <c r="D151"/>
  <c r="C78"/>
  <c r="J227" i="101"/>
  <c r="D174"/>
  <c r="H175" s="1"/>
  <c r="AS230" i="45"/>
  <c r="F219"/>
  <c r="AP230"/>
  <c r="F216"/>
  <c r="AN230"/>
  <c r="F214"/>
  <c r="AM230"/>
  <c r="F213"/>
  <c r="C152" i="92"/>
  <c r="AH158"/>
  <c r="C138"/>
  <c r="T158"/>
  <c r="C151"/>
  <c r="AG158"/>
  <c r="AA158"/>
  <c r="C145"/>
  <c r="F206" i="57"/>
  <c r="AF230"/>
  <c r="AF223"/>
  <c r="F211"/>
  <c r="AK230"/>
  <c r="AN230"/>
  <c r="F214"/>
  <c r="AL230"/>
  <c r="F212"/>
  <c r="AO230"/>
  <c r="F215"/>
  <c r="AJ230" i="36"/>
  <c r="F210"/>
  <c r="G210" s="1"/>
  <c r="I210" s="1"/>
  <c r="AO230"/>
  <c r="F215"/>
  <c r="H215" s="1"/>
  <c r="AO231" s="1"/>
  <c r="AU230"/>
  <c r="F221"/>
  <c r="H221" s="1"/>
  <c r="AU231" s="1"/>
  <c r="AI230"/>
  <c r="F209"/>
  <c r="H209" s="1"/>
  <c r="AI231" s="1"/>
  <c r="AI230" i="48"/>
  <c r="F209"/>
  <c r="F213"/>
  <c r="AM230"/>
  <c r="AV230"/>
  <c r="F222"/>
  <c r="F206"/>
  <c r="AF230"/>
  <c r="F131" i="85"/>
  <c r="F130"/>
  <c r="W183" i="83"/>
  <c r="C161"/>
  <c r="AE183"/>
  <c r="C169"/>
  <c r="C178"/>
  <c r="AN183"/>
  <c r="C172"/>
  <c r="AH183"/>
  <c r="C137" i="93"/>
  <c r="S158"/>
  <c r="Y158"/>
  <c r="C143"/>
  <c r="G85" i="94"/>
  <c r="G88" s="1"/>
  <c r="G84"/>
  <c r="E47" i="36"/>
  <c r="C226"/>
  <c r="AB183" i="85"/>
  <c r="C166"/>
  <c r="C178"/>
  <c r="AN183"/>
  <c r="C164"/>
  <c r="Z183"/>
  <c r="C176"/>
  <c r="AL183"/>
  <c r="AM183"/>
  <c r="C177"/>
  <c r="C163"/>
  <c r="Y183"/>
  <c r="AA183" i="86"/>
  <c r="C165"/>
  <c r="AI183"/>
  <c r="C173"/>
  <c r="C164"/>
  <c r="Z183"/>
  <c r="AV230" i="54"/>
  <c r="F222"/>
  <c r="AH230"/>
  <c r="F208"/>
  <c r="W159" i="93"/>
  <c r="C68"/>
  <c r="D141"/>
  <c r="D138"/>
  <c r="T159"/>
  <c r="C65"/>
  <c r="C76"/>
  <c r="D149"/>
  <c r="AE159"/>
  <c r="C66"/>
  <c r="D139"/>
  <c r="U159"/>
  <c r="D153"/>
  <c r="AI159"/>
  <c r="C80"/>
  <c r="B51" i="97"/>
  <c r="B41"/>
  <c r="I47"/>
  <c r="I41"/>
  <c r="I54"/>
  <c r="B39"/>
  <c r="B48"/>
  <c r="I35"/>
  <c r="I52"/>
  <c r="I42"/>
  <c r="B50"/>
  <c r="B43"/>
  <c r="B52"/>
  <c r="I39"/>
  <c r="I34"/>
  <c r="I46"/>
  <c r="B54"/>
  <c r="B40"/>
  <c r="B53"/>
  <c r="I44"/>
  <c r="I53"/>
  <c r="B42"/>
  <c r="B44"/>
  <c r="I31"/>
  <c r="I48"/>
  <c r="I38"/>
  <c r="B46"/>
  <c r="I32"/>
  <c r="B45"/>
  <c r="I51"/>
  <c r="I45"/>
  <c r="I33"/>
  <c r="I36"/>
  <c r="B49"/>
  <c r="I40"/>
  <c r="I49"/>
  <c r="B38"/>
  <c r="B47"/>
  <c r="B37"/>
  <c r="I43"/>
  <c r="I37"/>
  <c r="I50"/>
  <c r="F131" i="87"/>
  <c r="F130"/>
  <c r="G216" i="36"/>
  <c r="I216" s="1"/>
  <c r="H216"/>
  <c r="AP231" s="1"/>
  <c r="G217"/>
  <c r="I217" s="1"/>
  <c r="C167" i="84"/>
  <c r="AC183"/>
  <c r="AN183"/>
  <c r="C178"/>
  <c r="W183"/>
  <c r="C161"/>
  <c r="AH183"/>
  <c r="C172"/>
  <c r="C170"/>
  <c r="AF183"/>
  <c r="C114" i="94"/>
  <c r="C112"/>
  <c r="C111"/>
  <c r="C110"/>
  <c r="C109"/>
  <c r="C113"/>
  <c r="F70" i="78"/>
  <c r="D181"/>
  <c r="AJ184" i="86"/>
  <c r="C91"/>
  <c r="D174"/>
  <c r="D176"/>
  <c r="AL184"/>
  <c r="C93"/>
  <c r="Y184"/>
  <c r="D163"/>
  <c r="C80"/>
  <c r="C95"/>
  <c r="AN184"/>
  <c r="D178"/>
  <c r="C82"/>
  <c r="AA184"/>
  <c r="D165"/>
  <c r="D172"/>
  <c r="AH184"/>
  <c r="C89"/>
  <c r="I31" i="96"/>
  <c r="B47"/>
  <c r="B37"/>
  <c r="B46"/>
  <c r="I37"/>
  <c r="I50"/>
  <c r="B43"/>
  <c r="B52"/>
  <c r="B42"/>
  <c r="I34"/>
  <c r="I46"/>
  <c r="B39"/>
  <c r="B48"/>
  <c r="B38"/>
  <c r="I52"/>
  <c r="I42"/>
  <c r="I51"/>
  <c r="B44"/>
  <c r="I33"/>
  <c r="I48"/>
  <c r="I38"/>
  <c r="I47"/>
  <c r="B40"/>
  <c r="B53"/>
  <c r="I44"/>
  <c r="I53"/>
  <c r="I43"/>
  <c r="I36"/>
  <c r="B49"/>
  <c r="I40"/>
  <c r="I49"/>
  <c r="I39"/>
  <c r="I32"/>
  <c r="B45"/>
  <c r="B54"/>
  <c r="I45"/>
  <c r="I35"/>
  <c r="B51"/>
  <c r="B41"/>
  <c r="B50"/>
  <c r="I41"/>
  <c r="I54"/>
  <c r="D165" i="87"/>
  <c r="AA184"/>
  <c r="C82"/>
  <c r="C90"/>
  <c r="AI184"/>
  <c r="D173"/>
  <c r="C80"/>
  <c r="D163"/>
  <c r="Y184"/>
  <c r="D175"/>
  <c r="AK184"/>
  <c r="C92"/>
  <c r="B140" i="78"/>
  <c r="B151"/>
  <c r="I134"/>
  <c r="B150"/>
  <c r="I146"/>
  <c r="I143"/>
  <c r="I145"/>
  <c r="B157"/>
  <c r="B156"/>
  <c r="B153"/>
  <c r="B149"/>
  <c r="B148"/>
  <c r="B143"/>
  <c r="I138"/>
  <c r="B145"/>
  <c r="I153"/>
  <c r="I140"/>
  <c r="I149"/>
  <c r="I156"/>
  <c r="I142"/>
  <c r="I133"/>
  <c r="I148"/>
  <c r="B142"/>
  <c r="I141"/>
  <c r="I139"/>
  <c r="B154"/>
  <c r="I132"/>
  <c r="I150"/>
  <c r="I131"/>
  <c r="B144"/>
  <c r="B155"/>
  <c r="I152"/>
  <c r="I130"/>
  <c r="B147"/>
  <c r="B152"/>
  <c r="I151"/>
  <c r="B141"/>
  <c r="I154"/>
  <c r="B146"/>
  <c r="I136"/>
  <c r="I157"/>
  <c r="I155"/>
  <c r="I137"/>
  <c r="I135"/>
  <c r="I147"/>
  <c r="I129"/>
  <c r="I144"/>
  <c r="D146" i="101"/>
  <c r="H147" s="1"/>
  <c r="H225"/>
  <c r="H223" i="36"/>
  <c r="AW231" s="1"/>
  <c r="G223"/>
  <c r="I223" s="1"/>
  <c r="AI158" i="94"/>
  <c r="C153"/>
  <c r="C140"/>
  <c r="V158"/>
  <c r="C136"/>
  <c r="R158"/>
  <c r="C145"/>
  <c r="AA158"/>
  <c r="AK230" i="51"/>
  <c r="F211"/>
  <c r="F209"/>
  <c r="AI230"/>
  <c r="AV230"/>
  <c r="F222"/>
  <c r="C149" i="91"/>
  <c r="AE158"/>
  <c r="AC158"/>
  <c r="C147"/>
  <c r="S158"/>
  <c r="C137"/>
  <c r="C141"/>
  <c r="W158"/>
  <c r="U158"/>
  <c r="C139"/>
  <c r="I164" i="45"/>
  <c r="I30" i="92"/>
  <c r="I35" i="83"/>
  <c r="I35" i="86"/>
  <c r="I35" i="84"/>
  <c r="E8" i="86"/>
  <c r="B181"/>
  <c r="F70" i="85"/>
  <c r="D181"/>
  <c r="F111" i="91"/>
  <c r="F110"/>
  <c r="AU230" i="63"/>
  <c r="F221"/>
  <c r="AV230"/>
  <c r="F222"/>
  <c r="AJ230"/>
  <c r="F210"/>
  <c r="H210" s="1"/>
  <c r="AJ231" s="1"/>
  <c r="AT230"/>
  <c r="F220"/>
  <c r="C83" i="101"/>
  <c r="C214"/>
  <c r="C236" s="1"/>
  <c r="G77"/>
  <c r="G78" s="1"/>
  <c r="C71" i="94"/>
  <c r="Z159"/>
  <c r="D144"/>
  <c r="C63"/>
  <c r="R159"/>
  <c r="D136"/>
  <c r="C64"/>
  <c r="D137"/>
  <c r="S159"/>
  <c r="C113" i="97"/>
  <c r="C111"/>
  <c r="C112"/>
  <c r="C114"/>
  <c r="C110"/>
  <c r="C109"/>
  <c r="X183" i="87"/>
  <c r="C162"/>
  <c r="G220" i="36"/>
  <c r="I220" s="1"/>
  <c r="H220"/>
  <c r="AT231" s="1"/>
  <c r="C79" i="95"/>
  <c r="D152"/>
  <c r="AH159"/>
  <c r="C226" i="63"/>
  <c r="E47"/>
  <c r="D180" i="101"/>
  <c r="H180" s="1"/>
  <c r="J233"/>
  <c r="D114"/>
  <c r="F219"/>
  <c r="G85" i="95"/>
  <c r="G88" s="1"/>
  <c r="G84"/>
  <c r="AH230" i="63"/>
  <c r="F208"/>
  <c r="F218"/>
  <c r="AR230"/>
  <c r="AI230"/>
  <c r="F209"/>
  <c r="F211"/>
  <c r="H211" s="1"/>
  <c r="AK231" s="1"/>
  <c r="AK230"/>
  <c r="C76" i="94"/>
  <c r="D149"/>
  <c r="AE159"/>
  <c r="AA159"/>
  <c r="C72"/>
  <c r="D145"/>
  <c r="D141"/>
  <c r="C68"/>
  <c r="W159"/>
  <c r="C177" i="87"/>
  <c r="AM183"/>
  <c r="AH183"/>
  <c r="C172"/>
  <c r="AF183"/>
  <c r="C170"/>
  <c r="AN183"/>
  <c r="C178"/>
  <c r="J231" i="101"/>
  <c r="D178"/>
  <c r="H179" s="1"/>
  <c r="G219" i="36"/>
  <c r="I219" s="1"/>
  <c r="V159" i="95"/>
  <c r="D140"/>
  <c r="C67"/>
  <c r="AI159"/>
  <c r="D153"/>
  <c r="C80"/>
  <c r="S159"/>
  <c r="D137"/>
  <c r="C64"/>
  <c r="C73"/>
  <c r="AB159"/>
  <c r="D146"/>
  <c r="D139"/>
  <c r="C66"/>
  <c r="U159"/>
  <c r="AW230" i="45"/>
  <c r="F223"/>
  <c r="F207"/>
  <c r="AG230"/>
  <c r="AT230"/>
  <c r="F220"/>
  <c r="F206"/>
  <c r="AF223"/>
  <c r="AF230"/>
  <c r="F215"/>
  <c r="AO230"/>
  <c r="F218"/>
  <c r="AR230"/>
  <c r="F209"/>
  <c r="AI230"/>
  <c r="C148" i="92"/>
  <c r="AD158"/>
  <c r="AC158"/>
  <c r="C147"/>
  <c r="AE158"/>
  <c r="C149"/>
  <c r="C150"/>
  <c r="AF158"/>
  <c r="C144"/>
  <c r="Z158"/>
  <c r="K227" i="101"/>
  <c r="C200"/>
  <c r="G201" s="1"/>
  <c r="M228" s="1"/>
  <c r="F220" i="57"/>
  <c r="AT230"/>
  <c r="F223"/>
  <c r="AW230"/>
  <c r="F206" i="36"/>
  <c r="G206" s="1"/>
  <c r="I206" s="1"/>
  <c r="AF230"/>
  <c r="AF223"/>
  <c r="AV230"/>
  <c r="F222"/>
  <c r="G222" s="1"/>
  <c r="I222" s="1"/>
  <c r="F211"/>
  <c r="AK230"/>
  <c r="F208"/>
  <c r="G208" s="1"/>
  <c r="I208" s="1"/>
  <c r="AH230"/>
  <c r="AR230"/>
  <c r="F218"/>
  <c r="H218" s="1"/>
  <c r="AR231" s="1"/>
  <c r="G208" i="63"/>
  <c r="I208" s="1"/>
  <c r="H208"/>
  <c r="AH231" s="1"/>
  <c r="AT230" i="48"/>
  <c r="F220"/>
  <c r="F211"/>
  <c r="AK230"/>
  <c r="AJ230"/>
  <c r="F210"/>
  <c r="F207"/>
  <c r="AG230"/>
  <c r="F130" i="86"/>
  <c r="F131"/>
  <c r="C166" i="83"/>
  <c r="AB183"/>
  <c r="AL183"/>
  <c r="C176"/>
  <c r="AC183"/>
  <c r="C167"/>
  <c r="C174"/>
  <c r="AJ183"/>
  <c r="C175"/>
  <c r="AK183"/>
  <c r="C153" i="93"/>
  <c r="AI158"/>
  <c r="C139"/>
  <c r="U158"/>
  <c r="C147"/>
  <c r="AC158"/>
  <c r="AE158"/>
  <c r="C149"/>
  <c r="C141"/>
  <c r="W158"/>
  <c r="C151"/>
  <c r="AG158"/>
  <c r="AD158"/>
  <c r="C148"/>
  <c r="E39" i="78"/>
  <c r="C181"/>
  <c r="I170" i="39"/>
  <c r="I196"/>
  <c r="I200"/>
  <c r="I193"/>
  <c r="I197"/>
  <c r="I167"/>
  <c r="B191"/>
  <c r="I191"/>
  <c r="I187"/>
  <c r="I183"/>
  <c r="B199"/>
  <c r="I199"/>
  <c r="I195"/>
  <c r="I180"/>
  <c r="I184"/>
  <c r="I201"/>
  <c r="B188"/>
  <c r="B196"/>
  <c r="I202"/>
  <c r="B194"/>
  <c r="I192"/>
  <c r="I174"/>
  <c r="B187"/>
  <c r="I190"/>
  <c r="B201"/>
  <c r="I182"/>
  <c r="B195"/>
  <c r="I189"/>
  <c r="I171"/>
  <c r="B186"/>
  <c r="I173"/>
  <c r="I166"/>
  <c r="B198"/>
  <c r="B202"/>
  <c r="B190"/>
  <c r="B200"/>
  <c r="I194"/>
  <c r="B185"/>
  <c r="I185"/>
  <c r="I176"/>
  <c r="I172"/>
  <c r="I175"/>
  <c r="I168"/>
  <c r="I188"/>
  <c r="I198"/>
  <c r="I186"/>
  <c r="I178"/>
  <c r="B197"/>
  <c r="B192"/>
  <c r="B189"/>
  <c r="B193"/>
  <c r="I181"/>
  <c r="I177"/>
  <c r="I165"/>
  <c r="I169"/>
  <c r="I179"/>
  <c r="AA183" i="85"/>
  <c r="C165"/>
  <c r="AE183"/>
  <c r="C169"/>
  <c r="C175"/>
  <c r="AK183"/>
  <c r="AC183" i="86"/>
  <c r="C167"/>
  <c r="C166"/>
  <c r="AB183"/>
  <c r="C175"/>
  <c r="AK183"/>
  <c r="C174"/>
  <c r="AJ183"/>
  <c r="C172"/>
  <c r="AH183"/>
  <c r="H207" i="63"/>
  <c r="AG231" s="1"/>
  <c r="G207"/>
  <c r="I207" s="1"/>
  <c r="F220" i="54"/>
  <c r="AT230"/>
  <c r="AF223"/>
  <c r="F206"/>
  <c r="AF230"/>
  <c r="AW230"/>
  <c r="F223"/>
  <c r="F209"/>
  <c r="AI230"/>
  <c r="AQ230"/>
  <c r="F217"/>
  <c r="C69" i="93"/>
  <c r="D142"/>
  <c r="X159"/>
  <c r="D136"/>
  <c r="R159"/>
  <c r="C63"/>
  <c r="D143"/>
  <c r="Y159"/>
  <c r="C70"/>
  <c r="D147"/>
  <c r="AC159"/>
  <c r="C74"/>
  <c r="AF159"/>
  <c r="C77"/>
  <c r="D150"/>
  <c r="C67"/>
  <c r="V159"/>
  <c r="D140"/>
  <c r="C174" i="84"/>
  <c r="AJ183"/>
  <c r="C175"/>
  <c r="AK183"/>
  <c r="C168"/>
  <c r="AD183"/>
  <c r="C176"/>
  <c r="AL183"/>
  <c r="AM183"/>
  <c r="C177"/>
  <c r="B181" i="87"/>
  <c r="E8"/>
  <c r="AE184" i="86"/>
  <c r="C86"/>
  <c r="D169"/>
  <c r="D171"/>
  <c r="C88"/>
  <c r="AG184"/>
  <c r="C90"/>
  <c r="AI184"/>
  <c r="D173"/>
  <c r="C84"/>
  <c r="D167"/>
  <c r="AC184"/>
  <c r="C204" i="101"/>
  <c r="G205" s="1"/>
  <c r="M232" s="1"/>
  <c r="K231"/>
  <c r="B54" i="95"/>
  <c r="I45"/>
  <c r="I35"/>
  <c r="B51"/>
  <c r="B41"/>
  <c r="B50"/>
  <c r="I41"/>
  <c r="I54"/>
  <c r="B39"/>
  <c r="B48"/>
  <c r="B46"/>
  <c r="I37"/>
  <c r="I50"/>
  <c r="B43"/>
  <c r="B52"/>
  <c r="B42"/>
  <c r="I34"/>
  <c r="I46"/>
  <c r="I47"/>
  <c r="B40"/>
  <c r="B53"/>
  <c r="B38"/>
  <c r="I52"/>
  <c r="I42"/>
  <c r="I51"/>
  <c r="B44"/>
  <c r="I33"/>
  <c r="I48"/>
  <c r="I38"/>
  <c r="I39"/>
  <c r="I32"/>
  <c r="B45"/>
  <c r="I44"/>
  <c r="I53"/>
  <c r="I43"/>
  <c r="I36"/>
  <c r="B49"/>
  <c r="I40"/>
  <c r="I49"/>
  <c r="I31"/>
  <c r="B47"/>
  <c r="B37"/>
  <c r="H140" i="101"/>
  <c r="J139"/>
  <c r="F131" i="83"/>
  <c r="F130"/>
  <c r="AN184" i="87"/>
  <c r="C95"/>
  <c r="D178"/>
  <c r="C86"/>
  <c r="AE184"/>
  <c r="D169"/>
  <c r="C203" i="101"/>
  <c r="G204" s="1"/>
  <c r="M231" s="1"/>
  <c r="K230"/>
  <c r="G209" i="63"/>
  <c r="I209" s="1"/>
  <c r="H209"/>
  <c r="AI231" s="1"/>
  <c r="G213" i="36"/>
  <c r="I213" s="1"/>
  <c r="H213"/>
  <c r="AM231" s="1"/>
  <c r="G211"/>
  <c r="I211" s="1"/>
  <c r="H211"/>
  <c r="AK231" s="1"/>
  <c r="C147" i="94"/>
  <c r="AC158"/>
  <c r="U158"/>
  <c r="C139"/>
  <c r="C149"/>
  <c r="AE158"/>
  <c r="C143"/>
  <c r="Y158"/>
  <c r="Z158"/>
  <c r="C144"/>
  <c r="C138"/>
  <c r="T158"/>
  <c r="X158"/>
  <c r="C142"/>
  <c r="AP230" i="51"/>
  <c r="F216"/>
  <c r="F215"/>
  <c r="AO230"/>
  <c r="AF230"/>
  <c r="AF223"/>
  <c r="F206"/>
  <c r="AU230"/>
  <c r="F221"/>
  <c r="AW230"/>
  <c r="F223"/>
  <c r="F210"/>
  <c r="AJ230"/>
  <c r="C148" i="91"/>
  <c r="AD158"/>
  <c r="C145"/>
  <c r="AA158"/>
  <c r="C143"/>
  <c r="Y158"/>
  <c r="C152"/>
  <c r="AH158"/>
  <c r="I164" i="57"/>
  <c r="I35" i="85"/>
  <c r="I164" i="54"/>
  <c r="I66" i="87"/>
  <c r="C68" i="90" l="1"/>
  <c r="D141"/>
  <c r="W159"/>
  <c r="AE159"/>
  <c r="C76"/>
  <c r="D149"/>
  <c r="D137"/>
  <c r="S159"/>
  <c r="C64"/>
  <c r="AI159" i="91"/>
  <c r="C80"/>
  <c r="D153"/>
  <c r="AB159"/>
  <c r="D146"/>
  <c r="C73"/>
  <c r="D140"/>
  <c r="V159"/>
  <c r="C67"/>
  <c r="F70" i="80"/>
  <c r="D181"/>
  <c r="R158" i="89"/>
  <c r="C136"/>
  <c r="AC158"/>
  <c r="C147"/>
  <c r="AI158"/>
  <c r="C153"/>
  <c r="S158"/>
  <c r="C137"/>
  <c r="T158"/>
  <c r="C138"/>
  <c r="C153" i="90"/>
  <c r="AI158"/>
  <c r="C151"/>
  <c r="AG158"/>
  <c r="V158"/>
  <c r="C140"/>
  <c r="C152"/>
  <c r="AH158"/>
  <c r="E132" i="60"/>
  <c r="D133"/>
  <c r="I30" i="89"/>
  <c r="G100" i="84"/>
  <c r="G103" s="1"/>
  <c r="I134" i="80"/>
  <c r="B143"/>
  <c r="I145"/>
  <c r="B155"/>
  <c r="B140"/>
  <c r="I150"/>
  <c r="B146"/>
  <c r="B156"/>
  <c r="I136"/>
  <c r="B141"/>
  <c r="B144"/>
  <c r="I135"/>
  <c r="I129"/>
  <c r="B153"/>
  <c r="B145"/>
  <c r="B148"/>
  <c r="I137"/>
  <c r="I148"/>
  <c r="I139"/>
  <c r="I144"/>
  <c r="I147"/>
  <c r="I152"/>
  <c r="I156"/>
  <c r="I132"/>
  <c r="I155"/>
  <c r="I138"/>
  <c r="I130"/>
  <c r="I143"/>
  <c r="I131"/>
  <c r="I146"/>
  <c r="I140"/>
  <c r="I157"/>
  <c r="B150"/>
  <c r="I142"/>
  <c r="I154"/>
  <c r="I141"/>
  <c r="B152"/>
  <c r="B151"/>
  <c r="I149"/>
  <c r="I153"/>
  <c r="B157"/>
  <c r="B154"/>
  <c r="I151"/>
  <c r="I133"/>
  <c r="B149"/>
  <c r="B142"/>
  <c r="B147"/>
  <c r="B91" i="90"/>
  <c r="T160" s="1"/>
  <c r="B96"/>
  <c r="Y160" s="1"/>
  <c r="B102"/>
  <c r="AE160" s="1"/>
  <c r="B100"/>
  <c r="AC160" s="1"/>
  <c r="B90"/>
  <c r="S160" s="1"/>
  <c r="B103"/>
  <c r="AF160" s="1"/>
  <c r="B93"/>
  <c r="V160" s="1"/>
  <c r="B94"/>
  <c r="W160" s="1"/>
  <c r="B92"/>
  <c r="U160" s="1"/>
  <c r="B97"/>
  <c r="Z160" s="1"/>
  <c r="B95"/>
  <c r="X160" s="1"/>
  <c r="B89"/>
  <c r="R160" s="1"/>
  <c r="B99"/>
  <c r="AB160" s="1"/>
  <c r="B105"/>
  <c r="AH160" s="1"/>
  <c r="B106"/>
  <c r="AI160" s="1"/>
  <c r="B104"/>
  <c r="AG160" s="1"/>
  <c r="I84"/>
  <c r="B101"/>
  <c r="AD160" s="1"/>
  <c r="B98"/>
  <c r="AA160" s="1"/>
  <c r="I83"/>
  <c r="I82" s="1"/>
  <c r="G87" s="1"/>
  <c r="I90"/>
  <c r="I97"/>
  <c r="I100"/>
  <c r="I102"/>
  <c r="I86"/>
  <c r="I93"/>
  <c r="I105"/>
  <c r="I94"/>
  <c r="I91"/>
  <c r="I89"/>
  <c r="I103"/>
  <c r="I99"/>
  <c r="I96"/>
  <c r="I106"/>
  <c r="I85"/>
  <c r="I101"/>
  <c r="I104"/>
  <c r="I95"/>
  <c r="I87"/>
  <c r="I92"/>
  <c r="I98"/>
  <c r="I88"/>
  <c r="F110"/>
  <c r="F111"/>
  <c r="AI159"/>
  <c r="D153"/>
  <c r="C80"/>
  <c r="D148"/>
  <c r="AD159"/>
  <c r="C75"/>
  <c r="C74"/>
  <c r="D147"/>
  <c r="AC159"/>
  <c r="D142"/>
  <c r="C69"/>
  <c r="X159"/>
  <c r="D133" i="51"/>
  <c r="E132"/>
  <c r="X159" i="91"/>
  <c r="D142"/>
  <c r="C69"/>
  <c r="D156"/>
  <c r="F60"/>
  <c r="D137"/>
  <c r="S159"/>
  <c r="C64"/>
  <c r="D145"/>
  <c r="AA159"/>
  <c r="C72"/>
  <c r="Y159"/>
  <c r="C70"/>
  <c r="D143"/>
  <c r="C71"/>
  <c r="D144"/>
  <c r="Z159"/>
  <c r="C142" i="89"/>
  <c r="X158"/>
  <c r="C143"/>
  <c r="Y158"/>
  <c r="AH158"/>
  <c r="C152"/>
  <c r="C150"/>
  <c r="AF158"/>
  <c r="C141"/>
  <c r="W158"/>
  <c r="W158" i="90"/>
  <c r="C141"/>
  <c r="AE158"/>
  <c r="C149"/>
  <c r="AA158"/>
  <c r="C145"/>
  <c r="C148"/>
  <c r="AD158"/>
  <c r="Y158"/>
  <c r="C143"/>
  <c r="E8" i="91"/>
  <c r="B156"/>
  <c r="V159" i="90"/>
  <c r="C67"/>
  <c r="D140"/>
  <c r="C66"/>
  <c r="U159"/>
  <c r="D139"/>
  <c r="C77"/>
  <c r="AF159"/>
  <c r="D150"/>
  <c r="D145"/>
  <c r="AA159"/>
  <c r="C72"/>
  <c r="C63"/>
  <c r="D136"/>
  <c r="R159"/>
  <c r="U159" i="91"/>
  <c r="D139"/>
  <c r="C66"/>
  <c r="D151"/>
  <c r="AG159"/>
  <c r="C78"/>
  <c r="D149"/>
  <c r="AE159"/>
  <c r="C76"/>
  <c r="AD159"/>
  <c r="C75"/>
  <c r="D148"/>
  <c r="T159"/>
  <c r="D138"/>
  <c r="C65"/>
  <c r="C146" i="89"/>
  <c r="AB158"/>
  <c r="C139"/>
  <c r="U158"/>
  <c r="AD158"/>
  <c r="C148"/>
  <c r="C145"/>
  <c r="AA158"/>
  <c r="E106" i="81"/>
  <c r="D107"/>
  <c r="I30" i="90"/>
  <c r="R158"/>
  <c r="C136"/>
  <c r="C139"/>
  <c r="U158"/>
  <c r="AC158"/>
  <c r="C147"/>
  <c r="T158"/>
  <c r="C138"/>
  <c r="X158"/>
  <c r="C142"/>
  <c r="C150"/>
  <c r="AF158"/>
  <c r="C137"/>
  <c r="S158"/>
  <c r="I56"/>
  <c r="C23" i="100"/>
  <c r="C25"/>
  <c r="C27" s="1"/>
  <c r="C71" i="90"/>
  <c r="D144"/>
  <c r="Z159"/>
  <c r="D143"/>
  <c r="C70"/>
  <c r="Y159"/>
  <c r="C65"/>
  <c r="T159"/>
  <c r="D138"/>
  <c r="C79"/>
  <c r="D152"/>
  <c r="AH159"/>
  <c r="D151"/>
  <c r="AG159"/>
  <c r="C78"/>
  <c r="C73"/>
  <c r="AB159"/>
  <c r="D146"/>
  <c r="E132" i="54"/>
  <c r="D133"/>
  <c r="C77" i="91"/>
  <c r="AF159"/>
  <c r="D150"/>
  <c r="AC159"/>
  <c r="C74"/>
  <c r="D147"/>
  <c r="D136"/>
  <c r="R159"/>
  <c r="C63"/>
  <c r="D152"/>
  <c r="AH159"/>
  <c r="C79"/>
  <c r="C68"/>
  <c r="D141"/>
  <c r="W159"/>
  <c r="AG158" i="89"/>
  <c r="C151"/>
  <c r="Z158"/>
  <c r="C144"/>
  <c r="AE158"/>
  <c r="C149"/>
  <c r="C140"/>
  <c r="V158"/>
  <c r="AB158" i="90"/>
  <c r="C146"/>
  <c r="Z158"/>
  <c r="C144"/>
  <c r="F110" i="89"/>
  <c r="F111"/>
  <c r="G211" i="63"/>
  <c r="I211" s="1"/>
  <c r="V159" i="97"/>
  <c r="C67"/>
  <c r="D140"/>
  <c r="D153"/>
  <c r="C80"/>
  <c r="AI159"/>
  <c r="D142"/>
  <c r="X159"/>
  <c r="C69"/>
  <c r="W159"/>
  <c r="C68"/>
  <c r="D141"/>
  <c r="R159"/>
  <c r="C63"/>
  <c r="D136"/>
  <c r="E140" i="42"/>
  <c r="D141"/>
  <c r="J64" i="119"/>
  <c r="H65"/>
  <c r="E169" i="80"/>
  <c r="AE185"/>
  <c r="AM185"/>
  <c r="E177"/>
  <c r="L177" s="1"/>
  <c r="L178" s="1"/>
  <c r="E173"/>
  <c r="AI185"/>
  <c r="X185"/>
  <c r="E162"/>
  <c r="E161"/>
  <c r="W185"/>
  <c r="E172"/>
  <c r="AH185"/>
  <c r="E171"/>
  <c r="AG185"/>
  <c r="E165"/>
  <c r="AA185"/>
  <c r="E206" i="119"/>
  <c r="C101"/>
  <c r="E133" i="48"/>
  <c r="D134"/>
  <c r="C117" i="119"/>
  <c r="G118" s="1"/>
  <c r="G196"/>
  <c r="D96"/>
  <c r="H97" s="1"/>
  <c r="F201"/>
  <c r="D142" i="36"/>
  <c r="E141"/>
  <c r="D139" i="57"/>
  <c r="E138"/>
  <c r="J63" i="119"/>
  <c r="K63" s="1"/>
  <c r="L63" s="1"/>
  <c r="H64"/>
  <c r="D146" i="96"/>
  <c r="AB159"/>
  <c r="C73"/>
  <c r="U159"/>
  <c r="D139"/>
  <c r="C66"/>
  <c r="AD159"/>
  <c r="D148"/>
  <c r="C75"/>
  <c r="AA159"/>
  <c r="D145"/>
  <c r="C72"/>
  <c r="D84" i="101"/>
  <c r="H85" s="1"/>
  <c r="D215"/>
  <c r="C234" s="1"/>
  <c r="C89" i="119"/>
  <c r="G90" s="1"/>
  <c r="E194"/>
  <c r="K118" i="101"/>
  <c r="L118" s="1"/>
  <c r="J60" i="119"/>
  <c r="H61"/>
  <c r="I56" i="97"/>
  <c r="I97" i="80"/>
  <c r="G102" s="1"/>
  <c r="I56" i="96"/>
  <c r="K51" i="119"/>
  <c r="AC159" i="97"/>
  <c r="C74"/>
  <c r="D147"/>
  <c r="AH159"/>
  <c r="C79"/>
  <c r="D152"/>
  <c r="G200" i="119"/>
  <c r="C121"/>
  <c r="G122" s="1"/>
  <c r="J66"/>
  <c r="H67"/>
  <c r="C115"/>
  <c r="G116" s="1"/>
  <c r="G194"/>
  <c r="E105" i="78"/>
  <c r="D106"/>
  <c r="E170" i="80"/>
  <c r="AF185"/>
  <c r="AB185"/>
  <c r="E166"/>
  <c r="J62" i="119"/>
  <c r="H63"/>
  <c r="E190"/>
  <c r="C85"/>
  <c r="G86" s="1"/>
  <c r="D107" i="85"/>
  <c r="E106"/>
  <c r="H221" i="101"/>
  <c r="D142"/>
  <c r="D98" i="119"/>
  <c r="H99" s="1"/>
  <c r="F203"/>
  <c r="D86"/>
  <c r="F191"/>
  <c r="C127"/>
  <c r="G206"/>
  <c r="AF159" i="96"/>
  <c r="C77"/>
  <c r="D150"/>
  <c r="D143"/>
  <c r="C70"/>
  <c r="Y159"/>
  <c r="D152"/>
  <c r="C79"/>
  <c r="AH159"/>
  <c r="D136"/>
  <c r="C63"/>
  <c r="R159"/>
  <c r="D149"/>
  <c r="C76"/>
  <c r="AE159"/>
  <c r="E8" i="97"/>
  <c r="B156"/>
  <c r="G199" i="119"/>
  <c r="C120"/>
  <c r="G121" s="1"/>
  <c r="B212" i="63"/>
  <c r="H212" s="1"/>
  <c r="AL231" s="1"/>
  <c r="AL226"/>
  <c r="C97" i="119"/>
  <c r="G98" s="1"/>
  <c r="E202"/>
  <c r="G215" i="36"/>
  <c r="I215" s="1"/>
  <c r="L40" i="119"/>
  <c r="G204"/>
  <c r="C125"/>
  <c r="G126" s="1"/>
  <c r="C77" i="97"/>
  <c r="D150"/>
  <c r="AF159"/>
  <c r="C76"/>
  <c r="D149"/>
  <c r="AE159"/>
  <c r="D144"/>
  <c r="Z159"/>
  <c r="C71"/>
  <c r="AG159"/>
  <c r="C78"/>
  <c r="D151"/>
  <c r="AB159"/>
  <c r="C73"/>
  <c r="D146"/>
  <c r="AA159"/>
  <c r="C72"/>
  <c r="D145"/>
  <c r="E175" i="80"/>
  <c r="AK185"/>
  <c r="AC185"/>
  <c r="E167"/>
  <c r="E174"/>
  <c r="AJ185"/>
  <c r="E178"/>
  <c r="AN185"/>
  <c r="C113" i="119"/>
  <c r="G114" s="1"/>
  <c r="G192"/>
  <c r="C57"/>
  <c r="C188"/>
  <c r="G51"/>
  <c r="C126"/>
  <c r="G127" s="1"/>
  <c r="G205"/>
  <c r="C119"/>
  <c r="G120" s="1"/>
  <c r="G198"/>
  <c r="F205"/>
  <c r="D100"/>
  <c r="H101" s="1"/>
  <c r="D139" i="45"/>
  <c r="E138"/>
  <c r="D107" i="87"/>
  <c r="E106"/>
  <c r="D133" i="63"/>
  <c r="E132"/>
  <c r="H62" i="119"/>
  <c r="J61"/>
  <c r="F206"/>
  <c r="D101"/>
  <c r="D99"/>
  <c r="H100" s="1"/>
  <c r="F204"/>
  <c r="C65" i="96"/>
  <c r="D138"/>
  <c r="T159"/>
  <c r="C74"/>
  <c r="AC159"/>
  <c r="D147"/>
  <c r="C67"/>
  <c r="V159"/>
  <c r="D140"/>
  <c r="C80"/>
  <c r="AI159"/>
  <c r="D153"/>
  <c r="C64"/>
  <c r="S159"/>
  <c r="D137"/>
  <c r="C123" i="119"/>
  <c r="G124" s="1"/>
  <c r="G202"/>
  <c r="E207"/>
  <c r="C102"/>
  <c r="G102" s="1"/>
  <c r="B156" i="96"/>
  <c r="E8"/>
  <c r="J65" i="119"/>
  <c r="H66"/>
  <c r="F199"/>
  <c r="D94"/>
  <c r="H95" s="1"/>
  <c r="G210" i="63"/>
  <c r="I210" s="1"/>
  <c r="Y159" i="97"/>
  <c r="C70"/>
  <c r="D143"/>
  <c r="T159"/>
  <c r="C65"/>
  <c r="D138"/>
  <c r="S159"/>
  <c r="C64"/>
  <c r="D137"/>
  <c r="AD159"/>
  <c r="C75"/>
  <c r="D148"/>
  <c r="D139"/>
  <c r="C66"/>
  <c r="U159"/>
  <c r="D189" i="119"/>
  <c r="D58"/>
  <c r="H59" s="1"/>
  <c r="C114"/>
  <c r="G115" s="1"/>
  <c r="G193"/>
  <c r="AL185" i="80"/>
  <c r="E176"/>
  <c r="Z185"/>
  <c r="E164"/>
  <c r="Y185"/>
  <c r="E163"/>
  <c r="AD185"/>
  <c r="E168"/>
  <c r="E216" i="101"/>
  <c r="C111"/>
  <c r="G112" s="1"/>
  <c r="F207" i="119"/>
  <c r="D102"/>
  <c r="H102" s="1"/>
  <c r="D137" i="39"/>
  <c r="E136"/>
  <c r="D142" i="96"/>
  <c r="X159"/>
  <c r="C69"/>
  <c r="C78"/>
  <c r="AG159"/>
  <c r="D151"/>
  <c r="Z159"/>
  <c r="D144"/>
  <c r="C71"/>
  <c r="W159"/>
  <c r="D141"/>
  <c r="C68"/>
  <c r="F200" i="119"/>
  <c r="D95"/>
  <c r="H96" s="1"/>
  <c r="C118"/>
  <c r="G119" s="1"/>
  <c r="G197"/>
  <c r="B32" i="63"/>
  <c r="C33"/>
  <c r="I32"/>
  <c r="D145" i="101"/>
  <c r="H146" s="1"/>
  <c r="H224"/>
  <c r="H203" i="119"/>
  <c r="D124"/>
  <c r="H125" s="1"/>
  <c r="C122"/>
  <c r="G123" s="1"/>
  <c r="G201"/>
  <c r="L34"/>
  <c r="C52"/>
  <c r="F226" i="57"/>
  <c r="F167"/>
  <c r="J219" i="101"/>
  <c r="D166"/>
  <c r="C145" i="95"/>
  <c r="AA158"/>
  <c r="G209" i="54"/>
  <c r="I209" s="1"/>
  <c r="H209"/>
  <c r="AI231" s="1"/>
  <c r="G206"/>
  <c r="I206" s="1"/>
  <c r="H206"/>
  <c r="AF231" s="1"/>
  <c r="F221" i="39"/>
  <c r="AU230"/>
  <c r="F215"/>
  <c r="AO230"/>
  <c r="H220" i="57"/>
  <c r="AT231" s="1"/>
  <c r="G220"/>
  <c r="I220" s="1"/>
  <c r="H218" i="45"/>
  <c r="AR231" s="1"/>
  <c r="G218"/>
  <c r="I218" s="1"/>
  <c r="F167" i="54"/>
  <c r="F226"/>
  <c r="G221" i="51"/>
  <c r="I221" s="1"/>
  <c r="H221"/>
  <c r="AU231" s="1"/>
  <c r="C144" i="95"/>
  <c r="Z158"/>
  <c r="U158"/>
  <c r="C139"/>
  <c r="C141"/>
  <c r="W158"/>
  <c r="C150"/>
  <c r="AF158"/>
  <c r="G220" i="54"/>
  <c r="I220" s="1"/>
  <c r="H220"/>
  <c r="AT231" s="1"/>
  <c r="F213" i="39"/>
  <c r="AM230"/>
  <c r="AS230"/>
  <c r="F219"/>
  <c r="F222"/>
  <c r="AV230"/>
  <c r="F209"/>
  <c r="AI230"/>
  <c r="G84" i="101"/>
  <c r="C103"/>
  <c r="E39" i="83"/>
  <c r="C181"/>
  <c r="H209" i="51"/>
  <c r="AI231" s="1"/>
  <c r="G209"/>
  <c r="I209" s="1"/>
  <c r="J226" i="101"/>
  <c r="D173"/>
  <c r="H174" s="1"/>
  <c r="AE186" i="78"/>
  <c r="F169"/>
  <c r="AN186"/>
  <c r="F178"/>
  <c r="F171"/>
  <c r="AG186"/>
  <c r="C150" i="96"/>
  <c r="AF158"/>
  <c r="Z158"/>
  <c r="C144"/>
  <c r="Y158"/>
  <c r="C143"/>
  <c r="S158"/>
  <c r="C137"/>
  <c r="AB158"/>
  <c r="C146"/>
  <c r="X158" i="97"/>
  <c r="C142"/>
  <c r="H222" i="48"/>
  <c r="G222"/>
  <c r="H209"/>
  <c r="G209"/>
  <c r="H212" i="57"/>
  <c r="AL231" s="1"/>
  <c r="G212"/>
  <c r="I212" s="1"/>
  <c r="H206"/>
  <c r="AF231" s="1"/>
  <c r="G206"/>
  <c r="I206" s="1"/>
  <c r="F60" i="94"/>
  <c r="D156"/>
  <c r="H84" i="101"/>
  <c r="D103"/>
  <c r="G83"/>
  <c r="K103"/>
  <c r="H213" i="51"/>
  <c r="AM231" s="1"/>
  <c r="G213"/>
  <c r="I213" s="1"/>
  <c r="G207"/>
  <c r="I207" s="1"/>
  <c r="H207"/>
  <c r="AG231" s="1"/>
  <c r="AF223" i="42"/>
  <c r="F206"/>
  <c r="AF230"/>
  <c r="F216"/>
  <c r="AP230"/>
  <c r="AN230"/>
  <c r="F214"/>
  <c r="AS230"/>
  <c r="F219"/>
  <c r="AJ230"/>
  <c r="F210"/>
  <c r="F211"/>
  <c r="AK230"/>
  <c r="F208" i="60"/>
  <c r="AH230"/>
  <c r="AU230"/>
  <c r="F221"/>
  <c r="AT230"/>
  <c r="F220"/>
  <c r="F211"/>
  <c r="AK230"/>
  <c r="H222" i="101"/>
  <c r="D143"/>
  <c r="H223" i="48"/>
  <c r="G223"/>
  <c r="H221"/>
  <c r="G221"/>
  <c r="H217" i="45"/>
  <c r="AQ231" s="1"/>
  <c r="G217"/>
  <c r="I217" s="1"/>
  <c r="B121" i="92"/>
  <c r="B115"/>
  <c r="I127"/>
  <c r="B119"/>
  <c r="I116"/>
  <c r="B132"/>
  <c r="I119"/>
  <c r="B118"/>
  <c r="I117"/>
  <c r="B122"/>
  <c r="I112"/>
  <c r="I110"/>
  <c r="B116"/>
  <c r="I126"/>
  <c r="I130"/>
  <c r="I113"/>
  <c r="B125"/>
  <c r="I129"/>
  <c r="I123"/>
  <c r="B129"/>
  <c r="I115"/>
  <c r="I118"/>
  <c r="I122"/>
  <c r="I125"/>
  <c r="I124"/>
  <c r="B117"/>
  <c r="B128"/>
  <c r="B126"/>
  <c r="B124"/>
  <c r="B130"/>
  <c r="B120"/>
  <c r="I109"/>
  <c r="I131"/>
  <c r="I121"/>
  <c r="I111"/>
  <c r="B131"/>
  <c r="I128"/>
  <c r="I114"/>
  <c r="I132"/>
  <c r="B123"/>
  <c r="I120"/>
  <c r="B127"/>
  <c r="F60" i="93"/>
  <c r="D156"/>
  <c r="E34"/>
  <c r="C156"/>
  <c r="J113" i="101"/>
  <c r="H114"/>
  <c r="H219" i="51"/>
  <c r="AS231" s="1"/>
  <c r="G219"/>
  <c r="I219" s="1"/>
  <c r="G212"/>
  <c r="I212" s="1"/>
  <c r="H212"/>
  <c r="AL231" s="1"/>
  <c r="C199" i="101"/>
  <c r="G200" s="1"/>
  <c r="M227" s="1"/>
  <c r="K226"/>
  <c r="AA186" i="82"/>
  <c r="F165"/>
  <c r="AH186"/>
  <c r="F172"/>
  <c r="F169"/>
  <c r="AE186"/>
  <c r="F177"/>
  <c r="AM186"/>
  <c r="F167"/>
  <c r="AC186"/>
  <c r="AK186"/>
  <c r="F175"/>
  <c r="G211" i="54"/>
  <c r="I211" s="1"/>
  <c r="H211"/>
  <c r="AK231" s="1"/>
  <c r="H216"/>
  <c r="AP231" s="1"/>
  <c r="G216"/>
  <c r="I216" s="1"/>
  <c r="C198" i="101"/>
  <c r="G199" s="1"/>
  <c r="M226" s="1"/>
  <c r="K225"/>
  <c r="AK186" i="79"/>
  <c r="F175"/>
  <c r="AD186"/>
  <c r="F168"/>
  <c r="AA186"/>
  <c r="F165"/>
  <c r="F174"/>
  <c r="AJ186"/>
  <c r="G214" i="48"/>
  <c r="H214"/>
  <c r="G216"/>
  <c r="H216"/>
  <c r="H208"/>
  <c r="G208"/>
  <c r="H221" i="57"/>
  <c r="AU231" s="1"/>
  <c r="G221"/>
  <c r="I221" s="1"/>
  <c r="G216"/>
  <c r="I216" s="1"/>
  <c r="H216"/>
  <c r="AP231" s="1"/>
  <c r="H208" i="45"/>
  <c r="AH231" s="1"/>
  <c r="G208"/>
  <c r="I208" s="1"/>
  <c r="AC186" i="81"/>
  <c r="F167"/>
  <c r="AG186"/>
  <c r="F171"/>
  <c r="F170"/>
  <c r="AF186"/>
  <c r="F172"/>
  <c r="AH186"/>
  <c r="K233" i="101"/>
  <c r="C206"/>
  <c r="G206" s="1"/>
  <c r="M233" s="1"/>
  <c r="I30" i="95"/>
  <c r="I30" i="97"/>
  <c r="H208" i="36"/>
  <c r="AH231" s="1"/>
  <c r="G221"/>
  <c r="I221" s="1"/>
  <c r="I128" i="79"/>
  <c r="G209" i="36"/>
  <c r="I209" s="1"/>
  <c r="G218"/>
  <c r="I218" s="1"/>
  <c r="D181" i="87"/>
  <c r="F70"/>
  <c r="H223" i="51"/>
  <c r="AW231" s="1"/>
  <c r="G223"/>
  <c r="I223" s="1"/>
  <c r="G206"/>
  <c r="I206" s="1"/>
  <c r="H206"/>
  <c r="AF231" s="1"/>
  <c r="G215"/>
  <c r="I215" s="1"/>
  <c r="H215"/>
  <c r="AO231" s="1"/>
  <c r="L233" i="101"/>
  <c r="D206"/>
  <c r="H216" i="51"/>
  <c r="AP231" s="1"/>
  <c r="G216"/>
  <c r="I216" s="1"/>
  <c r="AB158" i="95"/>
  <c r="C146"/>
  <c r="C148"/>
  <c r="AD158"/>
  <c r="C152"/>
  <c r="AH158"/>
  <c r="T158"/>
  <c r="C138"/>
  <c r="V158"/>
  <c r="C140"/>
  <c r="C153"/>
  <c r="AI158"/>
  <c r="AJ230" i="39"/>
  <c r="F210"/>
  <c r="F206"/>
  <c r="AF223"/>
  <c r="AF230"/>
  <c r="F223"/>
  <c r="AW230"/>
  <c r="F207"/>
  <c r="AG230"/>
  <c r="F217"/>
  <c r="AQ230"/>
  <c r="G210" i="48"/>
  <c r="H210"/>
  <c r="H220"/>
  <c r="G220"/>
  <c r="H223" i="57"/>
  <c r="AW231" s="1"/>
  <c r="G223"/>
  <c r="I223" s="1"/>
  <c r="G209" i="45"/>
  <c r="I209" s="1"/>
  <c r="H209"/>
  <c r="AI231" s="1"/>
  <c r="H215"/>
  <c r="AO231" s="1"/>
  <c r="G215"/>
  <c r="I215" s="1"/>
  <c r="G220"/>
  <c r="I220" s="1"/>
  <c r="H220"/>
  <c r="AT231" s="1"/>
  <c r="G223"/>
  <c r="I223" s="1"/>
  <c r="H223"/>
  <c r="AW231" s="1"/>
  <c r="B103" i="95"/>
  <c r="AF160" s="1"/>
  <c r="B104"/>
  <c r="AG160" s="1"/>
  <c r="B101"/>
  <c r="AD160" s="1"/>
  <c r="B98"/>
  <c r="AA160" s="1"/>
  <c r="I83"/>
  <c r="I82" s="1"/>
  <c r="G87" s="1"/>
  <c r="B91"/>
  <c r="T160" s="1"/>
  <c r="B92"/>
  <c r="U160" s="1"/>
  <c r="B89"/>
  <c r="R160" s="1"/>
  <c r="B105"/>
  <c r="AH160" s="1"/>
  <c r="B102"/>
  <c r="AE160" s="1"/>
  <c r="I84"/>
  <c r="B95"/>
  <c r="X160" s="1"/>
  <c r="B96"/>
  <c r="Y160" s="1"/>
  <c r="B93"/>
  <c r="V160" s="1"/>
  <c r="B90"/>
  <c r="S160" s="1"/>
  <c r="B106"/>
  <c r="AI160" s="1"/>
  <c r="B99"/>
  <c r="AB160" s="1"/>
  <c r="B100"/>
  <c r="AC160" s="1"/>
  <c r="B97"/>
  <c r="Z160" s="1"/>
  <c r="B94"/>
  <c r="W160" s="1"/>
  <c r="I100"/>
  <c r="I91"/>
  <c r="I90"/>
  <c r="I85"/>
  <c r="I99"/>
  <c r="I95"/>
  <c r="I104"/>
  <c r="I94"/>
  <c r="I92"/>
  <c r="I102"/>
  <c r="I98"/>
  <c r="I97"/>
  <c r="I93"/>
  <c r="I103"/>
  <c r="I105"/>
  <c r="I88"/>
  <c r="I101"/>
  <c r="I87"/>
  <c r="I86"/>
  <c r="I96"/>
  <c r="I106"/>
  <c r="I89"/>
  <c r="F110" i="97"/>
  <c r="F111"/>
  <c r="C181" i="86"/>
  <c r="E39"/>
  <c r="F226" i="45"/>
  <c r="F167"/>
  <c r="F162" i="78"/>
  <c r="X186"/>
  <c r="F164"/>
  <c r="Z186"/>
  <c r="F177"/>
  <c r="AM186"/>
  <c r="W186"/>
  <c r="F161"/>
  <c r="C140" i="96"/>
  <c r="V158"/>
  <c r="C153"/>
  <c r="AI158"/>
  <c r="C139"/>
  <c r="U158"/>
  <c r="X158"/>
  <c r="C142"/>
  <c r="C136"/>
  <c r="R158"/>
  <c r="F110" i="94"/>
  <c r="F111"/>
  <c r="C137" i="97"/>
  <c r="S158"/>
  <c r="Z158"/>
  <c r="C144"/>
  <c r="AI158"/>
  <c r="C153"/>
  <c r="C151"/>
  <c r="AG158"/>
  <c r="C150"/>
  <c r="AF158"/>
  <c r="G222" i="54"/>
  <c r="I222" s="1"/>
  <c r="H222"/>
  <c r="AV231" s="1"/>
  <c r="I131" i="85"/>
  <c r="B149"/>
  <c r="B152"/>
  <c r="B140"/>
  <c r="I138"/>
  <c r="I140"/>
  <c r="I136"/>
  <c r="B154"/>
  <c r="B141"/>
  <c r="I141"/>
  <c r="I152"/>
  <c r="I147"/>
  <c r="B155"/>
  <c r="I132"/>
  <c r="B157"/>
  <c r="I155"/>
  <c r="I143"/>
  <c r="I129"/>
  <c r="B150"/>
  <c r="B151"/>
  <c r="I142"/>
  <c r="I145"/>
  <c r="B145"/>
  <c r="I130"/>
  <c r="B153"/>
  <c r="B142"/>
  <c r="I150"/>
  <c r="B144"/>
  <c r="B147"/>
  <c r="I156"/>
  <c r="I137"/>
  <c r="I154"/>
  <c r="I139"/>
  <c r="B148"/>
  <c r="I146"/>
  <c r="I149"/>
  <c r="B156"/>
  <c r="I148"/>
  <c r="I151"/>
  <c r="I133"/>
  <c r="B143"/>
  <c r="I157"/>
  <c r="I153"/>
  <c r="I144"/>
  <c r="B146"/>
  <c r="I135"/>
  <c r="I134"/>
  <c r="H206" i="48"/>
  <c r="G206"/>
  <c r="G213"/>
  <c r="H213"/>
  <c r="G214" i="45"/>
  <c r="I214" s="1"/>
  <c r="H214"/>
  <c r="AN231" s="1"/>
  <c r="G219"/>
  <c r="I219" s="1"/>
  <c r="H219"/>
  <c r="AS231" s="1"/>
  <c r="D156" i="95"/>
  <c r="F60"/>
  <c r="G220" i="51"/>
  <c r="I220" s="1"/>
  <c r="H220"/>
  <c r="AT231" s="1"/>
  <c r="AI230" i="42"/>
  <c r="F209"/>
  <c r="AL230"/>
  <c r="F212"/>
  <c r="AT230"/>
  <c r="F220"/>
  <c r="AR230"/>
  <c r="F218"/>
  <c r="K117" i="101"/>
  <c r="L117" s="1"/>
  <c r="AW230" i="60"/>
  <c r="F223"/>
  <c r="AR230"/>
  <c r="F218"/>
  <c r="F212"/>
  <c r="AL230"/>
  <c r="H215" i="54"/>
  <c r="AO231" s="1"/>
  <c r="G215"/>
  <c r="I215" s="1"/>
  <c r="H215" i="48"/>
  <c r="G215"/>
  <c r="G213" i="57"/>
  <c r="I213" s="1"/>
  <c r="H213"/>
  <c r="AM231" s="1"/>
  <c r="D181" i="86"/>
  <c r="F70"/>
  <c r="F226" i="36"/>
  <c r="F167"/>
  <c r="H217" i="51"/>
  <c r="AQ231" s="1"/>
  <c r="G217"/>
  <c r="I217" s="1"/>
  <c r="F176" i="82"/>
  <c r="AL186"/>
  <c r="AG186"/>
  <c r="F171"/>
  <c r="AI186"/>
  <c r="F173"/>
  <c r="Y186"/>
  <c r="F163"/>
  <c r="AN186"/>
  <c r="F178"/>
  <c r="AB186"/>
  <c r="F166"/>
  <c r="B130" i="93"/>
  <c r="B119"/>
  <c r="B128"/>
  <c r="B123"/>
  <c r="I110"/>
  <c r="B117"/>
  <c r="B121"/>
  <c r="B120"/>
  <c r="I120"/>
  <c r="B132"/>
  <c r="I129"/>
  <c r="B115"/>
  <c r="I128"/>
  <c r="B127"/>
  <c r="I124"/>
  <c r="I127"/>
  <c r="B131"/>
  <c r="B126"/>
  <c r="I119"/>
  <c r="B116"/>
  <c r="I113"/>
  <c r="I130"/>
  <c r="I132"/>
  <c r="I122"/>
  <c r="B124"/>
  <c r="I109"/>
  <c r="I112"/>
  <c r="I125"/>
  <c r="I114"/>
  <c r="I115"/>
  <c r="B122"/>
  <c r="I123"/>
  <c r="I111"/>
  <c r="I121"/>
  <c r="B129"/>
  <c r="I131"/>
  <c r="B125"/>
  <c r="I126"/>
  <c r="B118"/>
  <c r="I118"/>
  <c r="I116"/>
  <c r="I117"/>
  <c r="G207" i="54"/>
  <c r="I207" s="1"/>
  <c r="H207"/>
  <c r="AG231" s="1"/>
  <c r="B103" i="96"/>
  <c r="AF160" s="1"/>
  <c r="B104"/>
  <c r="AG160" s="1"/>
  <c r="B101"/>
  <c r="AD160" s="1"/>
  <c r="B98"/>
  <c r="AA160" s="1"/>
  <c r="B91"/>
  <c r="T160" s="1"/>
  <c r="B92"/>
  <c r="U160" s="1"/>
  <c r="B89"/>
  <c r="R160" s="1"/>
  <c r="B105"/>
  <c r="AH160" s="1"/>
  <c r="B102"/>
  <c r="AE160" s="1"/>
  <c r="B95"/>
  <c r="X160" s="1"/>
  <c r="B96"/>
  <c r="Y160" s="1"/>
  <c r="B93"/>
  <c r="V160" s="1"/>
  <c r="B90"/>
  <c r="S160" s="1"/>
  <c r="B106"/>
  <c r="AI160" s="1"/>
  <c r="B99"/>
  <c r="AB160" s="1"/>
  <c r="B100"/>
  <c r="AC160" s="1"/>
  <c r="B97"/>
  <c r="Z160" s="1"/>
  <c r="B94"/>
  <c r="W160" s="1"/>
  <c r="I84"/>
  <c r="I83"/>
  <c r="I82" s="1"/>
  <c r="G87" s="1"/>
  <c r="I85"/>
  <c r="I88"/>
  <c r="I104"/>
  <c r="I96"/>
  <c r="I91"/>
  <c r="I94"/>
  <c r="I89"/>
  <c r="I90"/>
  <c r="I95"/>
  <c r="I105"/>
  <c r="I93"/>
  <c r="I86"/>
  <c r="I92"/>
  <c r="I106"/>
  <c r="I98"/>
  <c r="I103"/>
  <c r="I99"/>
  <c r="I100"/>
  <c r="I102"/>
  <c r="I97"/>
  <c r="I87"/>
  <c r="I101"/>
  <c r="AG186" i="79"/>
  <c r="F171"/>
  <c r="F173"/>
  <c r="AI186"/>
  <c r="F176"/>
  <c r="AL186"/>
  <c r="F163"/>
  <c r="Y186"/>
  <c r="F170"/>
  <c r="AF186"/>
  <c r="H209" i="57"/>
  <c r="AI231" s="1"/>
  <c r="G209"/>
  <c r="I209" s="1"/>
  <c r="G222" i="45"/>
  <c r="I222" s="1"/>
  <c r="H222"/>
  <c r="AV231" s="1"/>
  <c r="F168" i="81"/>
  <c r="AD186"/>
  <c r="Z186"/>
  <c r="F164"/>
  <c r="W186"/>
  <c r="F161"/>
  <c r="F169"/>
  <c r="AE186"/>
  <c r="F165"/>
  <c r="AA186"/>
  <c r="AJ186"/>
  <c r="F174"/>
  <c r="F178"/>
  <c r="AN186"/>
  <c r="I164" i="39"/>
  <c r="H206" i="36"/>
  <c r="AF231" s="1"/>
  <c r="I164" i="60"/>
  <c r="H222" i="36"/>
  <c r="AV231" s="1"/>
  <c r="I128" i="82"/>
  <c r="H210" i="36"/>
  <c r="AJ231" s="1"/>
  <c r="I130" i="83"/>
  <c r="B151"/>
  <c r="I140"/>
  <c r="I155"/>
  <c r="I150"/>
  <c r="I131"/>
  <c r="I132"/>
  <c r="B150"/>
  <c r="B145"/>
  <c r="B156"/>
  <c r="B142"/>
  <c r="I157"/>
  <c r="B144"/>
  <c r="I139"/>
  <c r="B155"/>
  <c r="B154"/>
  <c r="I136"/>
  <c r="B147"/>
  <c r="I156"/>
  <c r="I142"/>
  <c r="I133"/>
  <c r="I145"/>
  <c r="B152"/>
  <c r="I143"/>
  <c r="B148"/>
  <c r="I151"/>
  <c r="I146"/>
  <c r="I152"/>
  <c r="I154"/>
  <c r="I137"/>
  <c r="B157"/>
  <c r="B146"/>
  <c r="I129"/>
  <c r="I147"/>
  <c r="I148"/>
  <c r="B140"/>
  <c r="I134"/>
  <c r="I138"/>
  <c r="I144"/>
  <c r="I153"/>
  <c r="B143"/>
  <c r="I141"/>
  <c r="I135"/>
  <c r="I149"/>
  <c r="B141"/>
  <c r="B153"/>
  <c r="B149"/>
  <c r="C136" i="95"/>
  <c r="R158"/>
  <c r="Y158"/>
  <c r="C143"/>
  <c r="C137"/>
  <c r="S158"/>
  <c r="C142"/>
  <c r="X158"/>
  <c r="AC158"/>
  <c r="C147"/>
  <c r="C149"/>
  <c r="AE158"/>
  <c r="H217" i="54"/>
  <c r="AQ231" s="1"/>
  <c r="G217"/>
  <c r="I217" s="1"/>
  <c r="G223"/>
  <c r="I223" s="1"/>
  <c r="H223"/>
  <c r="AW231" s="1"/>
  <c r="F214" i="39"/>
  <c r="AN230"/>
  <c r="F211"/>
  <c r="AK230"/>
  <c r="AP230"/>
  <c r="F216"/>
  <c r="F208"/>
  <c r="AH230"/>
  <c r="F220"/>
  <c r="AT230"/>
  <c r="F212"/>
  <c r="AL230"/>
  <c r="G207" i="48"/>
  <c r="H207"/>
  <c r="G211"/>
  <c r="H211"/>
  <c r="G206" i="45"/>
  <c r="I206" s="1"/>
  <c r="H206"/>
  <c r="AF231" s="1"/>
  <c r="G207"/>
  <c r="I207" s="1"/>
  <c r="H207"/>
  <c r="AG231" s="1"/>
  <c r="L232" i="101"/>
  <c r="D205"/>
  <c r="H206" s="1"/>
  <c r="N233" s="1"/>
  <c r="I132" i="91"/>
  <c r="I117"/>
  <c r="I118"/>
  <c r="I113"/>
  <c r="I126"/>
  <c r="B125"/>
  <c r="B129"/>
  <c r="B123"/>
  <c r="B131"/>
  <c r="I131"/>
  <c r="B122"/>
  <c r="B117"/>
  <c r="B121"/>
  <c r="B126"/>
  <c r="I119"/>
  <c r="B115"/>
  <c r="B120"/>
  <c r="B128"/>
  <c r="B116"/>
  <c r="B132"/>
  <c r="I123"/>
  <c r="I114"/>
  <c r="I111"/>
  <c r="I121"/>
  <c r="I116"/>
  <c r="B124"/>
  <c r="I128"/>
  <c r="I115"/>
  <c r="B119"/>
  <c r="I112"/>
  <c r="I109"/>
  <c r="I108" s="1"/>
  <c r="I124"/>
  <c r="B127"/>
  <c r="B130"/>
  <c r="I125"/>
  <c r="I120"/>
  <c r="I129"/>
  <c r="I110"/>
  <c r="B118"/>
  <c r="I122"/>
  <c r="I130"/>
  <c r="I127"/>
  <c r="E34" i="92"/>
  <c r="C156"/>
  <c r="AD186" i="78"/>
  <c r="F168"/>
  <c r="F165"/>
  <c r="AA186"/>
  <c r="F175"/>
  <c r="AK186"/>
  <c r="AJ186"/>
  <c r="F174"/>
  <c r="F172"/>
  <c r="AH186"/>
  <c r="C149" i="96"/>
  <c r="AE158"/>
  <c r="C152"/>
  <c r="AH158"/>
  <c r="C138"/>
  <c r="T158"/>
  <c r="C151"/>
  <c r="AG158"/>
  <c r="C145"/>
  <c r="AA158"/>
  <c r="C146" i="97"/>
  <c r="AB158"/>
  <c r="AD158"/>
  <c r="C148"/>
  <c r="C141"/>
  <c r="W158"/>
  <c r="C139"/>
  <c r="U158"/>
  <c r="T158"/>
  <c r="C138"/>
  <c r="C140"/>
  <c r="V158"/>
  <c r="H215" i="57"/>
  <c r="AO231" s="1"/>
  <c r="G215"/>
  <c r="I215" s="1"/>
  <c r="G214"/>
  <c r="I214" s="1"/>
  <c r="H214"/>
  <c r="AN231" s="1"/>
  <c r="G218" i="51"/>
  <c r="I218" s="1"/>
  <c r="H218"/>
  <c r="AR231" s="1"/>
  <c r="F222" i="42"/>
  <c r="AV230"/>
  <c r="F221"/>
  <c r="AU230"/>
  <c r="F208"/>
  <c r="AH230"/>
  <c r="D144" i="101"/>
  <c r="H223"/>
  <c r="F219" i="60"/>
  <c r="AS230"/>
  <c r="F216"/>
  <c r="AP230"/>
  <c r="AM230"/>
  <c r="F213"/>
  <c r="AV230"/>
  <c r="F222"/>
  <c r="AN230"/>
  <c r="F214"/>
  <c r="AF230"/>
  <c r="F206"/>
  <c r="AF223"/>
  <c r="F217"/>
  <c r="AQ230"/>
  <c r="G210" i="54"/>
  <c r="I210" s="1"/>
  <c r="H210"/>
  <c r="AJ231" s="1"/>
  <c r="G213"/>
  <c r="I213" s="1"/>
  <c r="H213"/>
  <c r="AM231" s="1"/>
  <c r="F110" i="96"/>
  <c r="F111"/>
  <c r="H217" i="48"/>
  <c r="G217"/>
  <c r="H218" i="57"/>
  <c r="AR231" s="1"/>
  <c r="G218"/>
  <c r="I218" s="1"/>
  <c r="H212" i="45"/>
  <c r="AL231" s="1"/>
  <c r="G212"/>
  <c r="I212" s="1"/>
  <c r="E34" i="94"/>
  <c r="C156"/>
  <c r="F226" i="48"/>
  <c r="K225" s="1"/>
  <c r="F167"/>
  <c r="E39" i="87"/>
  <c r="C181"/>
  <c r="G214" i="51"/>
  <c r="I214" s="1"/>
  <c r="H214"/>
  <c r="AN231" s="1"/>
  <c r="Z186" i="82"/>
  <c r="F164"/>
  <c r="F161"/>
  <c r="W186"/>
  <c r="F168"/>
  <c r="AD186"/>
  <c r="F174"/>
  <c r="AJ186"/>
  <c r="H221" i="54"/>
  <c r="AU231" s="1"/>
  <c r="G221"/>
  <c r="I221" s="1"/>
  <c r="H218"/>
  <c r="AR231" s="1"/>
  <c r="G218"/>
  <c r="I218" s="1"/>
  <c r="F167" i="79"/>
  <c r="AC186"/>
  <c r="F166"/>
  <c r="AB186"/>
  <c r="AE186"/>
  <c r="F169"/>
  <c r="AN186"/>
  <c r="F178"/>
  <c r="G217" i="57"/>
  <c r="I217" s="1"/>
  <c r="H217"/>
  <c r="AQ231" s="1"/>
  <c r="G219"/>
  <c r="I219" s="1"/>
  <c r="H219"/>
  <c r="AS231" s="1"/>
  <c r="H222"/>
  <c r="AV231" s="1"/>
  <c r="G222"/>
  <c r="I222" s="1"/>
  <c r="G221" i="45"/>
  <c r="I221" s="1"/>
  <c r="H221"/>
  <c r="AU231" s="1"/>
  <c r="H211"/>
  <c r="AK231" s="1"/>
  <c r="G211"/>
  <c r="I211" s="1"/>
  <c r="F111" i="95"/>
  <c r="F110"/>
  <c r="X186" i="81"/>
  <c r="F162"/>
  <c r="AM186"/>
  <c r="F177"/>
  <c r="F173"/>
  <c r="AI186"/>
  <c r="F175"/>
  <c r="AK186"/>
  <c r="I128" i="78"/>
  <c r="I164" i="42"/>
  <c r="G206" i="63"/>
  <c r="I206" s="1"/>
  <c r="G214" i="36"/>
  <c r="I214" s="1"/>
  <c r="G212" i="63"/>
  <c r="I212" s="1"/>
  <c r="E39" i="85"/>
  <c r="C181"/>
  <c r="G210" i="51"/>
  <c r="I210" s="1"/>
  <c r="H210"/>
  <c r="AJ231" s="1"/>
  <c r="K139" i="101"/>
  <c r="C151" i="95"/>
  <c r="AG158"/>
  <c r="F218" i="39"/>
  <c r="AR230"/>
  <c r="B141" i="86"/>
  <c r="I148"/>
  <c r="B151"/>
  <c r="I147"/>
  <c r="B153"/>
  <c r="B149"/>
  <c r="I144"/>
  <c r="I142"/>
  <c r="I132"/>
  <c r="I136"/>
  <c r="I138"/>
  <c r="I139"/>
  <c r="B143"/>
  <c r="I151"/>
  <c r="B154"/>
  <c r="I156"/>
  <c r="B148"/>
  <c r="I140"/>
  <c r="I150"/>
  <c r="I137"/>
  <c r="I145"/>
  <c r="B156"/>
  <c r="B147"/>
  <c r="I154"/>
  <c r="I130"/>
  <c r="I153"/>
  <c r="B150"/>
  <c r="I134"/>
  <c r="I131"/>
  <c r="B157"/>
  <c r="I129"/>
  <c r="B146"/>
  <c r="B145"/>
  <c r="B152"/>
  <c r="B144"/>
  <c r="I141"/>
  <c r="I155"/>
  <c r="B140"/>
  <c r="B155"/>
  <c r="I149"/>
  <c r="B142"/>
  <c r="I135"/>
  <c r="I143"/>
  <c r="I157"/>
  <c r="I133"/>
  <c r="I152"/>
  <c r="I146"/>
  <c r="J114" i="101"/>
  <c r="H115"/>
  <c r="E39" i="84"/>
  <c r="C181"/>
  <c r="G222" i="51"/>
  <c r="I222" s="1"/>
  <c r="H222"/>
  <c r="AV231" s="1"/>
  <c r="G211"/>
  <c r="I211" s="1"/>
  <c r="H211"/>
  <c r="AK231" s="1"/>
  <c r="AC186" i="78"/>
  <c r="F167"/>
  <c r="AI186"/>
  <c r="F173"/>
  <c r="AL186"/>
  <c r="F176"/>
  <c r="F163"/>
  <c r="Y186"/>
  <c r="F166"/>
  <c r="AB186"/>
  <c r="F170"/>
  <c r="AF186"/>
  <c r="C148" i="96"/>
  <c r="AD158"/>
  <c r="AC158"/>
  <c r="C147"/>
  <c r="W158"/>
  <c r="C141"/>
  <c r="I140" i="87"/>
  <c r="B149"/>
  <c r="B155"/>
  <c r="I153"/>
  <c r="I141"/>
  <c r="B151"/>
  <c r="I134"/>
  <c r="I129"/>
  <c r="I146"/>
  <c r="I138"/>
  <c r="I143"/>
  <c r="I149"/>
  <c r="I131"/>
  <c r="B150"/>
  <c r="I133"/>
  <c r="B147"/>
  <c r="I142"/>
  <c r="I132"/>
  <c r="B152"/>
  <c r="I148"/>
  <c r="B143"/>
  <c r="B154"/>
  <c r="I145"/>
  <c r="I152"/>
  <c r="I157"/>
  <c r="I137"/>
  <c r="B144"/>
  <c r="B148"/>
  <c r="B156"/>
  <c r="I155"/>
  <c r="I144"/>
  <c r="I135"/>
  <c r="I150"/>
  <c r="I154"/>
  <c r="B141"/>
  <c r="I156"/>
  <c r="B145"/>
  <c r="B140"/>
  <c r="I147"/>
  <c r="B146"/>
  <c r="I151"/>
  <c r="I130"/>
  <c r="B157"/>
  <c r="I139"/>
  <c r="B142"/>
  <c r="I136"/>
  <c r="B153"/>
  <c r="C136" i="97"/>
  <c r="R158"/>
  <c r="C145"/>
  <c r="AA158"/>
  <c r="Y158"/>
  <c r="C143"/>
  <c r="AH158"/>
  <c r="C152"/>
  <c r="C149"/>
  <c r="AE158"/>
  <c r="C147"/>
  <c r="AC158"/>
  <c r="G208" i="54"/>
  <c r="I208" s="1"/>
  <c r="H208"/>
  <c r="AH231" s="1"/>
  <c r="B92" i="94"/>
  <c r="U160" s="1"/>
  <c r="B90"/>
  <c r="S160" s="1"/>
  <c r="B106"/>
  <c r="AI160" s="1"/>
  <c r="B97"/>
  <c r="Z160" s="1"/>
  <c r="B93"/>
  <c r="V160" s="1"/>
  <c r="B98"/>
  <c r="AA160" s="1"/>
  <c r="B103"/>
  <c r="AF160" s="1"/>
  <c r="B96"/>
  <c r="Y160" s="1"/>
  <c r="B94"/>
  <c r="W160" s="1"/>
  <c r="B95"/>
  <c r="X160" s="1"/>
  <c r="B105"/>
  <c r="AH160" s="1"/>
  <c r="B101"/>
  <c r="AD160" s="1"/>
  <c r="B91"/>
  <c r="T160" s="1"/>
  <c r="B100"/>
  <c r="AC160" s="1"/>
  <c r="B104"/>
  <c r="AG160" s="1"/>
  <c r="B102"/>
  <c r="AE160" s="1"/>
  <c r="B89"/>
  <c r="R160" s="1"/>
  <c r="B99"/>
  <c r="AB160" s="1"/>
  <c r="I84"/>
  <c r="I83"/>
  <c r="I82" s="1"/>
  <c r="G87" s="1"/>
  <c r="I97"/>
  <c r="I94"/>
  <c r="I96"/>
  <c r="I103"/>
  <c r="I102"/>
  <c r="I92"/>
  <c r="I105"/>
  <c r="I101"/>
  <c r="I99"/>
  <c r="I87"/>
  <c r="I88"/>
  <c r="I89"/>
  <c r="I93"/>
  <c r="I100"/>
  <c r="I104"/>
  <c r="I90"/>
  <c r="I95"/>
  <c r="I85"/>
  <c r="I91"/>
  <c r="I98"/>
  <c r="I86"/>
  <c r="I106"/>
  <c r="G211" i="57"/>
  <c r="I211" s="1"/>
  <c r="H211"/>
  <c r="AK231" s="1"/>
  <c r="G213" i="45"/>
  <c r="I213" s="1"/>
  <c r="H213"/>
  <c r="AM231" s="1"/>
  <c r="H216"/>
  <c r="AP231" s="1"/>
  <c r="G216"/>
  <c r="I216" s="1"/>
  <c r="L228" i="101"/>
  <c r="D201"/>
  <c r="H202" s="1"/>
  <c r="N229" s="1"/>
  <c r="F226" i="63"/>
  <c r="F167"/>
  <c r="L103" i="101"/>
  <c r="H83"/>
  <c r="AO230" i="42"/>
  <c r="F215"/>
  <c r="F217"/>
  <c r="AQ230"/>
  <c r="AG230"/>
  <c r="F207"/>
  <c r="AW230"/>
  <c r="F223"/>
  <c r="AM230"/>
  <c r="F213"/>
  <c r="I83" i="97"/>
  <c r="I82" s="1"/>
  <c r="G87" s="1"/>
  <c r="B104"/>
  <c r="AG160" s="1"/>
  <c r="B101"/>
  <c r="AD160" s="1"/>
  <c r="B98"/>
  <c r="AA160" s="1"/>
  <c r="B95"/>
  <c r="X160" s="1"/>
  <c r="B92"/>
  <c r="U160" s="1"/>
  <c r="B89"/>
  <c r="R160" s="1"/>
  <c r="B105"/>
  <c r="AH160" s="1"/>
  <c r="B102"/>
  <c r="AE160" s="1"/>
  <c r="B99"/>
  <c r="AB160" s="1"/>
  <c r="I84"/>
  <c r="B96"/>
  <c r="Y160" s="1"/>
  <c r="B93"/>
  <c r="V160" s="1"/>
  <c r="B90"/>
  <c r="S160" s="1"/>
  <c r="B106"/>
  <c r="AI160" s="1"/>
  <c r="B103"/>
  <c r="AF160" s="1"/>
  <c r="B100"/>
  <c r="AC160" s="1"/>
  <c r="B97"/>
  <c r="Z160" s="1"/>
  <c r="B94"/>
  <c r="W160" s="1"/>
  <c r="B91"/>
  <c r="T160" s="1"/>
  <c r="I106"/>
  <c r="I90"/>
  <c r="I88"/>
  <c r="I96"/>
  <c r="I99"/>
  <c r="I93"/>
  <c r="I94"/>
  <c r="I89"/>
  <c r="I100"/>
  <c r="I95"/>
  <c r="I101"/>
  <c r="I97"/>
  <c r="I104"/>
  <c r="I85"/>
  <c r="I103"/>
  <c r="I98"/>
  <c r="I92"/>
  <c r="I86"/>
  <c r="I102"/>
  <c r="I105"/>
  <c r="I87"/>
  <c r="I91"/>
  <c r="I131" i="84"/>
  <c r="I140"/>
  <c r="B152"/>
  <c r="B157"/>
  <c r="B154"/>
  <c r="B144"/>
  <c r="I147"/>
  <c r="I156"/>
  <c r="I150"/>
  <c r="B151"/>
  <c r="I145"/>
  <c r="B150"/>
  <c r="I157"/>
  <c r="I129"/>
  <c r="B147"/>
  <c r="I149"/>
  <c r="I154"/>
  <c r="I151"/>
  <c r="B149"/>
  <c r="B146"/>
  <c r="I136"/>
  <c r="I139"/>
  <c r="I148"/>
  <c r="I142"/>
  <c r="I152"/>
  <c r="B148"/>
  <c r="B153"/>
  <c r="I144"/>
  <c r="B140"/>
  <c r="B145"/>
  <c r="I141"/>
  <c r="I146"/>
  <c r="I143"/>
  <c r="B141"/>
  <c r="I137"/>
  <c r="B155"/>
  <c r="B143"/>
  <c r="I138"/>
  <c r="B142"/>
  <c r="I155"/>
  <c r="I130"/>
  <c r="I133"/>
  <c r="I132"/>
  <c r="I153"/>
  <c r="I134"/>
  <c r="B156"/>
  <c r="I135"/>
  <c r="AO230" i="60"/>
  <c r="F215"/>
  <c r="F209"/>
  <c r="AI230"/>
  <c r="AJ230"/>
  <c r="F210"/>
  <c r="F207"/>
  <c r="AG230"/>
  <c r="G212" i="54"/>
  <c r="I212" s="1"/>
  <c r="H212"/>
  <c r="AL231" s="1"/>
  <c r="G214"/>
  <c r="I214" s="1"/>
  <c r="H214"/>
  <c r="AN231" s="1"/>
  <c r="K116" i="101"/>
  <c r="L116" s="1"/>
  <c r="G212" i="48"/>
  <c r="H212"/>
  <c r="G210" i="57"/>
  <c r="I210" s="1"/>
  <c r="H210"/>
  <c r="AJ231" s="1"/>
  <c r="G207"/>
  <c r="I207" s="1"/>
  <c r="H207"/>
  <c r="AG231" s="1"/>
  <c r="C167" i="101"/>
  <c r="G168" s="1"/>
  <c r="I220"/>
  <c r="E34" i="91"/>
  <c r="C156"/>
  <c r="F226" i="51"/>
  <c r="F167"/>
  <c r="G208"/>
  <c r="I208" s="1"/>
  <c r="H208"/>
  <c r="AH231" s="1"/>
  <c r="D204" i="101"/>
  <c r="H205" s="1"/>
  <c r="N232" s="1"/>
  <c r="L231"/>
  <c r="X186" i="82"/>
  <c r="F162"/>
  <c r="AF186"/>
  <c r="F170"/>
  <c r="H219" i="54"/>
  <c r="AS231" s="1"/>
  <c r="G219"/>
  <c r="I219" s="1"/>
  <c r="X186" i="79"/>
  <c r="F162"/>
  <c r="F172"/>
  <c r="AH186"/>
  <c r="F164"/>
  <c r="Z186"/>
  <c r="F161"/>
  <c r="W186"/>
  <c r="F177"/>
  <c r="AM186"/>
  <c r="G218" i="48"/>
  <c r="H218"/>
  <c r="G219"/>
  <c r="H219"/>
  <c r="G208" i="57"/>
  <c r="I208" s="1"/>
  <c r="H208"/>
  <c r="AH231" s="1"/>
  <c r="G210" i="45"/>
  <c r="I210" s="1"/>
  <c r="H210"/>
  <c r="AJ231" s="1"/>
  <c r="I221" i="101"/>
  <c r="C168"/>
  <c r="G169" s="1"/>
  <c r="AB186" i="81"/>
  <c r="F166"/>
  <c r="F163"/>
  <c r="Y186"/>
  <c r="F176"/>
  <c r="AL186"/>
  <c r="I30" i="96"/>
  <c r="I128" i="81"/>
  <c r="E133" i="54" l="1"/>
  <c r="D134"/>
  <c r="I131" i="90"/>
  <c r="B131"/>
  <c r="I128"/>
  <c r="I119"/>
  <c r="I124"/>
  <c r="B122"/>
  <c r="I125"/>
  <c r="B127"/>
  <c r="I120"/>
  <c r="I110"/>
  <c r="B117"/>
  <c r="I129"/>
  <c r="I127"/>
  <c r="I130"/>
  <c r="B125"/>
  <c r="B124"/>
  <c r="I111"/>
  <c r="B130"/>
  <c r="I113"/>
  <c r="B128"/>
  <c r="B116"/>
  <c r="B118"/>
  <c r="I122"/>
  <c r="I115"/>
  <c r="B119"/>
  <c r="I126"/>
  <c r="B120"/>
  <c r="I116"/>
  <c r="I118"/>
  <c r="I132"/>
  <c r="I114"/>
  <c r="I121"/>
  <c r="B115"/>
  <c r="B123"/>
  <c r="B132"/>
  <c r="I123"/>
  <c r="I109"/>
  <c r="I108" s="1"/>
  <c r="B121"/>
  <c r="I117"/>
  <c r="I112"/>
  <c r="B126"/>
  <c r="B129"/>
  <c r="F168" i="80"/>
  <c r="AD186"/>
  <c r="F166"/>
  <c r="AB187" s="1"/>
  <c r="AB186"/>
  <c r="AA186"/>
  <c r="F165"/>
  <c r="AC186"/>
  <c r="F167"/>
  <c r="E34" i="89"/>
  <c r="C156"/>
  <c r="I117"/>
  <c r="I125"/>
  <c r="B119"/>
  <c r="I121"/>
  <c r="B120"/>
  <c r="B130"/>
  <c r="I123"/>
  <c r="I124"/>
  <c r="B121"/>
  <c r="B131"/>
  <c r="I126"/>
  <c r="I122"/>
  <c r="I129"/>
  <c r="I112"/>
  <c r="I119"/>
  <c r="I115"/>
  <c r="B125"/>
  <c r="I116"/>
  <c r="B126"/>
  <c r="B132"/>
  <c r="I111"/>
  <c r="I113"/>
  <c r="I118"/>
  <c r="I120"/>
  <c r="I128"/>
  <c r="I127"/>
  <c r="B115"/>
  <c r="B129"/>
  <c r="I114"/>
  <c r="B117"/>
  <c r="B128"/>
  <c r="B127"/>
  <c r="I109"/>
  <c r="B123"/>
  <c r="B124"/>
  <c r="I130"/>
  <c r="B116"/>
  <c r="I110"/>
  <c r="I108" s="1"/>
  <c r="B118"/>
  <c r="I131"/>
  <c r="I132"/>
  <c r="B122"/>
  <c r="D134" i="51"/>
  <c r="E133"/>
  <c r="AE186" i="80"/>
  <c r="F169"/>
  <c r="AE187" s="1"/>
  <c r="F177"/>
  <c r="AM186"/>
  <c r="F176"/>
  <c r="AL186"/>
  <c r="I110" i="84"/>
  <c r="I117"/>
  <c r="I99"/>
  <c r="B109"/>
  <c r="B126"/>
  <c r="I108"/>
  <c r="I111"/>
  <c r="B110"/>
  <c r="B117"/>
  <c r="I124"/>
  <c r="I109"/>
  <c r="I119"/>
  <c r="I103"/>
  <c r="I105"/>
  <c r="I106"/>
  <c r="B115"/>
  <c r="B112"/>
  <c r="B121"/>
  <c r="I126"/>
  <c r="I101"/>
  <c r="I107"/>
  <c r="B111"/>
  <c r="B122"/>
  <c r="I123"/>
  <c r="I114"/>
  <c r="B113"/>
  <c r="I116"/>
  <c r="I115"/>
  <c r="B118"/>
  <c r="B114"/>
  <c r="B124"/>
  <c r="B119"/>
  <c r="I98"/>
  <c r="I97" s="1"/>
  <c r="G102" s="1"/>
  <c r="I122"/>
  <c r="I100"/>
  <c r="I118"/>
  <c r="B123"/>
  <c r="B120"/>
  <c r="B125"/>
  <c r="I112"/>
  <c r="I125"/>
  <c r="I120"/>
  <c r="I113"/>
  <c r="I102"/>
  <c r="I104"/>
  <c r="B116"/>
  <c r="I121"/>
  <c r="G173" i="80"/>
  <c r="I173" s="1"/>
  <c r="F60" i="90"/>
  <c r="D156"/>
  <c r="D108" i="81"/>
  <c r="E107"/>
  <c r="F170" i="80"/>
  <c r="AF186"/>
  <c r="F178"/>
  <c r="AN187" s="1"/>
  <c r="AN186"/>
  <c r="AI186"/>
  <c r="F173"/>
  <c r="AG186"/>
  <c r="F171"/>
  <c r="AG187" s="1"/>
  <c r="F161"/>
  <c r="H161" s="1"/>
  <c r="W186"/>
  <c r="I108" i="92"/>
  <c r="L51" i="119"/>
  <c r="H176" i="80"/>
  <c r="D236" i="101"/>
  <c r="I128" i="80"/>
  <c r="C156" i="90"/>
  <c r="E34"/>
  <c r="Y186" i="80"/>
  <c r="F163"/>
  <c r="H163" s="1"/>
  <c r="AK186"/>
  <c r="F175"/>
  <c r="F172"/>
  <c r="AH187" s="1"/>
  <c r="AH186"/>
  <c r="F174"/>
  <c r="AJ187" s="1"/>
  <c r="AJ186"/>
  <c r="X186"/>
  <c r="F162"/>
  <c r="F164"/>
  <c r="Z187" s="1"/>
  <c r="Z186"/>
  <c r="D134" i="60"/>
  <c r="E133"/>
  <c r="C235" i="101"/>
  <c r="E24" i="100"/>
  <c r="C34" i="63"/>
  <c r="B33"/>
  <c r="I33"/>
  <c r="D122" i="119"/>
  <c r="H123" s="1"/>
  <c r="H201"/>
  <c r="H207"/>
  <c r="D128"/>
  <c r="G164" i="80"/>
  <c r="I164" s="1"/>
  <c r="H164"/>
  <c r="D121" i="119"/>
  <c r="H122" s="1"/>
  <c r="H200"/>
  <c r="D134" i="63"/>
  <c r="E133"/>
  <c r="D140" i="45"/>
  <c r="E139"/>
  <c r="C146" i="119"/>
  <c r="G147" s="1"/>
  <c r="I199"/>
  <c r="I206"/>
  <c r="C153"/>
  <c r="I205"/>
  <c r="C152"/>
  <c r="G153" s="1"/>
  <c r="J86"/>
  <c r="H87"/>
  <c r="K66"/>
  <c r="L66" s="1"/>
  <c r="F192"/>
  <c r="D87"/>
  <c r="D90"/>
  <c r="F195"/>
  <c r="D142" i="42"/>
  <c r="E141"/>
  <c r="D151" i="119"/>
  <c r="H152" s="1"/>
  <c r="J204"/>
  <c r="I198"/>
  <c r="C145"/>
  <c r="G146" s="1"/>
  <c r="E137" i="39"/>
  <c r="D138"/>
  <c r="K65" i="119"/>
  <c r="L65" s="1"/>
  <c r="C77"/>
  <c r="G58"/>
  <c r="H178" i="80"/>
  <c r="G178"/>
  <c r="I178" s="1"/>
  <c r="J142" i="101"/>
  <c r="H143"/>
  <c r="G191" i="119"/>
  <c r="C112"/>
  <c r="G113" s="1"/>
  <c r="H166" i="80"/>
  <c r="G166"/>
  <c r="I166" s="1"/>
  <c r="D107" i="78"/>
  <c r="E106"/>
  <c r="D93" i="119"/>
  <c r="H94" s="1"/>
  <c r="F198"/>
  <c r="F216" i="101"/>
  <c r="D111"/>
  <c r="H112" s="1"/>
  <c r="E139" i="57"/>
  <c r="D140"/>
  <c r="H202" i="119"/>
  <c r="D123"/>
  <c r="H124" s="1"/>
  <c r="H172" i="80"/>
  <c r="G172"/>
  <c r="I172" s="1"/>
  <c r="K64" i="119"/>
  <c r="L64" s="1"/>
  <c r="H31"/>
  <c r="I202"/>
  <c r="C149"/>
  <c r="G150" s="1"/>
  <c r="D172" i="101"/>
  <c r="H173" s="1"/>
  <c r="J225"/>
  <c r="G217"/>
  <c r="C138"/>
  <c r="G139" s="1"/>
  <c r="F190" i="119"/>
  <c r="D85"/>
  <c r="H86" s="1"/>
  <c r="D92"/>
  <c r="F197"/>
  <c r="G207"/>
  <c r="C128"/>
  <c r="G128" s="1"/>
  <c r="H205"/>
  <c r="D126"/>
  <c r="H127" s="1"/>
  <c r="D88"/>
  <c r="F193"/>
  <c r="E107" i="87"/>
  <c r="D108"/>
  <c r="I200" i="119"/>
  <c r="C147"/>
  <c r="G148" s="1"/>
  <c r="H204"/>
  <c r="D125"/>
  <c r="H126" s="1"/>
  <c r="D108" i="85"/>
  <c r="E107"/>
  <c r="K62" i="119"/>
  <c r="L62" s="1"/>
  <c r="C142"/>
  <c r="G143" s="1"/>
  <c r="I195"/>
  <c r="F60" i="96"/>
  <c r="D156"/>
  <c r="D135" i="48"/>
  <c r="E134"/>
  <c r="G162" i="80"/>
  <c r="H162"/>
  <c r="F196" i="119"/>
  <c r="D91"/>
  <c r="AM226" i="63"/>
  <c r="B213"/>
  <c r="C141" i="119"/>
  <c r="G142" s="1"/>
  <c r="I194"/>
  <c r="C150"/>
  <c r="G151" s="1"/>
  <c r="I203"/>
  <c r="K61"/>
  <c r="L61" s="1"/>
  <c r="D127"/>
  <c r="H128" s="1"/>
  <c r="H206"/>
  <c r="I193"/>
  <c r="C140"/>
  <c r="G141" s="1"/>
  <c r="G174" i="80"/>
  <c r="I174" s="1"/>
  <c r="H174"/>
  <c r="C124" i="119"/>
  <c r="G125" s="1"/>
  <c r="G203"/>
  <c r="F194"/>
  <c r="D89"/>
  <c r="I201"/>
  <c r="C148"/>
  <c r="G149" s="1"/>
  <c r="F60" i="97"/>
  <c r="D156"/>
  <c r="J77" i="119"/>
  <c r="K60"/>
  <c r="L60" s="1"/>
  <c r="C116"/>
  <c r="G117" s="1"/>
  <c r="G195"/>
  <c r="D143" i="36"/>
  <c r="E142"/>
  <c r="I197" i="119"/>
  <c r="C144"/>
  <c r="G145" s="1"/>
  <c r="H171" i="80"/>
  <c r="G171"/>
  <c r="I171" s="1"/>
  <c r="H169"/>
  <c r="G169"/>
  <c r="I169" s="1"/>
  <c r="AK186" i="87"/>
  <c r="F175"/>
  <c r="G161" i="79"/>
  <c r="H161"/>
  <c r="AH187"/>
  <c r="G172"/>
  <c r="I172" s="1"/>
  <c r="H172"/>
  <c r="C194" i="101"/>
  <c r="G195" s="1"/>
  <c r="M222" s="1"/>
  <c r="K221"/>
  <c r="G209" i="60"/>
  <c r="I209" s="1"/>
  <c r="H209"/>
  <c r="AI231" s="1"/>
  <c r="AB186" i="84"/>
  <c r="F166"/>
  <c r="AB187" i="81"/>
  <c r="H166"/>
  <c r="G166"/>
  <c r="I166" s="1"/>
  <c r="I218" i="48"/>
  <c r="AR231"/>
  <c r="AF187" i="82"/>
  <c r="H170"/>
  <c r="G170"/>
  <c r="I170" s="1"/>
  <c r="AL231" i="48"/>
  <c r="I212"/>
  <c r="Y186" i="84"/>
  <c r="F163"/>
  <c r="AJ186"/>
  <c r="F174"/>
  <c r="F168"/>
  <c r="AD186"/>
  <c r="F173"/>
  <c r="AI186"/>
  <c r="F181" i="81"/>
  <c r="K181" s="1"/>
  <c r="F132"/>
  <c r="H163"/>
  <c r="G163"/>
  <c r="AM187" i="79"/>
  <c r="H177"/>
  <c r="G177"/>
  <c r="I177" s="1"/>
  <c r="Z187"/>
  <c r="G164"/>
  <c r="I164" s="1"/>
  <c r="H164"/>
  <c r="AL186" i="84"/>
  <c r="F176"/>
  <c r="F167"/>
  <c r="AC186"/>
  <c r="AG186"/>
  <c r="F171"/>
  <c r="AN186"/>
  <c r="F178"/>
  <c r="G223" i="42"/>
  <c r="I223" s="1"/>
  <c r="H223"/>
  <c r="AW231" s="1"/>
  <c r="H103" i="101"/>
  <c r="D109"/>
  <c r="F214"/>
  <c r="Y186" i="87"/>
  <c r="F163"/>
  <c r="F166"/>
  <c r="AB186"/>
  <c r="F177"/>
  <c r="AM186"/>
  <c r="F164"/>
  <c r="Z186"/>
  <c r="AF187" i="78"/>
  <c r="G170"/>
  <c r="I170" s="1"/>
  <c r="H170"/>
  <c r="H163"/>
  <c r="G163"/>
  <c r="F167" i="86"/>
  <c r="AC186"/>
  <c r="AK187" i="81"/>
  <c r="H175"/>
  <c r="G175"/>
  <c r="I175" s="1"/>
  <c r="B115" i="95"/>
  <c r="I119"/>
  <c r="I129"/>
  <c r="B125"/>
  <c r="I109"/>
  <c r="I117"/>
  <c r="B126"/>
  <c r="I131"/>
  <c r="B122"/>
  <c r="B116"/>
  <c r="B132"/>
  <c r="I132"/>
  <c r="B120"/>
  <c r="I127"/>
  <c r="I110"/>
  <c r="I115"/>
  <c r="I130"/>
  <c r="I125"/>
  <c r="B119"/>
  <c r="I113"/>
  <c r="B130"/>
  <c r="B123"/>
  <c r="I118"/>
  <c r="B117"/>
  <c r="B128"/>
  <c r="B129"/>
  <c r="I120"/>
  <c r="I123"/>
  <c r="I116"/>
  <c r="B121"/>
  <c r="I112"/>
  <c r="B124"/>
  <c r="I121"/>
  <c r="I111"/>
  <c r="B131"/>
  <c r="I126"/>
  <c r="B118"/>
  <c r="I122"/>
  <c r="I114"/>
  <c r="I128"/>
  <c r="B127"/>
  <c r="I124"/>
  <c r="AC187" i="79"/>
  <c r="G167"/>
  <c r="I167" s="1"/>
  <c r="H167"/>
  <c r="AJ187" i="82"/>
  <c r="G174"/>
  <c r="I174" s="1"/>
  <c r="H174"/>
  <c r="H161"/>
  <c r="G161"/>
  <c r="H217" i="60"/>
  <c r="AQ231" s="1"/>
  <c r="G217"/>
  <c r="I217" s="1"/>
  <c r="G214"/>
  <c r="I214" s="1"/>
  <c r="H214"/>
  <c r="AN231" s="1"/>
  <c r="H213"/>
  <c r="AM231" s="1"/>
  <c r="G213"/>
  <c r="I213" s="1"/>
  <c r="AD187" i="78"/>
  <c r="G168"/>
  <c r="I168" s="1"/>
  <c r="H168"/>
  <c r="F153" i="91"/>
  <c r="AI161"/>
  <c r="R154"/>
  <c r="R161"/>
  <c r="F136"/>
  <c r="T161"/>
  <c r="F138"/>
  <c r="Z161"/>
  <c r="F144"/>
  <c r="I207" i="48"/>
  <c r="AG231"/>
  <c r="H216" i="39"/>
  <c r="AP231" s="1"/>
  <c r="G216"/>
  <c r="I216" s="1"/>
  <c r="X186" i="83"/>
  <c r="F162"/>
  <c r="F164"/>
  <c r="Z186"/>
  <c r="F169"/>
  <c r="AE186"/>
  <c r="F165"/>
  <c r="AA186"/>
  <c r="AB186"/>
  <c r="F166"/>
  <c r="AN187" i="81"/>
  <c r="G178"/>
  <c r="I178" s="1"/>
  <c r="H178"/>
  <c r="AA187"/>
  <c r="G165"/>
  <c r="I165" s="1"/>
  <c r="H165"/>
  <c r="AD187"/>
  <c r="H168"/>
  <c r="G168"/>
  <c r="I168" s="1"/>
  <c r="AG187" i="79"/>
  <c r="G171"/>
  <c r="I171" s="1"/>
  <c r="H171"/>
  <c r="AC161" i="93"/>
  <c r="F147"/>
  <c r="F148"/>
  <c r="AD161"/>
  <c r="F153"/>
  <c r="AI161"/>
  <c r="F138"/>
  <c r="T161"/>
  <c r="V161"/>
  <c r="F140"/>
  <c r="AN187" i="82"/>
  <c r="H178"/>
  <c r="G178"/>
  <c r="I178" s="1"/>
  <c r="AI187"/>
  <c r="H173"/>
  <c r="G173"/>
  <c r="I173" s="1"/>
  <c r="G218" i="60"/>
  <c r="I218" s="1"/>
  <c r="H218"/>
  <c r="AR231" s="1"/>
  <c r="H220" i="42"/>
  <c r="AT231" s="1"/>
  <c r="G220"/>
  <c r="I220" s="1"/>
  <c r="G209"/>
  <c r="I209" s="1"/>
  <c r="H209"/>
  <c r="AI231" s="1"/>
  <c r="AM231" i="48"/>
  <c r="I213"/>
  <c r="F166" i="85"/>
  <c r="AB186"/>
  <c r="F171"/>
  <c r="AG186"/>
  <c r="F178"/>
  <c r="AN186"/>
  <c r="F173"/>
  <c r="AI186"/>
  <c r="Z187" i="78"/>
  <c r="G164"/>
  <c r="I164" s="1"/>
  <c r="H164"/>
  <c r="AT231" i="48"/>
  <c r="I220"/>
  <c r="H207" i="39"/>
  <c r="AG231" s="1"/>
  <c r="G207"/>
  <c r="I207" s="1"/>
  <c r="E34" i="97"/>
  <c r="C156"/>
  <c r="AF187" i="81"/>
  <c r="H170"/>
  <c r="G170"/>
  <c r="I170" s="1"/>
  <c r="AH231" i="48"/>
  <c r="I208"/>
  <c r="AC187" i="82"/>
  <c r="H167"/>
  <c r="G167"/>
  <c r="I167" s="1"/>
  <c r="AE187"/>
  <c r="G169"/>
  <c r="I169" s="1"/>
  <c r="H169"/>
  <c r="K113" i="101"/>
  <c r="L113" s="1"/>
  <c r="J129"/>
  <c r="F141" i="92"/>
  <c r="W161"/>
  <c r="AE161"/>
  <c r="F149"/>
  <c r="I221" i="48"/>
  <c r="AU231"/>
  <c r="H208" i="60"/>
  <c r="AH231" s="1"/>
  <c r="G208"/>
  <c r="I208" s="1"/>
  <c r="H206" i="42"/>
  <c r="AF231" s="1"/>
  <c r="G206"/>
  <c r="I206" s="1"/>
  <c r="AE187" i="78"/>
  <c r="G169"/>
  <c r="I169" s="1"/>
  <c r="H169"/>
  <c r="G219" i="39"/>
  <c r="I219" s="1"/>
  <c r="H219"/>
  <c r="AS231" s="1"/>
  <c r="L139" i="101"/>
  <c r="I128" i="83"/>
  <c r="I108" i="93"/>
  <c r="I219" i="48"/>
  <c r="AS231"/>
  <c r="H162" i="82"/>
  <c r="G162"/>
  <c r="G210" i="60"/>
  <c r="I210" s="1"/>
  <c r="H210"/>
  <c r="AJ231" s="1"/>
  <c r="G215"/>
  <c r="I215" s="1"/>
  <c r="H215"/>
  <c r="AO231" s="1"/>
  <c r="F175" i="84"/>
  <c r="AK186"/>
  <c r="F161" i="87"/>
  <c r="W186"/>
  <c r="F172"/>
  <c r="AH186"/>
  <c r="AI187" i="78"/>
  <c r="G173"/>
  <c r="I173" s="1"/>
  <c r="H173"/>
  <c r="F166" i="86"/>
  <c r="AB186"/>
  <c r="AE186"/>
  <c r="F169"/>
  <c r="Z186"/>
  <c r="F164"/>
  <c r="AJ186"/>
  <c r="F174"/>
  <c r="X186"/>
  <c r="F162"/>
  <c r="F226" i="42"/>
  <c r="F167"/>
  <c r="AM187" i="81"/>
  <c r="H177"/>
  <c r="G177"/>
  <c r="I177" s="1"/>
  <c r="AE187" i="79"/>
  <c r="G169"/>
  <c r="I169" s="1"/>
  <c r="H169"/>
  <c r="I125" i="96"/>
  <c r="B130"/>
  <c r="I119"/>
  <c r="I124"/>
  <c r="I131"/>
  <c r="B121"/>
  <c r="B125"/>
  <c r="I122"/>
  <c r="B127"/>
  <c r="B122"/>
  <c r="B117"/>
  <c r="I110"/>
  <c r="I127"/>
  <c r="B116"/>
  <c r="I115"/>
  <c r="I126"/>
  <c r="B126"/>
  <c r="B124"/>
  <c r="B128"/>
  <c r="I111"/>
  <c r="I128"/>
  <c r="B131"/>
  <c r="I117"/>
  <c r="I116"/>
  <c r="I129"/>
  <c r="B120"/>
  <c r="I130"/>
  <c r="I118"/>
  <c r="B115"/>
  <c r="I120"/>
  <c r="B119"/>
  <c r="I123"/>
  <c r="I113"/>
  <c r="I132"/>
  <c r="B123"/>
  <c r="I121"/>
  <c r="B132"/>
  <c r="I112"/>
  <c r="B118"/>
  <c r="I109"/>
  <c r="I114"/>
  <c r="B129"/>
  <c r="G216" i="60"/>
  <c r="I216" s="1"/>
  <c r="H216"/>
  <c r="AP231" s="1"/>
  <c r="H145" i="101"/>
  <c r="J144"/>
  <c r="H221" i="42"/>
  <c r="AU231" s="1"/>
  <c r="G221"/>
  <c r="I221" s="1"/>
  <c r="AA187" i="78"/>
  <c r="G165"/>
  <c r="I165" s="1"/>
  <c r="H165"/>
  <c r="F148" i="91"/>
  <c r="AD161"/>
  <c r="F140"/>
  <c r="V161"/>
  <c r="F141"/>
  <c r="W161"/>
  <c r="F142"/>
  <c r="X161"/>
  <c r="F152"/>
  <c r="AH161"/>
  <c r="G212" i="39"/>
  <c r="I212" s="1"/>
  <c r="H212"/>
  <c r="AL231" s="1"/>
  <c r="H208"/>
  <c r="AH231" s="1"/>
  <c r="G208"/>
  <c r="I208" s="1"/>
  <c r="H211"/>
  <c r="AK231" s="1"/>
  <c r="G211"/>
  <c r="I211" s="1"/>
  <c r="F174" i="83"/>
  <c r="AJ186"/>
  <c r="F168"/>
  <c r="AD186"/>
  <c r="AM186"/>
  <c r="F177"/>
  <c r="AH186"/>
  <c r="F172"/>
  <c r="F132" i="82"/>
  <c r="F181"/>
  <c r="K181" s="1"/>
  <c r="F226" i="60"/>
  <c r="F167"/>
  <c r="H161" i="81"/>
  <c r="G161"/>
  <c r="G163" i="79"/>
  <c r="H163"/>
  <c r="AI187"/>
  <c r="G173"/>
  <c r="I173" s="1"/>
  <c r="H173"/>
  <c r="F139" i="93"/>
  <c r="U161"/>
  <c r="F150"/>
  <c r="AF161"/>
  <c r="Y161"/>
  <c r="F143"/>
  <c r="F142"/>
  <c r="X161"/>
  <c r="AE161"/>
  <c r="F149"/>
  <c r="I215" i="48"/>
  <c r="AO231"/>
  <c r="G212" i="60"/>
  <c r="I212" s="1"/>
  <c r="H212"/>
  <c r="AL231" s="1"/>
  <c r="I206" i="48"/>
  <c r="AF231"/>
  <c r="F165" i="85"/>
  <c r="AA186"/>
  <c r="F172"/>
  <c r="AH186"/>
  <c r="AK186"/>
  <c r="F175"/>
  <c r="W186"/>
  <c r="F161"/>
  <c r="I124" i="94"/>
  <c r="B118"/>
  <c r="I123"/>
  <c r="I129"/>
  <c r="B122"/>
  <c r="B115"/>
  <c r="I125"/>
  <c r="B131"/>
  <c r="I115"/>
  <c r="I132"/>
  <c r="I126"/>
  <c r="I120"/>
  <c r="B128"/>
  <c r="I110"/>
  <c r="I116"/>
  <c r="B132"/>
  <c r="I118"/>
  <c r="B117"/>
  <c r="B119"/>
  <c r="I112"/>
  <c r="B116"/>
  <c r="I117"/>
  <c r="I109"/>
  <c r="I130"/>
  <c r="I114"/>
  <c r="B124"/>
  <c r="B123"/>
  <c r="B126"/>
  <c r="B127"/>
  <c r="I121"/>
  <c r="B120"/>
  <c r="I111"/>
  <c r="B125"/>
  <c r="I131"/>
  <c r="I113"/>
  <c r="B129"/>
  <c r="I119"/>
  <c r="I128"/>
  <c r="B121"/>
  <c r="I122"/>
  <c r="B130"/>
  <c r="I127"/>
  <c r="G161" i="78"/>
  <c r="H161"/>
  <c r="I115" i="97"/>
  <c r="I128"/>
  <c r="I118"/>
  <c r="I132"/>
  <c r="I112"/>
  <c r="B124"/>
  <c r="I119"/>
  <c r="I129"/>
  <c r="I116"/>
  <c r="B122"/>
  <c r="B127"/>
  <c r="B121"/>
  <c r="I130"/>
  <c r="B128"/>
  <c r="B119"/>
  <c r="I123"/>
  <c r="B118"/>
  <c r="B117"/>
  <c r="I111"/>
  <c r="I120"/>
  <c r="B123"/>
  <c r="I127"/>
  <c r="I126"/>
  <c r="I113"/>
  <c r="B131"/>
  <c r="B129"/>
  <c r="I124"/>
  <c r="B132"/>
  <c r="B116"/>
  <c r="B130"/>
  <c r="B120"/>
  <c r="I109"/>
  <c r="I122"/>
  <c r="I125"/>
  <c r="I131"/>
  <c r="I121"/>
  <c r="I110"/>
  <c r="I114"/>
  <c r="B125"/>
  <c r="I117"/>
  <c r="B115"/>
  <c r="B126"/>
  <c r="F112" i="89"/>
  <c r="F156"/>
  <c r="K156" s="1"/>
  <c r="AC187" i="81"/>
  <c r="H167"/>
  <c r="G167"/>
  <c r="I167" s="1"/>
  <c r="I214" i="48"/>
  <c r="AN231"/>
  <c r="AA187" i="79"/>
  <c r="H165"/>
  <c r="G165"/>
  <c r="I165" s="1"/>
  <c r="AK187"/>
  <c r="G175"/>
  <c r="I175" s="1"/>
  <c r="H175"/>
  <c r="AA187" i="82"/>
  <c r="H165"/>
  <c r="G165"/>
  <c r="I165" s="1"/>
  <c r="H219" i="101"/>
  <c r="D140"/>
  <c r="Z161" i="92"/>
  <c r="F144"/>
  <c r="AH161"/>
  <c r="F152"/>
  <c r="F112"/>
  <c r="F156"/>
  <c r="K156" s="1"/>
  <c r="AC161"/>
  <c r="F147"/>
  <c r="F150"/>
  <c r="AF161"/>
  <c r="U161"/>
  <c r="F139"/>
  <c r="V161"/>
  <c r="F140"/>
  <c r="J143" i="101"/>
  <c r="H144"/>
  <c r="H220" i="60"/>
  <c r="AT231" s="1"/>
  <c r="G220"/>
  <c r="I220" s="1"/>
  <c r="G210" i="42"/>
  <c r="I210" s="1"/>
  <c r="H210"/>
  <c r="AJ231" s="1"/>
  <c r="G214"/>
  <c r="I214" s="1"/>
  <c r="H214"/>
  <c r="AN231" s="1"/>
  <c r="C109" i="101"/>
  <c r="G103"/>
  <c r="G104" s="1"/>
  <c r="E214"/>
  <c r="E236" s="1"/>
  <c r="F215"/>
  <c r="D110"/>
  <c r="H111" s="1"/>
  <c r="I222" i="48"/>
  <c r="AV231"/>
  <c r="E215" i="101"/>
  <c r="C110"/>
  <c r="G111" s="1"/>
  <c r="H222" i="39"/>
  <c r="AV231" s="1"/>
  <c r="G222"/>
  <c r="I222" s="1"/>
  <c r="H213"/>
  <c r="AM231" s="1"/>
  <c r="G213"/>
  <c r="I213" s="1"/>
  <c r="G215"/>
  <c r="I215" s="1"/>
  <c r="H215"/>
  <c r="AO231" s="1"/>
  <c r="K222" i="101"/>
  <c r="C195"/>
  <c r="G196" s="1"/>
  <c r="M223" s="1"/>
  <c r="F161" i="84"/>
  <c r="W186"/>
  <c r="F170" i="87"/>
  <c r="AF186"/>
  <c r="F163" i="86"/>
  <c r="Y186"/>
  <c r="C156" i="96"/>
  <c r="E34"/>
  <c r="AM186" i="84"/>
  <c r="F177"/>
  <c r="F162"/>
  <c r="X186"/>
  <c r="AE186"/>
  <c r="F169"/>
  <c r="AH186"/>
  <c r="F172"/>
  <c r="F165"/>
  <c r="AA186"/>
  <c r="G213" i="42"/>
  <c r="I213" s="1"/>
  <c r="H213"/>
  <c r="AM231" s="1"/>
  <c r="H207"/>
  <c r="AG231" s="1"/>
  <c r="G207"/>
  <c r="I207" s="1"/>
  <c r="G215"/>
  <c r="I215" s="1"/>
  <c r="H215"/>
  <c r="AO231" s="1"/>
  <c r="F174" i="87"/>
  <c r="AJ186"/>
  <c r="F178"/>
  <c r="AN186"/>
  <c r="X186"/>
  <c r="F162"/>
  <c r="AA186"/>
  <c r="F165"/>
  <c r="F173"/>
  <c r="AI186"/>
  <c r="F176"/>
  <c r="AL186"/>
  <c r="AB187" i="78"/>
  <c r="H166"/>
  <c r="G166"/>
  <c r="I166" s="1"/>
  <c r="K114" i="101"/>
  <c r="L114" s="1"/>
  <c r="F161" i="86"/>
  <c r="W186"/>
  <c r="AI186"/>
  <c r="F173"/>
  <c r="F178"/>
  <c r="AN186"/>
  <c r="F177"/>
  <c r="AM186"/>
  <c r="AF186"/>
  <c r="F170"/>
  <c r="F132" i="78"/>
  <c r="F181"/>
  <c r="K181" s="1"/>
  <c r="AI187" i="81"/>
  <c r="G173"/>
  <c r="I173" s="1"/>
  <c r="H173"/>
  <c r="AB187" i="79"/>
  <c r="G166"/>
  <c r="I166" s="1"/>
  <c r="H166"/>
  <c r="AD187" i="82"/>
  <c r="G168"/>
  <c r="I168" s="1"/>
  <c r="H168"/>
  <c r="AQ231" i="48"/>
  <c r="I217"/>
  <c r="H206" i="60"/>
  <c r="AF231" s="1"/>
  <c r="G206"/>
  <c r="I206" s="1"/>
  <c r="G222"/>
  <c r="I222" s="1"/>
  <c r="H222"/>
  <c r="AV231" s="1"/>
  <c r="AJ187" i="78"/>
  <c r="H174"/>
  <c r="G174"/>
  <c r="I174" s="1"/>
  <c r="AG161" i="91"/>
  <c r="F151"/>
  <c r="F145"/>
  <c r="AA161"/>
  <c r="AE161"/>
  <c r="F149"/>
  <c r="AC161"/>
  <c r="F147"/>
  <c r="AB161"/>
  <c r="F146"/>
  <c r="I211" i="48"/>
  <c r="AK231"/>
  <c r="AF186" i="83"/>
  <c r="F170"/>
  <c r="AN186"/>
  <c r="F178"/>
  <c r="F173"/>
  <c r="AI186"/>
  <c r="F176"/>
  <c r="AL186"/>
  <c r="Y186"/>
  <c r="F163"/>
  <c r="AE187" i="81"/>
  <c r="G169"/>
  <c r="I169" s="1"/>
  <c r="H169"/>
  <c r="S161" i="93"/>
  <c r="F137"/>
  <c r="R161"/>
  <c r="F136"/>
  <c r="R154"/>
  <c r="F141"/>
  <c r="W161"/>
  <c r="F144"/>
  <c r="Z161"/>
  <c r="AB187" i="82"/>
  <c r="H166"/>
  <c r="G166"/>
  <c r="I166" s="1"/>
  <c r="H163"/>
  <c r="G163"/>
  <c r="AG187"/>
  <c r="G171"/>
  <c r="I171" s="1"/>
  <c r="H171"/>
  <c r="G223" i="60"/>
  <c r="I223" s="1"/>
  <c r="H223"/>
  <c r="AW231" s="1"/>
  <c r="H218" i="42"/>
  <c r="AR231" s="1"/>
  <c r="G218"/>
  <c r="I218" s="1"/>
  <c r="H212"/>
  <c r="AL231" s="1"/>
  <c r="G212"/>
  <c r="I212" s="1"/>
  <c r="F167" i="85"/>
  <c r="AC186"/>
  <c r="F164"/>
  <c r="Z186"/>
  <c r="AM186"/>
  <c r="F177"/>
  <c r="F168"/>
  <c r="AD186"/>
  <c r="F174"/>
  <c r="AJ186"/>
  <c r="F176"/>
  <c r="AL186"/>
  <c r="F162"/>
  <c r="X186"/>
  <c r="AM187" i="78"/>
  <c r="G177"/>
  <c r="I177" s="1"/>
  <c r="H177"/>
  <c r="H162"/>
  <c r="G162"/>
  <c r="H217" i="39"/>
  <c r="AQ231" s="1"/>
  <c r="G217"/>
  <c r="I217" s="1"/>
  <c r="H223"/>
  <c r="AW231" s="1"/>
  <c r="G223"/>
  <c r="I223" s="1"/>
  <c r="G210"/>
  <c r="I210" s="1"/>
  <c r="H210"/>
  <c r="AJ231" s="1"/>
  <c r="C156" i="95"/>
  <c r="E34"/>
  <c r="AH187" i="81"/>
  <c r="G172"/>
  <c r="I172" s="1"/>
  <c r="H172"/>
  <c r="AJ187" i="79"/>
  <c r="G174"/>
  <c r="I174" s="1"/>
  <c r="H174"/>
  <c r="AM187" i="82"/>
  <c r="H177"/>
  <c r="G177"/>
  <c r="I177" s="1"/>
  <c r="AA161" i="92"/>
  <c r="F145"/>
  <c r="F146"/>
  <c r="AB161"/>
  <c r="F137"/>
  <c r="S161"/>
  <c r="F142"/>
  <c r="X161"/>
  <c r="AW231" i="48"/>
  <c r="I223"/>
  <c r="G211" i="60"/>
  <c r="I211" s="1"/>
  <c r="H211"/>
  <c r="AK231" s="1"/>
  <c r="H211" i="42"/>
  <c r="AK231" s="1"/>
  <c r="G211"/>
  <c r="I211" s="1"/>
  <c r="H216"/>
  <c r="AP231" s="1"/>
  <c r="G216"/>
  <c r="I216" s="1"/>
  <c r="AN187" i="78"/>
  <c r="H178"/>
  <c r="G178"/>
  <c r="I178" s="1"/>
  <c r="L227" i="101"/>
  <c r="D200"/>
  <c r="H201" s="1"/>
  <c r="N228" s="1"/>
  <c r="J166"/>
  <c r="H167"/>
  <c r="I128" i="84"/>
  <c r="C104" i="101"/>
  <c r="H162" i="79"/>
  <c r="G162"/>
  <c r="Z186" i="84"/>
  <c r="F164"/>
  <c r="AG186" i="87"/>
  <c r="F171"/>
  <c r="AL187" i="81"/>
  <c r="H176"/>
  <c r="G176"/>
  <c r="I176" s="1"/>
  <c r="H207" i="60"/>
  <c r="AG231" s="1"/>
  <c r="G207"/>
  <c r="I207" s="1"/>
  <c r="F170" i="84"/>
  <c r="AF186"/>
  <c r="G217" i="42"/>
  <c r="I217" s="1"/>
  <c r="H217"/>
  <c r="AQ231" s="1"/>
  <c r="F167" i="87"/>
  <c r="AC186"/>
  <c r="F169"/>
  <c r="AE186"/>
  <c r="F168"/>
  <c r="AD186"/>
  <c r="AL187" i="78"/>
  <c r="H176"/>
  <c r="G176"/>
  <c r="I176" s="1"/>
  <c r="AC187"/>
  <c r="H167"/>
  <c r="G167"/>
  <c r="I167" s="1"/>
  <c r="D141" i="101"/>
  <c r="H220"/>
  <c r="F176" i="86"/>
  <c r="AL186"/>
  <c r="F165"/>
  <c r="AA186"/>
  <c r="AG186"/>
  <c r="F171"/>
  <c r="AD186"/>
  <c r="F168"/>
  <c r="AK186"/>
  <c r="F175"/>
  <c r="AH186"/>
  <c r="F172"/>
  <c r="G218" i="39"/>
  <c r="I218" s="1"/>
  <c r="H218"/>
  <c r="AR231" s="1"/>
  <c r="G162" i="81"/>
  <c r="H162"/>
  <c r="AN187" i="79"/>
  <c r="G178"/>
  <c r="I178" s="1"/>
  <c r="H178"/>
  <c r="Z187" i="82"/>
  <c r="H164"/>
  <c r="G164"/>
  <c r="I164" s="1"/>
  <c r="G219" i="60"/>
  <c r="I219" s="1"/>
  <c r="H219"/>
  <c r="AS231" s="1"/>
  <c r="H208" i="42"/>
  <c r="AH231" s="1"/>
  <c r="G208"/>
  <c r="I208" s="1"/>
  <c r="H222"/>
  <c r="AV231" s="1"/>
  <c r="G222"/>
  <c r="I222" s="1"/>
  <c r="AH187" i="78"/>
  <c r="H172"/>
  <c r="G172"/>
  <c r="I172" s="1"/>
  <c r="AK187"/>
  <c r="G175"/>
  <c r="I175" s="1"/>
  <c r="H175"/>
  <c r="U161" i="91"/>
  <c r="F139"/>
  <c r="F156"/>
  <c r="K156" s="1"/>
  <c r="F112"/>
  <c r="F137"/>
  <c r="S161"/>
  <c r="Y161"/>
  <c r="F143"/>
  <c r="AF161"/>
  <c r="F150"/>
  <c r="G220" i="39"/>
  <c r="I220" s="1"/>
  <c r="H220"/>
  <c r="AT231" s="1"/>
  <c r="H214"/>
  <c r="AN231" s="1"/>
  <c r="G214"/>
  <c r="I214" s="1"/>
  <c r="F161" i="83"/>
  <c r="W186"/>
  <c r="AC186"/>
  <c r="F167"/>
  <c r="AK186"/>
  <c r="F175"/>
  <c r="AG186"/>
  <c r="F171"/>
  <c r="F226" i="39"/>
  <c r="F167"/>
  <c r="AJ187" i="81"/>
  <c r="H174"/>
  <c r="G174"/>
  <c r="I174" s="1"/>
  <c r="Z187"/>
  <c r="G164"/>
  <c r="I164" s="1"/>
  <c r="H164"/>
  <c r="AF187" i="79"/>
  <c r="G170"/>
  <c r="I170" s="1"/>
  <c r="H170"/>
  <c r="AL187"/>
  <c r="G176"/>
  <c r="I176" s="1"/>
  <c r="H176"/>
  <c r="AB161" i="93"/>
  <c r="F146"/>
  <c r="AA161"/>
  <c r="F145"/>
  <c r="F152"/>
  <c r="AH161"/>
  <c r="F151"/>
  <c r="AG161"/>
  <c r="AL187" i="82"/>
  <c r="G176"/>
  <c r="I176" s="1"/>
  <c r="H176"/>
  <c r="AE186" i="85"/>
  <c r="F169"/>
  <c r="F163"/>
  <c r="Y186"/>
  <c r="AF186"/>
  <c r="F170"/>
  <c r="I210" i="48"/>
  <c r="AJ231"/>
  <c r="H206" i="39"/>
  <c r="AF231" s="1"/>
  <c r="G206"/>
  <c r="I206" s="1"/>
  <c r="F132" i="79"/>
  <c r="F181"/>
  <c r="K181" s="1"/>
  <c r="AG187" i="81"/>
  <c r="H171"/>
  <c r="G171"/>
  <c r="I171" s="1"/>
  <c r="AP231" i="48"/>
  <c r="I216"/>
  <c r="AD187" i="79"/>
  <c r="H168"/>
  <c r="G168"/>
  <c r="I168" s="1"/>
  <c r="AK187" i="82"/>
  <c r="G175"/>
  <c r="I175" s="1"/>
  <c r="H175"/>
  <c r="AH187"/>
  <c r="H172"/>
  <c r="G172"/>
  <c r="I172" s="1"/>
  <c r="F148" i="92"/>
  <c r="AD161"/>
  <c r="F151"/>
  <c r="AG161"/>
  <c r="T161"/>
  <c r="F138"/>
  <c r="Y161"/>
  <c r="F143"/>
  <c r="F153"/>
  <c r="AI161"/>
  <c r="F136"/>
  <c r="R154"/>
  <c r="R161"/>
  <c r="G221" i="60"/>
  <c r="I221" s="1"/>
  <c r="H221"/>
  <c r="AU231" s="1"/>
  <c r="H219" i="42"/>
  <c r="AS231" s="1"/>
  <c r="G219"/>
  <c r="I219" s="1"/>
  <c r="AI231" i="48"/>
  <c r="I209"/>
  <c r="AG187" i="78"/>
  <c r="H171"/>
  <c r="G171"/>
  <c r="I171" s="1"/>
  <c r="G209" i="39"/>
  <c r="I209" s="1"/>
  <c r="H209"/>
  <c r="AI231" s="1"/>
  <c r="H221"/>
  <c r="AU231" s="1"/>
  <c r="G221"/>
  <c r="I221" s="1"/>
  <c r="I128" i="87"/>
  <c r="I128" i="86"/>
  <c r="I128" i="85"/>
  <c r="AK187" i="80" l="1"/>
  <c r="H175"/>
  <c r="G175"/>
  <c r="I175" s="1"/>
  <c r="F132"/>
  <c r="F181"/>
  <c r="K181" s="1"/>
  <c r="AI187"/>
  <c r="H173"/>
  <c r="AL187"/>
  <c r="G176"/>
  <c r="I176" s="1"/>
  <c r="U161" i="89"/>
  <c r="F139"/>
  <c r="AA161"/>
  <c r="F145"/>
  <c r="F149"/>
  <c r="AE161"/>
  <c r="R161"/>
  <c r="R154"/>
  <c r="F136"/>
  <c r="AC161"/>
  <c r="F147"/>
  <c r="V161"/>
  <c r="F140"/>
  <c r="AD187" i="80"/>
  <c r="G168"/>
  <c r="I168" s="1"/>
  <c r="H168"/>
  <c r="AI161" i="90"/>
  <c r="F153"/>
  <c r="W161"/>
  <c r="F141"/>
  <c r="AB161"/>
  <c r="F146"/>
  <c r="F138"/>
  <c r="T161"/>
  <c r="D135" i="60"/>
  <c r="E134"/>
  <c r="E108" i="81"/>
  <c r="G99" s="1"/>
  <c r="D109"/>
  <c r="D110" s="1"/>
  <c r="D111" s="1"/>
  <c r="D112" s="1"/>
  <c r="D113" s="1"/>
  <c r="D114" s="1"/>
  <c r="D115" s="1"/>
  <c r="D116" s="1"/>
  <c r="D117" s="1"/>
  <c r="D118" s="1"/>
  <c r="D119" s="1"/>
  <c r="D120" s="1"/>
  <c r="D121" s="1"/>
  <c r="D122" s="1"/>
  <c r="D123" s="1"/>
  <c r="D124" s="1"/>
  <c r="D125" s="1"/>
  <c r="D126" s="1"/>
  <c r="AD161" i="89"/>
  <c r="F148"/>
  <c r="F150"/>
  <c r="AF161"/>
  <c r="AI161"/>
  <c r="F153"/>
  <c r="AA187" i="80"/>
  <c r="G165"/>
  <c r="I165" s="1"/>
  <c r="H165"/>
  <c r="AE161" i="90"/>
  <c r="F149"/>
  <c r="AA161"/>
  <c r="F145"/>
  <c r="F148"/>
  <c r="AD161"/>
  <c r="E134" i="54"/>
  <c r="D135"/>
  <c r="F236" i="101"/>
  <c r="G163" i="80"/>
  <c r="G161"/>
  <c r="AM187"/>
  <c r="H177"/>
  <c r="G177"/>
  <c r="I177" s="1"/>
  <c r="E134" i="51"/>
  <c r="D135"/>
  <c r="F137" i="89"/>
  <c r="S161"/>
  <c r="AB161"/>
  <c r="F146"/>
  <c r="F142"/>
  <c r="X161"/>
  <c r="F141"/>
  <c r="W161"/>
  <c r="AC161" i="90"/>
  <c r="F147"/>
  <c r="F156"/>
  <c r="K156" s="1"/>
  <c r="F112"/>
  <c r="R154"/>
  <c r="F136"/>
  <c r="R161"/>
  <c r="F140"/>
  <c r="V161"/>
  <c r="S161"/>
  <c r="F137"/>
  <c r="G100" i="81"/>
  <c r="G103" s="1"/>
  <c r="AF187" i="80"/>
  <c r="H170"/>
  <c r="G170"/>
  <c r="I170" s="1"/>
  <c r="Y161" i="89"/>
  <c r="F143"/>
  <c r="Z161"/>
  <c r="F144"/>
  <c r="T161"/>
  <c r="F138"/>
  <c r="F152"/>
  <c r="AH161"/>
  <c r="F151"/>
  <c r="AG161"/>
  <c r="AC187" i="80"/>
  <c r="H167"/>
  <c r="G167"/>
  <c r="I167" s="1"/>
  <c r="F150" i="90"/>
  <c r="AF161"/>
  <c r="X161"/>
  <c r="F142"/>
  <c r="Z161"/>
  <c r="F144"/>
  <c r="U161"/>
  <c r="F139"/>
  <c r="F151"/>
  <c r="AG161"/>
  <c r="F143"/>
  <c r="Y161"/>
  <c r="AH161"/>
  <c r="F152"/>
  <c r="L77" i="119"/>
  <c r="H57"/>
  <c r="C151"/>
  <c r="G152" s="1"/>
  <c r="I204"/>
  <c r="C168"/>
  <c r="G169" s="1"/>
  <c r="M196" s="1"/>
  <c r="K195"/>
  <c r="E135" i="48"/>
  <c r="D136"/>
  <c r="C169" i="119"/>
  <c r="G170" s="1"/>
  <c r="M197" s="1"/>
  <c r="K196"/>
  <c r="D109" i="85"/>
  <c r="D110" s="1"/>
  <c r="D111" s="1"/>
  <c r="D112" s="1"/>
  <c r="D113" s="1"/>
  <c r="D114" s="1"/>
  <c r="D115" s="1"/>
  <c r="D116" s="1"/>
  <c r="D117" s="1"/>
  <c r="D118" s="1"/>
  <c r="D119" s="1"/>
  <c r="D120" s="1"/>
  <c r="D121" s="1"/>
  <c r="D122" s="1"/>
  <c r="D123" s="1"/>
  <c r="D124" s="1"/>
  <c r="D125" s="1"/>
  <c r="D126" s="1"/>
  <c r="E108"/>
  <c r="G99" s="1"/>
  <c r="H93" i="119"/>
  <c r="J92"/>
  <c r="D199" i="101"/>
  <c r="H200" s="1"/>
  <c r="N227" s="1"/>
  <c r="L226"/>
  <c r="D57" i="119"/>
  <c r="D188"/>
  <c r="C208" s="1"/>
  <c r="H51"/>
  <c r="G52" s="1"/>
  <c r="H199"/>
  <c r="D120"/>
  <c r="H121" s="1"/>
  <c r="K142" i="101"/>
  <c r="L142" s="1"/>
  <c r="D178" i="119"/>
  <c r="H179" s="1"/>
  <c r="N206" s="1"/>
  <c r="L205"/>
  <c r="K206"/>
  <c r="C179"/>
  <c r="C35" i="63"/>
  <c r="I34"/>
  <c r="B34"/>
  <c r="C143" i="119"/>
  <c r="G144" s="1"/>
  <c r="I196"/>
  <c r="J89"/>
  <c r="K89" s="1"/>
  <c r="L89" s="1"/>
  <c r="H90"/>
  <c r="K194"/>
  <c r="C167"/>
  <c r="G168" s="1"/>
  <c r="M195" s="1"/>
  <c r="J91"/>
  <c r="K91" s="1"/>
  <c r="L91" s="1"/>
  <c r="H92"/>
  <c r="K201"/>
  <c r="C174"/>
  <c r="G175" s="1"/>
  <c r="M202" s="1"/>
  <c r="D109" i="87"/>
  <c r="D110" s="1"/>
  <c r="D111" s="1"/>
  <c r="D112" s="1"/>
  <c r="D113" s="1"/>
  <c r="D114" s="1"/>
  <c r="D115" s="1"/>
  <c r="D116" s="1"/>
  <c r="D117" s="1"/>
  <c r="D118" s="1"/>
  <c r="D119" s="1"/>
  <c r="D120" s="1"/>
  <c r="D121" s="1"/>
  <c r="D122" s="1"/>
  <c r="D123" s="1"/>
  <c r="D124" s="1"/>
  <c r="D125" s="1"/>
  <c r="D126" s="1"/>
  <c r="E108"/>
  <c r="G99" s="1"/>
  <c r="D153" i="119"/>
  <c r="J206"/>
  <c r="D141" i="57"/>
  <c r="E140"/>
  <c r="J222" i="101"/>
  <c r="D169"/>
  <c r="E189" i="119"/>
  <c r="C84"/>
  <c r="G85" s="1"/>
  <c r="E138" i="39"/>
  <c r="D139"/>
  <c r="E142" i="42"/>
  <c r="D143"/>
  <c r="K86" i="119"/>
  <c r="E140" i="45"/>
  <c r="D141"/>
  <c r="D148" i="119"/>
  <c r="H149" s="1"/>
  <c r="J201"/>
  <c r="AN226" i="63"/>
  <c r="B214"/>
  <c r="C171" i="119"/>
  <c r="G172" s="1"/>
  <c r="M199" s="1"/>
  <c r="K198"/>
  <c r="D154"/>
  <c r="J207"/>
  <c r="C177"/>
  <c r="G178" s="1"/>
  <c r="M205" s="1"/>
  <c r="K204"/>
  <c r="X187" i="80"/>
  <c r="I162"/>
  <c r="H89" i="119"/>
  <c r="J88"/>
  <c r="K88" s="1"/>
  <c r="L88" s="1"/>
  <c r="E107" i="78"/>
  <c r="D108"/>
  <c r="H88" i="119"/>
  <c r="J87"/>
  <c r="H192"/>
  <c r="D113"/>
  <c r="E143" i="36"/>
  <c r="D144"/>
  <c r="G57" i="119"/>
  <c r="K77"/>
  <c r="C175"/>
  <c r="G176" s="1"/>
  <c r="M203" s="1"/>
  <c r="K202"/>
  <c r="H213" i="63"/>
  <c r="AM231" s="1"/>
  <c r="G213"/>
  <c r="I213" s="1"/>
  <c r="D152" i="119"/>
  <c r="H153" s="1"/>
  <c r="J205"/>
  <c r="I207"/>
  <c r="C154"/>
  <c r="G154" s="1"/>
  <c r="H191"/>
  <c r="D112"/>
  <c r="I218" i="101"/>
  <c r="C165"/>
  <c r="G166" s="1"/>
  <c r="C176" i="119"/>
  <c r="G177" s="1"/>
  <c r="M204" s="1"/>
  <c r="K203"/>
  <c r="D150"/>
  <c r="H151" s="1"/>
  <c r="J203"/>
  <c r="H217" i="101"/>
  <c r="D138"/>
  <c r="C139" i="119"/>
  <c r="G140" s="1"/>
  <c r="I192"/>
  <c r="K199"/>
  <c r="C172"/>
  <c r="G173" s="1"/>
  <c r="M200" s="1"/>
  <c r="H91"/>
  <c r="J90"/>
  <c r="K90" s="1"/>
  <c r="L90" s="1"/>
  <c r="K200"/>
  <c r="C173"/>
  <c r="G174" s="1"/>
  <c r="M201" s="1"/>
  <c r="D135" i="63"/>
  <c r="E134"/>
  <c r="D149" i="119"/>
  <c r="H150" s="1"/>
  <c r="J202"/>
  <c r="F132" i="87"/>
  <c r="F181"/>
  <c r="K181" s="1"/>
  <c r="AF187" i="85"/>
  <c r="AE187"/>
  <c r="G152" i="93"/>
  <c r="I152" s="1"/>
  <c r="H152"/>
  <c r="AH162" s="1"/>
  <c r="I162" i="81"/>
  <c r="X187"/>
  <c r="AA187" i="86"/>
  <c r="G165"/>
  <c r="I165" s="1"/>
  <c r="H165"/>
  <c r="J141" i="101"/>
  <c r="H142"/>
  <c r="H136" i="92"/>
  <c r="R162" s="1"/>
  <c r="G136"/>
  <c r="I136" s="1"/>
  <c r="G151"/>
  <c r="I151" s="1"/>
  <c r="H151"/>
  <c r="AG162" s="1"/>
  <c r="G146" i="93"/>
  <c r="I146" s="1"/>
  <c r="H146"/>
  <c r="AB162" s="1"/>
  <c r="AG187" i="83"/>
  <c r="H171"/>
  <c r="G171"/>
  <c r="I171" s="1"/>
  <c r="AC187"/>
  <c r="G167"/>
  <c r="I167" s="1"/>
  <c r="H167"/>
  <c r="G150" i="91"/>
  <c r="I150" s="1"/>
  <c r="H150"/>
  <c r="AF162" s="1"/>
  <c r="G139"/>
  <c r="I139" s="1"/>
  <c r="H139"/>
  <c r="U162" s="1"/>
  <c r="AH187" i="86"/>
  <c r="H172"/>
  <c r="G172"/>
  <c r="I172" s="1"/>
  <c r="AD187"/>
  <c r="H168"/>
  <c r="G168"/>
  <c r="I168" s="1"/>
  <c r="L220" i="101"/>
  <c r="D193"/>
  <c r="G142" i="92"/>
  <c r="I142" s="1"/>
  <c r="H142"/>
  <c r="X162" s="1"/>
  <c r="G146"/>
  <c r="I146" s="1"/>
  <c r="H146"/>
  <c r="AB162" s="1"/>
  <c r="G163" i="83"/>
  <c r="H163"/>
  <c r="AF187"/>
  <c r="H170"/>
  <c r="G170"/>
  <c r="I170" s="1"/>
  <c r="H147" i="91"/>
  <c r="AC162" s="1"/>
  <c r="G147"/>
  <c r="I147" s="1"/>
  <c r="AI187" i="86"/>
  <c r="G173"/>
  <c r="I173" s="1"/>
  <c r="H173"/>
  <c r="AL187" i="87"/>
  <c r="H176"/>
  <c r="G176"/>
  <c r="I176" s="1"/>
  <c r="AN187"/>
  <c r="H178"/>
  <c r="G178"/>
  <c r="I178" s="1"/>
  <c r="AA187" i="84"/>
  <c r="H165"/>
  <c r="G165"/>
  <c r="I165" s="1"/>
  <c r="AF187" i="87"/>
  <c r="G170"/>
  <c r="I170" s="1"/>
  <c r="H170"/>
  <c r="H216" i="101"/>
  <c r="D137"/>
  <c r="H138" s="1"/>
  <c r="C129"/>
  <c r="G110"/>
  <c r="K143"/>
  <c r="L143" s="1"/>
  <c r="F153" i="97"/>
  <c r="AI161"/>
  <c r="F142"/>
  <c r="X161"/>
  <c r="AA161" i="94"/>
  <c r="F145"/>
  <c r="F138"/>
  <c r="T161"/>
  <c r="F136"/>
  <c r="R154"/>
  <c r="R161"/>
  <c r="U161"/>
  <c r="F139"/>
  <c r="Y187" i="79"/>
  <c r="I163"/>
  <c r="AD187" i="83"/>
  <c r="H168"/>
  <c r="G168"/>
  <c r="I168" s="1"/>
  <c r="G142" i="91"/>
  <c r="I142" s="1"/>
  <c r="H142"/>
  <c r="X162" s="1"/>
  <c r="H140"/>
  <c r="V162" s="1"/>
  <c r="G140"/>
  <c r="I140" s="1"/>
  <c r="AJ187" i="86"/>
  <c r="H174"/>
  <c r="G174"/>
  <c r="I174" s="1"/>
  <c r="AE187"/>
  <c r="H169"/>
  <c r="G169"/>
  <c r="I169" s="1"/>
  <c r="H161" i="87"/>
  <c r="G161"/>
  <c r="F156" i="93"/>
  <c r="K156" s="1"/>
  <c r="F112"/>
  <c r="G141" i="92"/>
  <c r="I141" s="1"/>
  <c r="H141"/>
  <c r="W162" s="1"/>
  <c r="AN187" i="85"/>
  <c r="AB187"/>
  <c r="H153" i="93"/>
  <c r="AI162" s="1"/>
  <c r="G153"/>
  <c r="I153" s="1"/>
  <c r="AA187" i="83"/>
  <c r="G165"/>
  <c r="I165" s="1"/>
  <c r="H165"/>
  <c r="Z187"/>
  <c r="H164"/>
  <c r="G164"/>
  <c r="I164" s="1"/>
  <c r="F152" i="95"/>
  <c r="AH161"/>
  <c r="V161"/>
  <c r="F140"/>
  <c r="F153"/>
  <c r="AI161"/>
  <c r="AC161"/>
  <c r="F147"/>
  <c r="Y187" i="78"/>
  <c r="I163"/>
  <c r="AM187" i="87"/>
  <c r="H177"/>
  <c r="G177"/>
  <c r="I177" s="1"/>
  <c r="D129" i="101"/>
  <c r="H110"/>
  <c r="AN187" i="84"/>
  <c r="G178"/>
  <c r="I178" s="1"/>
  <c r="H178"/>
  <c r="G163"/>
  <c r="H163"/>
  <c r="I108" i="97"/>
  <c r="I108" i="96"/>
  <c r="G151" i="93"/>
  <c r="I151" s="1"/>
  <c r="H151"/>
  <c r="AG162" s="1"/>
  <c r="H161" i="83"/>
  <c r="G161"/>
  <c r="AL187" i="86"/>
  <c r="G176"/>
  <c r="I176" s="1"/>
  <c r="H176"/>
  <c r="AD187" i="87"/>
  <c r="H168"/>
  <c r="G168"/>
  <c r="I168" s="1"/>
  <c r="AC187"/>
  <c r="H167"/>
  <c r="G167"/>
  <c r="I167" s="1"/>
  <c r="AF187" i="84"/>
  <c r="H170"/>
  <c r="G170"/>
  <c r="I170" s="1"/>
  <c r="I162" i="79"/>
  <c r="X187"/>
  <c r="F181" i="84"/>
  <c r="K181" s="1"/>
  <c r="F132"/>
  <c r="AJ187" i="85"/>
  <c r="AC187"/>
  <c r="G144" i="93"/>
  <c r="I144" s="1"/>
  <c r="H144"/>
  <c r="Z162" s="1"/>
  <c r="G136"/>
  <c r="I136" s="1"/>
  <c r="H136"/>
  <c r="R162" s="1"/>
  <c r="AL187" i="83"/>
  <c r="H176"/>
  <c r="G176"/>
  <c r="I176" s="1"/>
  <c r="AN187" i="86"/>
  <c r="G178"/>
  <c r="I178" s="1"/>
  <c r="H178"/>
  <c r="H161"/>
  <c r="G161"/>
  <c r="AA187" i="87"/>
  <c r="G165"/>
  <c r="I165" s="1"/>
  <c r="H165"/>
  <c r="AE187" i="84"/>
  <c r="G169"/>
  <c r="I169" s="1"/>
  <c r="H169"/>
  <c r="AM187"/>
  <c r="H177"/>
  <c r="G177"/>
  <c r="I177" s="1"/>
  <c r="D170" i="101"/>
  <c r="J223"/>
  <c r="H139" i="92"/>
  <c r="U162" s="1"/>
  <c r="G139"/>
  <c r="I139" s="1"/>
  <c r="H147"/>
  <c r="AC162" s="1"/>
  <c r="G147"/>
  <c r="I147" s="1"/>
  <c r="G152"/>
  <c r="I152" s="1"/>
  <c r="H152"/>
  <c r="AH162" s="1"/>
  <c r="J140" i="101"/>
  <c r="H141"/>
  <c r="R161" i="97"/>
  <c r="F136"/>
  <c r="R154"/>
  <c r="S161"/>
  <c r="F137"/>
  <c r="AH161"/>
  <c r="F152"/>
  <c r="Z161"/>
  <c r="F144"/>
  <c r="F139"/>
  <c r="U161"/>
  <c r="F142" i="94"/>
  <c r="X161"/>
  <c r="W161"/>
  <c r="F141"/>
  <c r="F144"/>
  <c r="Z161"/>
  <c r="V161"/>
  <c r="F140"/>
  <c r="AA187" i="85"/>
  <c r="G139" i="93"/>
  <c r="I139" s="1"/>
  <c r="H139"/>
  <c r="U162" s="1"/>
  <c r="AH187" i="83"/>
  <c r="H172"/>
  <c r="G172"/>
  <c r="I172" s="1"/>
  <c r="D171" i="101"/>
  <c r="H172" s="1"/>
  <c r="J224"/>
  <c r="F153" i="96"/>
  <c r="AI161"/>
  <c r="F136"/>
  <c r="R154"/>
  <c r="R161"/>
  <c r="AC161"/>
  <c r="F147"/>
  <c r="F148"/>
  <c r="AD161"/>
  <c r="AB187" i="86"/>
  <c r="H166"/>
  <c r="G166"/>
  <c r="I166" s="1"/>
  <c r="I162" i="82"/>
  <c r="X187"/>
  <c r="L129" i="101"/>
  <c r="H109"/>
  <c r="H140" i="93"/>
  <c r="V162" s="1"/>
  <c r="G140"/>
  <c r="I140" s="1"/>
  <c r="G147"/>
  <c r="I147" s="1"/>
  <c r="H147"/>
  <c r="AC162" s="1"/>
  <c r="H138" i="91"/>
  <c r="T162" s="1"/>
  <c r="G138"/>
  <c r="I138" s="1"/>
  <c r="W187" i="82"/>
  <c r="I161"/>
  <c r="AA161" i="95"/>
  <c r="F145"/>
  <c r="F138"/>
  <c r="T161"/>
  <c r="AB161"/>
  <c r="F146"/>
  <c r="AC187" i="86"/>
  <c r="H167"/>
  <c r="G167"/>
  <c r="I167" s="1"/>
  <c r="H163" i="87"/>
  <c r="G163"/>
  <c r="AI187" i="84"/>
  <c r="G173"/>
  <c r="I173" s="1"/>
  <c r="H173"/>
  <c r="AK187" i="87"/>
  <c r="H175"/>
  <c r="G175"/>
  <c r="I175" s="1"/>
  <c r="I108" i="94"/>
  <c r="H145" i="93"/>
  <c r="AA162" s="1"/>
  <c r="G145"/>
  <c r="I145" s="1"/>
  <c r="AK187" i="83"/>
  <c r="G175"/>
  <c r="I175" s="1"/>
  <c r="H175"/>
  <c r="G143" i="91"/>
  <c r="I143" s="1"/>
  <c r="H143"/>
  <c r="Y162" s="1"/>
  <c r="AK187" i="86"/>
  <c r="H175"/>
  <c r="G175"/>
  <c r="I175" s="1"/>
  <c r="AG187"/>
  <c r="H171"/>
  <c r="G171"/>
  <c r="I171" s="1"/>
  <c r="G137" i="92"/>
  <c r="I137" s="1"/>
  <c r="H137"/>
  <c r="S162" s="1"/>
  <c r="AM187" i="85"/>
  <c r="AN187" i="83"/>
  <c r="H178"/>
  <c r="G178"/>
  <c r="I178" s="1"/>
  <c r="G146" i="91"/>
  <c r="I146" s="1"/>
  <c r="H146"/>
  <c r="AB162" s="1"/>
  <c r="G149"/>
  <c r="I149" s="1"/>
  <c r="H149"/>
  <c r="AE162" s="1"/>
  <c r="H151"/>
  <c r="AG162" s="1"/>
  <c r="G151"/>
  <c r="I151" s="1"/>
  <c r="AF187" i="86"/>
  <c r="H170"/>
  <c r="G170"/>
  <c r="I170" s="1"/>
  <c r="AI187" i="87"/>
  <c r="G173"/>
  <c r="I173" s="1"/>
  <c r="H173"/>
  <c r="AJ187"/>
  <c r="G174"/>
  <c r="I174" s="1"/>
  <c r="H174"/>
  <c r="G162" i="84"/>
  <c r="H162"/>
  <c r="G163" i="86"/>
  <c r="H163"/>
  <c r="G216" i="101"/>
  <c r="C137"/>
  <c r="G138" s="1"/>
  <c r="H150" i="92"/>
  <c r="AF162" s="1"/>
  <c r="G150"/>
  <c r="I150" s="1"/>
  <c r="F147" i="97"/>
  <c r="AC161"/>
  <c r="F151"/>
  <c r="AG161"/>
  <c r="AF161"/>
  <c r="F150"/>
  <c r="F138"/>
  <c r="T161"/>
  <c r="AE161"/>
  <c r="F149"/>
  <c r="Y161"/>
  <c r="F143"/>
  <c r="AA161"/>
  <c r="F145"/>
  <c r="AF161" i="94"/>
  <c r="F150"/>
  <c r="AC161"/>
  <c r="F147"/>
  <c r="F153"/>
  <c r="AI161"/>
  <c r="F152"/>
  <c r="AH161"/>
  <c r="AK187" i="85"/>
  <c r="G149" i="93"/>
  <c r="I149" s="1"/>
  <c r="H149"/>
  <c r="AE162" s="1"/>
  <c r="G143"/>
  <c r="I143" s="1"/>
  <c r="H143"/>
  <c r="Y162" s="1"/>
  <c r="AJ187" i="83"/>
  <c r="G174"/>
  <c r="I174" s="1"/>
  <c r="H174"/>
  <c r="H152" i="91"/>
  <c r="AH162" s="1"/>
  <c r="G152"/>
  <c r="I152" s="1"/>
  <c r="G141"/>
  <c r="I141" s="1"/>
  <c r="H141"/>
  <c r="W162" s="1"/>
  <c r="H148"/>
  <c r="AD162" s="1"/>
  <c r="G148"/>
  <c r="I148" s="1"/>
  <c r="K144" i="101"/>
  <c r="L144" s="1"/>
  <c r="AF161" i="96"/>
  <c r="F150"/>
  <c r="F141"/>
  <c r="W161"/>
  <c r="F152"/>
  <c r="AH161"/>
  <c r="F145"/>
  <c r="AA161"/>
  <c r="S161"/>
  <c r="F137"/>
  <c r="Y161"/>
  <c r="F143"/>
  <c r="X161"/>
  <c r="F142"/>
  <c r="AG161"/>
  <c r="F151"/>
  <c r="G162" i="86"/>
  <c r="H162"/>
  <c r="Z187"/>
  <c r="H164"/>
  <c r="G164"/>
  <c r="I164" s="1"/>
  <c r="AH187" i="87"/>
  <c r="G172"/>
  <c r="I172" s="1"/>
  <c r="H172"/>
  <c r="AK187" i="84"/>
  <c r="H175"/>
  <c r="G175"/>
  <c r="I175" s="1"/>
  <c r="K129" i="101"/>
  <c r="G109"/>
  <c r="AI187" i="85"/>
  <c r="AG187"/>
  <c r="G138" i="93"/>
  <c r="I138" s="1"/>
  <c r="H138"/>
  <c r="T162" s="1"/>
  <c r="H148"/>
  <c r="AD162" s="1"/>
  <c r="G148"/>
  <c r="I148" s="1"/>
  <c r="AE187" i="83"/>
  <c r="H169"/>
  <c r="G169"/>
  <c r="I169" s="1"/>
  <c r="AD161" i="95"/>
  <c r="F148"/>
  <c r="F139"/>
  <c r="U161"/>
  <c r="F149"/>
  <c r="AE161"/>
  <c r="AG161"/>
  <c r="F151"/>
  <c r="F141"/>
  <c r="W161"/>
  <c r="F143"/>
  <c r="Y161"/>
  <c r="F136"/>
  <c r="R161"/>
  <c r="R154"/>
  <c r="Z187" i="87"/>
  <c r="H164"/>
  <c r="G164"/>
  <c r="I164" s="1"/>
  <c r="AB187"/>
  <c r="H166"/>
  <c r="G166"/>
  <c r="I166" s="1"/>
  <c r="AG187" i="84"/>
  <c r="H171"/>
  <c r="G171"/>
  <c r="I171" s="1"/>
  <c r="AL187"/>
  <c r="H176"/>
  <c r="G176"/>
  <c r="I176" s="1"/>
  <c r="Y187" i="81"/>
  <c r="I163"/>
  <c r="AJ187" i="84"/>
  <c r="H174"/>
  <c r="G174"/>
  <c r="I174" s="1"/>
  <c r="AB187"/>
  <c r="H166"/>
  <c r="G166"/>
  <c r="I166" s="1"/>
  <c r="W187" i="79"/>
  <c r="I161"/>
  <c r="E234" i="101"/>
  <c r="I108" i="95"/>
  <c r="F181" i="85"/>
  <c r="K181" s="1"/>
  <c r="F132"/>
  <c r="H143" i="92"/>
  <c r="Y162" s="1"/>
  <c r="G143"/>
  <c r="I143" s="1"/>
  <c r="H153"/>
  <c r="AI162" s="1"/>
  <c r="G153"/>
  <c r="I153" s="1"/>
  <c r="H148"/>
  <c r="AD162" s="1"/>
  <c r="G148"/>
  <c r="I148" s="1"/>
  <c r="F181" i="86"/>
  <c r="K181" s="1"/>
  <c r="F132"/>
  <c r="H138" i="92"/>
  <c r="T162" s="1"/>
  <c r="G138"/>
  <c r="I138" s="1"/>
  <c r="G137" i="91"/>
  <c r="I137" s="1"/>
  <c r="H137"/>
  <c r="S162" s="1"/>
  <c r="AE187" i="87"/>
  <c r="H169"/>
  <c r="G169"/>
  <c r="I169" s="1"/>
  <c r="AG187"/>
  <c r="G171"/>
  <c r="I171" s="1"/>
  <c r="H171"/>
  <c r="Z187" i="84"/>
  <c r="G164"/>
  <c r="I164" s="1"/>
  <c r="H164"/>
  <c r="K166" i="101"/>
  <c r="L166" s="1"/>
  <c r="G145" i="92"/>
  <c r="I145" s="1"/>
  <c r="H145"/>
  <c r="AA162" s="1"/>
  <c r="I162" i="78"/>
  <c r="X187"/>
  <c r="AL187" i="85"/>
  <c r="AD187"/>
  <c r="Z187"/>
  <c r="I163" i="82"/>
  <c r="Y187"/>
  <c r="G141" i="93"/>
  <c r="I141" s="1"/>
  <c r="H141"/>
  <c r="W162" s="1"/>
  <c r="H137"/>
  <c r="S162" s="1"/>
  <c r="G137"/>
  <c r="I137" s="1"/>
  <c r="AI187" i="83"/>
  <c r="H173"/>
  <c r="G173"/>
  <c r="I173" s="1"/>
  <c r="H145" i="91"/>
  <c r="AA162" s="1"/>
  <c r="G145"/>
  <c r="I145" s="1"/>
  <c r="AM187" i="86"/>
  <c r="G177"/>
  <c r="I177" s="1"/>
  <c r="H177"/>
  <c r="G162" i="87"/>
  <c r="H162"/>
  <c r="AH187" i="84"/>
  <c r="H172"/>
  <c r="G172"/>
  <c r="I172" s="1"/>
  <c r="H161"/>
  <c r="G161"/>
  <c r="H140" i="92"/>
  <c r="V162" s="1"/>
  <c r="G140"/>
  <c r="I140" s="1"/>
  <c r="G144"/>
  <c r="I144" s="1"/>
  <c r="H144"/>
  <c r="Z162" s="1"/>
  <c r="F146" i="97"/>
  <c r="AB161"/>
  <c r="F141"/>
  <c r="W161"/>
  <c r="V161"/>
  <c r="F140"/>
  <c r="AD161"/>
  <c r="F148"/>
  <c r="I161" i="78"/>
  <c r="W187"/>
  <c r="F151" i="94"/>
  <c r="AG161"/>
  <c r="AB161"/>
  <c r="F146"/>
  <c r="F148"/>
  <c r="AD161"/>
  <c r="S161"/>
  <c r="F137"/>
  <c r="AE161"/>
  <c r="F149"/>
  <c r="Y161"/>
  <c r="F143"/>
  <c r="AH187" i="85"/>
  <c r="G142" i="93"/>
  <c r="I142" s="1"/>
  <c r="H142"/>
  <c r="X162" s="1"/>
  <c r="H150"/>
  <c r="AF162" s="1"/>
  <c r="G150"/>
  <c r="I150" s="1"/>
  <c r="I161" i="81"/>
  <c r="W187"/>
  <c r="AM187" i="83"/>
  <c r="G177"/>
  <c r="I177" s="1"/>
  <c r="H177"/>
  <c r="F139" i="96"/>
  <c r="U161"/>
  <c r="Z161"/>
  <c r="F144"/>
  <c r="V161"/>
  <c r="F140"/>
  <c r="AE161"/>
  <c r="F149"/>
  <c r="T161"/>
  <c r="F138"/>
  <c r="F146"/>
  <c r="AB161"/>
  <c r="F132" i="83"/>
  <c r="F181"/>
  <c r="K181" s="1"/>
  <c r="G149" i="92"/>
  <c r="I149" s="1"/>
  <c r="H149"/>
  <c r="AE162" s="1"/>
  <c r="AB187" i="83"/>
  <c r="H166"/>
  <c r="G166"/>
  <c r="I166" s="1"/>
  <c r="G162"/>
  <c r="H162"/>
  <c r="G144" i="91"/>
  <c r="I144" s="1"/>
  <c r="H144"/>
  <c r="Z162" s="1"/>
  <c r="H136"/>
  <c r="R162" s="1"/>
  <c r="G136"/>
  <c r="I136" s="1"/>
  <c r="H153"/>
  <c r="AI162" s="1"/>
  <c r="G153"/>
  <c r="I153" s="1"/>
  <c r="F142" i="95"/>
  <c r="X161"/>
  <c r="AF161"/>
  <c r="F150"/>
  <c r="F144"/>
  <c r="Z161"/>
  <c r="S161"/>
  <c r="F137"/>
  <c r="AC187" i="84"/>
  <c r="H167"/>
  <c r="G167"/>
  <c r="I167" s="1"/>
  <c r="AD187"/>
  <c r="H168"/>
  <c r="G168"/>
  <c r="I168" s="1"/>
  <c r="G152" i="90" l="1"/>
  <c r="I152" s="1"/>
  <c r="H152"/>
  <c r="AH162" s="1"/>
  <c r="H144"/>
  <c r="Z162" s="1"/>
  <c r="G144"/>
  <c r="I144" s="1"/>
  <c r="G152" i="89"/>
  <c r="I152" s="1"/>
  <c r="H152"/>
  <c r="AH162" s="1"/>
  <c r="H137" i="90"/>
  <c r="S162" s="1"/>
  <c r="G137"/>
  <c r="I137" s="1"/>
  <c r="G141" i="89"/>
  <c r="I141" s="1"/>
  <c r="H141"/>
  <c r="W162" s="1"/>
  <c r="W187" i="80"/>
  <c r="I161"/>
  <c r="G141" i="90"/>
  <c r="I141" s="1"/>
  <c r="H141"/>
  <c r="W162" s="1"/>
  <c r="H145" i="89"/>
  <c r="AA162" s="1"/>
  <c r="G145"/>
  <c r="I145" s="1"/>
  <c r="G143" i="90"/>
  <c r="I143" s="1"/>
  <c r="H143"/>
  <c r="Y162" s="1"/>
  <c r="G144" i="89"/>
  <c r="I144" s="1"/>
  <c r="H144"/>
  <c r="Z162" s="1"/>
  <c r="H140" i="90"/>
  <c r="V162" s="1"/>
  <c r="G140"/>
  <c r="I140" s="1"/>
  <c r="G146" i="89"/>
  <c r="I146" s="1"/>
  <c r="H146"/>
  <c r="AB162" s="1"/>
  <c r="D136" i="51"/>
  <c r="E135"/>
  <c r="D136" i="54"/>
  <c r="E135"/>
  <c r="H145" i="90"/>
  <c r="AA162" s="1"/>
  <c r="G145"/>
  <c r="I145" s="1"/>
  <c r="D136" i="60"/>
  <c r="E135"/>
  <c r="H140" i="89"/>
  <c r="V162" s="1"/>
  <c r="G140"/>
  <c r="I140" s="1"/>
  <c r="H136"/>
  <c r="R162" s="1"/>
  <c r="G136"/>
  <c r="I136" s="1"/>
  <c r="G149"/>
  <c r="I149" s="1"/>
  <c r="H149"/>
  <c r="AE162" s="1"/>
  <c r="H139" i="90"/>
  <c r="U162" s="1"/>
  <c r="G139"/>
  <c r="I139" s="1"/>
  <c r="H142"/>
  <c r="X162" s="1"/>
  <c r="G142"/>
  <c r="I142" s="1"/>
  <c r="H151" i="89"/>
  <c r="AG162" s="1"/>
  <c r="G151"/>
  <c r="I151" s="1"/>
  <c r="I126" i="81"/>
  <c r="B110"/>
  <c r="I98"/>
  <c r="I97" s="1"/>
  <c r="G102" s="1"/>
  <c r="B117"/>
  <c r="I100"/>
  <c r="I109"/>
  <c r="B113"/>
  <c r="B112"/>
  <c r="I124"/>
  <c r="B111"/>
  <c r="B120"/>
  <c r="I118"/>
  <c r="B125"/>
  <c r="B115"/>
  <c r="I112"/>
  <c r="B114"/>
  <c r="I108"/>
  <c r="I103"/>
  <c r="I101"/>
  <c r="I116"/>
  <c r="I105"/>
  <c r="I122"/>
  <c r="I125"/>
  <c r="B124"/>
  <c r="I111"/>
  <c r="I102"/>
  <c r="I107"/>
  <c r="I104"/>
  <c r="B122"/>
  <c r="I119"/>
  <c r="B119"/>
  <c r="I113"/>
  <c r="B123"/>
  <c r="I99"/>
  <c r="B126"/>
  <c r="I121"/>
  <c r="I123"/>
  <c r="I115"/>
  <c r="B109"/>
  <c r="B118"/>
  <c r="B121"/>
  <c r="I120"/>
  <c r="I117"/>
  <c r="I114"/>
  <c r="B116"/>
  <c r="I106"/>
  <c r="I110"/>
  <c r="G142" i="89"/>
  <c r="I142" s="1"/>
  <c r="H142"/>
  <c r="X162" s="1"/>
  <c r="H137"/>
  <c r="S162" s="1"/>
  <c r="G137"/>
  <c r="I137" s="1"/>
  <c r="G148" i="90"/>
  <c r="I148" s="1"/>
  <c r="H148"/>
  <c r="AD162" s="1"/>
  <c r="G153" i="89"/>
  <c r="I153" s="1"/>
  <c r="H153"/>
  <c r="AI162" s="1"/>
  <c r="G148"/>
  <c r="I148" s="1"/>
  <c r="H148"/>
  <c r="AD162" s="1"/>
  <c r="H146" i="90"/>
  <c r="AB162" s="1"/>
  <c r="G146"/>
  <c r="I146" s="1"/>
  <c r="G153"/>
  <c r="I153" s="1"/>
  <c r="H153"/>
  <c r="AI162" s="1"/>
  <c r="H139" i="89"/>
  <c r="U162" s="1"/>
  <c r="G139"/>
  <c r="I139" s="1"/>
  <c r="G151" i="90"/>
  <c r="I151" s="1"/>
  <c r="H151"/>
  <c r="AG162" s="1"/>
  <c r="G150"/>
  <c r="I150" s="1"/>
  <c r="H150"/>
  <c r="AF162" s="1"/>
  <c r="G138" i="89"/>
  <c r="I138" s="1"/>
  <c r="H138"/>
  <c r="T162" s="1"/>
  <c r="G143"/>
  <c r="I143" s="1"/>
  <c r="H143"/>
  <c r="Y162" s="1"/>
  <c r="H136" i="90"/>
  <c r="R162" s="1"/>
  <c r="G136"/>
  <c r="I136" s="1"/>
  <c r="G147"/>
  <c r="I147" s="1"/>
  <c r="H147"/>
  <c r="AC162" s="1"/>
  <c r="I163" i="80"/>
  <c r="Y187"/>
  <c r="G149" i="90"/>
  <c r="I149" s="1"/>
  <c r="H149"/>
  <c r="AE162" s="1"/>
  <c r="G150" i="89"/>
  <c r="I150" s="1"/>
  <c r="H150"/>
  <c r="AF162" s="1"/>
  <c r="G138" i="90"/>
  <c r="I138" s="1"/>
  <c r="H138"/>
  <c r="T162" s="1"/>
  <c r="H147" i="89"/>
  <c r="AC162" s="1"/>
  <c r="G147"/>
  <c r="I147" s="1"/>
  <c r="H154" i="119"/>
  <c r="L207" s="1"/>
  <c r="K219" i="101"/>
  <c r="C192"/>
  <c r="G193" s="1"/>
  <c r="M220" s="1"/>
  <c r="D145" i="36"/>
  <c r="E144"/>
  <c r="H114" i="119"/>
  <c r="J113"/>
  <c r="K113" s="1"/>
  <c r="L113" s="1"/>
  <c r="D109" i="78"/>
  <c r="D110" s="1"/>
  <c r="D111" s="1"/>
  <c r="D112" s="1"/>
  <c r="D113" s="1"/>
  <c r="D114" s="1"/>
  <c r="D115" s="1"/>
  <c r="D116" s="1"/>
  <c r="D117" s="1"/>
  <c r="D118" s="1"/>
  <c r="D119" s="1"/>
  <c r="D120" s="1"/>
  <c r="D121" s="1"/>
  <c r="D122" s="1"/>
  <c r="D123" s="1"/>
  <c r="D124" s="1"/>
  <c r="D125" s="1"/>
  <c r="D126" s="1"/>
  <c r="E108"/>
  <c r="E141" i="57"/>
  <c r="D142"/>
  <c r="K197" i="119"/>
  <c r="C170"/>
  <c r="G171" s="1"/>
  <c r="M198" s="1"/>
  <c r="C178"/>
  <c r="G179" s="1"/>
  <c r="M206" s="1"/>
  <c r="K205"/>
  <c r="G100" i="87"/>
  <c r="G103" s="1"/>
  <c r="D176" i="119"/>
  <c r="H177" s="1"/>
  <c r="N204" s="1"/>
  <c r="L203"/>
  <c r="C83"/>
  <c r="G77"/>
  <c r="E188"/>
  <c r="K207"/>
  <c r="C180"/>
  <c r="G180" s="1"/>
  <c r="M207" s="1"/>
  <c r="D114"/>
  <c r="H193"/>
  <c r="H194"/>
  <c r="D115"/>
  <c r="D180"/>
  <c r="H214" i="63"/>
  <c r="AN231" s="1"/>
  <c r="G214"/>
  <c r="I214" s="1"/>
  <c r="D142" i="45"/>
  <c r="E141"/>
  <c r="E143" i="42"/>
  <c r="D144"/>
  <c r="C111" i="119"/>
  <c r="G112" s="1"/>
  <c r="G190"/>
  <c r="B35" i="63"/>
  <c r="I35"/>
  <c r="C36"/>
  <c r="E136" i="48"/>
  <c r="D137"/>
  <c r="F188" i="119"/>
  <c r="D83"/>
  <c r="J138" i="101"/>
  <c r="H139"/>
  <c r="H113" i="119"/>
  <c r="J112"/>
  <c r="K87"/>
  <c r="L87" s="1"/>
  <c r="L202"/>
  <c r="D175"/>
  <c r="H176" s="1"/>
  <c r="N203" s="1"/>
  <c r="L86"/>
  <c r="D147"/>
  <c r="H148" s="1"/>
  <c r="J200"/>
  <c r="D77"/>
  <c r="C78" s="1"/>
  <c r="H58"/>
  <c r="H198"/>
  <c r="D119"/>
  <c r="H120" s="1"/>
  <c r="C130" i="101"/>
  <c r="D136" i="63"/>
  <c r="E135"/>
  <c r="D117" i="119"/>
  <c r="H196"/>
  <c r="C166"/>
  <c r="G167" s="1"/>
  <c r="M194" s="1"/>
  <c r="K193"/>
  <c r="D177"/>
  <c r="H178" s="1"/>
  <c r="N205" s="1"/>
  <c r="L204"/>
  <c r="D179"/>
  <c r="L206"/>
  <c r="E139" i="39"/>
  <c r="D140"/>
  <c r="H170" i="101"/>
  <c r="J169"/>
  <c r="H197" i="119"/>
  <c r="D118"/>
  <c r="H195"/>
  <c r="D116"/>
  <c r="AO226" i="63"/>
  <c r="B215"/>
  <c r="C209" i="119"/>
  <c r="E23" i="100"/>
  <c r="E25" s="1"/>
  <c r="E27" s="1"/>
  <c r="K92" i="119"/>
  <c r="L92" s="1"/>
  <c r="J103"/>
  <c r="G100" i="85"/>
  <c r="G103" s="1"/>
  <c r="G146" i="97"/>
  <c r="I146" s="1"/>
  <c r="H146"/>
  <c r="AB162" s="1"/>
  <c r="X187" i="83"/>
  <c r="I162"/>
  <c r="G149" i="96"/>
  <c r="I149" s="1"/>
  <c r="H149"/>
  <c r="AE162" s="1"/>
  <c r="H144"/>
  <c r="Z162" s="1"/>
  <c r="G144"/>
  <c r="I144" s="1"/>
  <c r="H143" i="94"/>
  <c r="Y162" s="1"/>
  <c r="G143"/>
  <c r="I143" s="1"/>
  <c r="H137"/>
  <c r="S162" s="1"/>
  <c r="G137"/>
  <c r="I137" s="1"/>
  <c r="G146"/>
  <c r="I146" s="1"/>
  <c r="H146"/>
  <c r="AB162" s="1"/>
  <c r="H140" i="97"/>
  <c r="V162" s="1"/>
  <c r="G140"/>
  <c r="I140" s="1"/>
  <c r="W187" i="84"/>
  <c r="I161"/>
  <c r="F24" i="100"/>
  <c r="E235" i="101"/>
  <c r="G151" i="95"/>
  <c r="I151" s="1"/>
  <c r="H151"/>
  <c r="AG162" s="1"/>
  <c r="H145" i="96"/>
  <c r="AA162" s="1"/>
  <c r="G145"/>
  <c r="I145" s="1"/>
  <c r="G141"/>
  <c r="I141" s="1"/>
  <c r="H141"/>
  <c r="W162" s="1"/>
  <c r="G153" i="94"/>
  <c r="I153" s="1"/>
  <c r="H153"/>
  <c r="AI162" s="1"/>
  <c r="H138" i="97"/>
  <c r="T162" s="1"/>
  <c r="G138"/>
  <c r="I138" s="1"/>
  <c r="G151"/>
  <c r="I151" s="1"/>
  <c r="H151"/>
  <c r="AG162" s="1"/>
  <c r="Y187" i="86"/>
  <c r="I163"/>
  <c r="F156" i="94"/>
  <c r="K156" s="1"/>
  <c r="F112"/>
  <c r="H153" i="96"/>
  <c r="AI162" s="1"/>
  <c r="G153"/>
  <c r="I153" s="1"/>
  <c r="G139" i="97"/>
  <c r="I139" s="1"/>
  <c r="H139"/>
  <c r="U162" s="1"/>
  <c r="H136"/>
  <c r="R162" s="1"/>
  <c r="G136"/>
  <c r="I136" s="1"/>
  <c r="H145" i="94"/>
  <c r="AA162" s="1"/>
  <c r="G145"/>
  <c r="I145" s="1"/>
  <c r="J217" i="101"/>
  <c r="D164"/>
  <c r="J193"/>
  <c r="H194"/>
  <c r="N221" s="1"/>
  <c r="J221"/>
  <c r="D168"/>
  <c r="G146" i="96"/>
  <c r="I146" s="1"/>
  <c r="H146"/>
  <c r="AB162" s="1"/>
  <c r="H137" i="95"/>
  <c r="S162" s="1"/>
  <c r="G137"/>
  <c r="I137" s="1"/>
  <c r="G150"/>
  <c r="I150" s="1"/>
  <c r="H150"/>
  <c r="AF162" s="1"/>
  <c r="G139" i="96"/>
  <c r="I139" s="1"/>
  <c r="H139"/>
  <c r="U162" s="1"/>
  <c r="G151" i="94"/>
  <c r="I151" s="1"/>
  <c r="H151"/>
  <c r="AG162" s="1"/>
  <c r="G141" i="97"/>
  <c r="I141" s="1"/>
  <c r="H141"/>
  <c r="W162" s="1"/>
  <c r="F156" i="95"/>
  <c r="K156" s="1"/>
  <c r="F112"/>
  <c r="H136"/>
  <c r="R162" s="1"/>
  <c r="G136"/>
  <c r="I136" s="1"/>
  <c r="G141"/>
  <c r="I141" s="1"/>
  <c r="H141"/>
  <c r="W162" s="1"/>
  <c r="G149"/>
  <c r="I149" s="1"/>
  <c r="H149"/>
  <c r="AE162" s="1"/>
  <c r="H151" i="96"/>
  <c r="AG162" s="1"/>
  <c r="G151"/>
  <c r="I151" s="1"/>
  <c r="G143"/>
  <c r="I143" s="1"/>
  <c r="H143"/>
  <c r="Y162" s="1"/>
  <c r="H150" i="94"/>
  <c r="AF162" s="1"/>
  <c r="G150"/>
  <c r="I150" s="1"/>
  <c r="H143" i="97"/>
  <c r="Y162" s="1"/>
  <c r="G143"/>
  <c r="I143" s="1"/>
  <c r="H146" i="95"/>
  <c r="AB162" s="1"/>
  <c r="G146"/>
  <c r="I146" s="1"/>
  <c r="H145"/>
  <c r="AA162" s="1"/>
  <c r="G145"/>
  <c r="I145" s="1"/>
  <c r="G140" i="94"/>
  <c r="I140" s="1"/>
  <c r="H140"/>
  <c r="V162" s="1"/>
  <c r="H141"/>
  <c r="W162" s="1"/>
  <c r="G141"/>
  <c r="I141" s="1"/>
  <c r="G152" i="97"/>
  <c r="I152" s="1"/>
  <c r="H152"/>
  <c r="AH162" s="1"/>
  <c r="K140" i="101"/>
  <c r="J155"/>
  <c r="H171"/>
  <c r="J170"/>
  <c r="W187" i="86"/>
  <c r="I161"/>
  <c r="F156" i="97"/>
  <c r="K156" s="1"/>
  <c r="F112"/>
  <c r="Y187" i="84"/>
  <c r="I163"/>
  <c r="D136" i="101"/>
  <c r="H137" s="1"/>
  <c r="H215"/>
  <c r="H138" i="94"/>
  <c r="T162" s="1"/>
  <c r="G138"/>
  <c r="I138" s="1"/>
  <c r="H142" i="97"/>
  <c r="X162" s="1"/>
  <c r="G142"/>
  <c r="I142" s="1"/>
  <c r="I163" i="83"/>
  <c r="Y187"/>
  <c r="H148" i="94"/>
  <c r="AD162" s="1"/>
  <c r="G148"/>
  <c r="I148" s="1"/>
  <c r="H144" i="95"/>
  <c r="Z162" s="1"/>
  <c r="G144"/>
  <c r="I144" s="1"/>
  <c r="H142"/>
  <c r="X162" s="1"/>
  <c r="G142"/>
  <c r="I142" s="1"/>
  <c r="G138" i="96"/>
  <c r="I138" s="1"/>
  <c r="H138"/>
  <c r="T162" s="1"/>
  <c r="H140"/>
  <c r="V162" s="1"/>
  <c r="G140"/>
  <c r="I140" s="1"/>
  <c r="G149" i="94"/>
  <c r="I149" s="1"/>
  <c r="H149"/>
  <c r="AE162" s="1"/>
  <c r="G148" i="97"/>
  <c r="I148" s="1"/>
  <c r="H148"/>
  <c r="AD162" s="1"/>
  <c r="X187" i="87"/>
  <c r="I162"/>
  <c r="G148" i="95"/>
  <c r="I148" s="1"/>
  <c r="H148"/>
  <c r="AD162" s="1"/>
  <c r="G129" i="101"/>
  <c r="C135"/>
  <c r="G214"/>
  <c r="I162" i="86"/>
  <c r="X187"/>
  <c r="G152" i="96"/>
  <c r="I152" s="1"/>
  <c r="H152"/>
  <c r="AH162" s="1"/>
  <c r="G152" i="94"/>
  <c r="I152" s="1"/>
  <c r="H152"/>
  <c r="AH162" s="1"/>
  <c r="G147" i="97"/>
  <c r="I147" s="1"/>
  <c r="H147"/>
  <c r="AC162" s="1"/>
  <c r="X187" i="84"/>
  <c r="I162"/>
  <c r="I163" i="87"/>
  <c r="Y187"/>
  <c r="H138" i="95"/>
  <c r="T162" s="1"/>
  <c r="G138"/>
  <c r="I138" s="1"/>
  <c r="H147" i="96"/>
  <c r="AC162" s="1"/>
  <c r="G147"/>
  <c r="I147" s="1"/>
  <c r="G136"/>
  <c r="I136" s="1"/>
  <c r="H136"/>
  <c r="R162" s="1"/>
  <c r="D198" i="101"/>
  <c r="H199" s="1"/>
  <c r="N226" s="1"/>
  <c r="L225"/>
  <c r="G144" i="94"/>
  <c r="I144" s="1"/>
  <c r="H144"/>
  <c r="Z162" s="1"/>
  <c r="H142"/>
  <c r="X162" s="1"/>
  <c r="G142"/>
  <c r="I142" s="1"/>
  <c r="D167" i="101"/>
  <c r="J220"/>
  <c r="F156" i="96"/>
  <c r="K156" s="1"/>
  <c r="F112"/>
  <c r="G147" i="95"/>
  <c r="I147" s="1"/>
  <c r="H147"/>
  <c r="AC162" s="1"/>
  <c r="G140"/>
  <c r="I140" s="1"/>
  <c r="H140"/>
  <c r="V162" s="1"/>
  <c r="W187" i="87"/>
  <c r="I161"/>
  <c r="C136" i="101"/>
  <c r="G137" s="1"/>
  <c r="G215"/>
  <c r="H143" i="95"/>
  <c r="Y162" s="1"/>
  <c r="G143"/>
  <c r="I143" s="1"/>
  <c r="G139"/>
  <c r="I139" s="1"/>
  <c r="H139"/>
  <c r="U162" s="1"/>
  <c r="G142" i="96"/>
  <c r="I142" s="1"/>
  <c r="H142"/>
  <c r="X162" s="1"/>
  <c r="G137"/>
  <c r="I137" s="1"/>
  <c r="H137"/>
  <c r="S162" s="1"/>
  <c r="H150"/>
  <c r="AF162" s="1"/>
  <c r="G150"/>
  <c r="I150" s="1"/>
  <c r="H147" i="94"/>
  <c r="AC162" s="1"/>
  <c r="G147"/>
  <c r="I147" s="1"/>
  <c r="H145" i="97"/>
  <c r="AA162" s="1"/>
  <c r="G145"/>
  <c r="I145" s="1"/>
  <c r="H149"/>
  <c r="AE162" s="1"/>
  <c r="G149"/>
  <c r="I149" s="1"/>
  <c r="H150"/>
  <c r="AF162" s="1"/>
  <c r="G150"/>
  <c r="I150" s="1"/>
  <c r="I217" i="101"/>
  <c r="C164"/>
  <c r="G165" s="1"/>
  <c r="D135"/>
  <c r="H214"/>
  <c r="H236" s="1"/>
  <c r="H129"/>
  <c r="G148" i="96"/>
  <c r="I148" s="1"/>
  <c r="H148"/>
  <c r="AD162" s="1"/>
  <c r="G144" i="97"/>
  <c r="I144" s="1"/>
  <c r="H144"/>
  <c r="Z162" s="1"/>
  <c r="H137"/>
  <c r="S162" s="1"/>
  <c r="G137"/>
  <c r="I137" s="1"/>
  <c r="I161" i="83"/>
  <c r="W187"/>
  <c r="G153" i="95"/>
  <c r="I153" s="1"/>
  <c r="H153"/>
  <c r="AI162" s="1"/>
  <c r="G152"/>
  <c r="I152" s="1"/>
  <c r="H152"/>
  <c r="AH162" s="1"/>
  <c r="H139" i="94"/>
  <c r="U162" s="1"/>
  <c r="G139"/>
  <c r="I139" s="1"/>
  <c r="H136"/>
  <c r="R162" s="1"/>
  <c r="G136"/>
  <c r="I136" s="1"/>
  <c r="G153" i="97"/>
  <c r="I153" s="1"/>
  <c r="H153"/>
  <c r="AI162" s="1"/>
  <c r="K141" i="101"/>
  <c r="L141" s="1"/>
  <c r="D137" i="51" l="1"/>
  <c r="E136"/>
  <c r="G236" i="101"/>
  <c r="E136" i="60"/>
  <c r="D137"/>
  <c r="D137" i="54"/>
  <c r="E136"/>
  <c r="H180" i="119"/>
  <c r="N207" s="1"/>
  <c r="F3" i="120"/>
  <c r="D23" i="100"/>
  <c r="D27" s="1"/>
  <c r="F3" i="121" s="1"/>
  <c r="G83" i="119"/>
  <c r="H215" i="63"/>
  <c r="AO231" s="1"/>
  <c r="G215"/>
  <c r="I215" s="1"/>
  <c r="H119" i="119"/>
  <c r="J118"/>
  <c r="D141" i="39"/>
  <c r="E140"/>
  <c r="D84" i="119"/>
  <c r="H85" s="1"/>
  <c r="F189"/>
  <c r="E208" s="1"/>
  <c r="L103"/>
  <c r="H83"/>
  <c r="K138" i="101"/>
  <c r="L138" s="1"/>
  <c r="E137" i="48"/>
  <c r="D138"/>
  <c r="AP226" i="63"/>
  <c r="B216"/>
  <c r="H115" i="119"/>
  <c r="J114"/>
  <c r="J193"/>
  <c r="D140"/>
  <c r="D196" i="101"/>
  <c r="L223"/>
  <c r="D137" i="63"/>
  <c r="E136"/>
  <c r="L201" i="119"/>
  <c r="D174"/>
  <c r="H175" s="1"/>
  <c r="N202" s="1"/>
  <c r="C109"/>
  <c r="G188"/>
  <c r="J218" i="101"/>
  <c r="D165"/>
  <c r="D145" i="42"/>
  <c r="E144"/>
  <c r="D143" i="57"/>
  <c r="E142"/>
  <c r="I122" i="85"/>
  <c r="I109"/>
  <c r="B121"/>
  <c r="I114"/>
  <c r="I103"/>
  <c r="B110"/>
  <c r="B119"/>
  <c r="I118"/>
  <c r="I120"/>
  <c r="I104"/>
  <c r="B114"/>
  <c r="B126"/>
  <c r="B123"/>
  <c r="I100"/>
  <c r="I119"/>
  <c r="I123"/>
  <c r="I126"/>
  <c r="B117"/>
  <c r="B122"/>
  <c r="I101"/>
  <c r="I125"/>
  <c r="I116"/>
  <c r="I112"/>
  <c r="I105"/>
  <c r="B109"/>
  <c r="I107"/>
  <c r="I108"/>
  <c r="I113"/>
  <c r="B118"/>
  <c r="I124"/>
  <c r="I99"/>
  <c r="I115"/>
  <c r="I121"/>
  <c r="I111"/>
  <c r="B124"/>
  <c r="I98"/>
  <c r="B125"/>
  <c r="I102"/>
  <c r="B111"/>
  <c r="B113"/>
  <c r="I110"/>
  <c r="B115"/>
  <c r="B120"/>
  <c r="I106"/>
  <c r="I117"/>
  <c r="B112"/>
  <c r="B116"/>
  <c r="J116" i="119"/>
  <c r="K116" s="1"/>
  <c r="L116" s="1"/>
  <c r="H117"/>
  <c r="K169" i="101"/>
  <c r="L169" s="1"/>
  <c r="D146" i="119"/>
  <c r="H147" s="1"/>
  <c r="J199"/>
  <c r="D139"/>
  <c r="J192"/>
  <c r="H84"/>
  <c r="C37" i="63"/>
  <c r="I36"/>
  <c r="B36"/>
  <c r="I191" i="119"/>
  <c r="C138"/>
  <c r="G139" s="1"/>
  <c r="D143" i="45"/>
  <c r="E142"/>
  <c r="B111" i="87"/>
  <c r="B119"/>
  <c r="B109"/>
  <c r="B115"/>
  <c r="I103"/>
  <c r="I126"/>
  <c r="I111"/>
  <c r="I115"/>
  <c r="I119"/>
  <c r="I120"/>
  <c r="I114"/>
  <c r="I99"/>
  <c r="B113"/>
  <c r="B116"/>
  <c r="B126"/>
  <c r="B122"/>
  <c r="B125"/>
  <c r="I124"/>
  <c r="I101"/>
  <c r="I108"/>
  <c r="I122"/>
  <c r="I100"/>
  <c r="I112"/>
  <c r="I109"/>
  <c r="B120"/>
  <c r="I105"/>
  <c r="I116"/>
  <c r="I104"/>
  <c r="B123"/>
  <c r="B118"/>
  <c r="B114"/>
  <c r="B110"/>
  <c r="B112"/>
  <c r="I98"/>
  <c r="I97" s="1"/>
  <c r="G102" s="1"/>
  <c r="I106"/>
  <c r="I121"/>
  <c r="I117"/>
  <c r="I123"/>
  <c r="I110"/>
  <c r="I107"/>
  <c r="B124"/>
  <c r="B117"/>
  <c r="B121"/>
  <c r="I102"/>
  <c r="I118"/>
  <c r="I125"/>
  <c r="I113"/>
  <c r="D146" i="36"/>
  <c r="D147" s="1"/>
  <c r="D148" s="1"/>
  <c r="D149" s="1"/>
  <c r="D150" s="1"/>
  <c r="D151" s="1"/>
  <c r="D152" s="1"/>
  <c r="D153" s="1"/>
  <c r="D154" s="1"/>
  <c r="D155" s="1"/>
  <c r="D156" s="1"/>
  <c r="D157" s="1"/>
  <c r="D158" s="1"/>
  <c r="D159" s="1"/>
  <c r="D160" s="1"/>
  <c r="D161" s="1"/>
  <c r="D162" s="1"/>
  <c r="E145"/>
  <c r="K103" i="119"/>
  <c r="J117"/>
  <c r="K117" s="1"/>
  <c r="L117" s="1"/>
  <c r="H118"/>
  <c r="K112"/>
  <c r="L112" s="1"/>
  <c r="H116"/>
  <c r="J115"/>
  <c r="G84"/>
  <c r="C103"/>
  <c r="G100" i="78"/>
  <c r="G103" s="1"/>
  <c r="G99"/>
  <c r="G125" i="36"/>
  <c r="G126"/>
  <c r="G129" s="1"/>
  <c r="H77" i="119"/>
  <c r="G78" s="1"/>
  <c r="C191" i="101"/>
  <c r="G192" s="1"/>
  <c r="M219" s="1"/>
  <c r="K218"/>
  <c r="C155"/>
  <c r="G136"/>
  <c r="H136"/>
  <c r="D155"/>
  <c r="G234"/>
  <c r="J167"/>
  <c r="H168"/>
  <c r="D197"/>
  <c r="H198" s="1"/>
  <c r="N225" s="1"/>
  <c r="L224"/>
  <c r="J168"/>
  <c r="H169"/>
  <c r="H165"/>
  <c r="J164"/>
  <c r="I216"/>
  <c r="C163"/>
  <c r="G164" s="1"/>
  <c r="K170"/>
  <c r="L170" s="1"/>
  <c r="K155"/>
  <c r="G135"/>
  <c r="K193"/>
  <c r="L193" s="1"/>
  <c r="G130"/>
  <c r="D163"/>
  <c r="H164" s="1"/>
  <c r="J216"/>
  <c r="L140"/>
  <c r="E137" i="51" l="1"/>
  <c r="D138"/>
  <c r="E137" i="60"/>
  <c r="D138"/>
  <c r="E137" i="54"/>
  <c r="D138"/>
  <c r="D103" i="119"/>
  <c r="C104" s="1"/>
  <c r="F254" i="120"/>
  <c r="F304"/>
  <c r="F361"/>
  <c r="F456"/>
  <c r="F64"/>
  <c r="F227"/>
  <c r="F186"/>
  <c r="F295"/>
  <c r="F458"/>
  <c r="F297"/>
  <c r="F185"/>
  <c r="F126"/>
  <c r="F373"/>
  <c r="F242"/>
  <c r="F377"/>
  <c r="F121"/>
  <c r="F175"/>
  <c r="F284"/>
  <c r="F142"/>
  <c r="F338"/>
  <c r="F382"/>
  <c r="F155"/>
  <c r="F431"/>
  <c r="F44"/>
  <c r="F31"/>
  <c r="F150"/>
  <c r="F490"/>
  <c r="F14"/>
  <c r="F174"/>
  <c r="F13"/>
  <c r="F380"/>
  <c r="F489"/>
  <c r="F348"/>
  <c r="F445"/>
  <c r="F418"/>
  <c r="F130"/>
  <c r="F83"/>
  <c r="F192"/>
  <c r="F442"/>
  <c r="F276"/>
  <c r="F57"/>
  <c r="F420"/>
  <c r="F278"/>
  <c r="F176"/>
  <c r="F128"/>
  <c r="F96"/>
  <c r="F159"/>
  <c r="F166"/>
  <c r="F474"/>
  <c r="F320"/>
  <c r="F8"/>
  <c r="F164"/>
  <c r="F329"/>
  <c r="F264"/>
  <c r="F50"/>
  <c r="F20"/>
  <c r="F86"/>
  <c r="F387"/>
  <c r="F370"/>
  <c r="F213"/>
  <c r="F157"/>
  <c r="F75"/>
  <c r="F200"/>
  <c r="F330"/>
  <c r="F300"/>
  <c r="F6"/>
  <c r="F70"/>
  <c r="F22"/>
  <c r="F170"/>
  <c r="F51"/>
  <c r="F323"/>
  <c r="F327"/>
  <c r="F366"/>
  <c r="F454"/>
  <c r="F10"/>
  <c r="F310"/>
  <c r="F224"/>
  <c r="F168"/>
  <c r="F76"/>
  <c r="F194"/>
  <c r="F97"/>
  <c r="F193"/>
  <c r="F55"/>
  <c r="F23"/>
  <c r="F132"/>
  <c r="F228"/>
  <c r="F84"/>
  <c r="F275"/>
  <c r="F40"/>
  <c r="F26"/>
  <c r="F383"/>
  <c r="F62"/>
  <c r="F485"/>
  <c r="F245"/>
  <c r="F363"/>
  <c r="F356"/>
  <c r="F16"/>
  <c r="F156"/>
  <c r="F158"/>
  <c r="F53"/>
  <c r="F481"/>
  <c r="F162"/>
  <c r="F471"/>
  <c r="F331"/>
  <c r="F29"/>
  <c r="F49"/>
  <c r="F427"/>
  <c r="F144"/>
  <c r="F465"/>
  <c r="F350"/>
  <c r="F104"/>
  <c r="F187"/>
  <c r="F85"/>
  <c r="F90"/>
  <c r="F326"/>
  <c r="F134"/>
  <c r="F358"/>
  <c r="F403"/>
  <c r="F346"/>
  <c r="F183"/>
  <c r="F238"/>
  <c r="F99"/>
  <c r="F178"/>
  <c r="F163"/>
  <c r="F397"/>
  <c r="F182"/>
  <c r="F80"/>
  <c r="F122"/>
  <c r="F165"/>
  <c r="F66"/>
  <c r="F215"/>
  <c r="F79"/>
  <c r="F407"/>
  <c r="F340"/>
  <c r="F117"/>
  <c r="F61"/>
  <c r="F161"/>
  <c r="F394"/>
  <c r="F11"/>
  <c r="F484"/>
  <c r="F351"/>
  <c r="F336"/>
  <c r="F59"/>
  <c r="F291"/>
  <c r="F214"/>
  <c r="F285"/>
  <c r="F408"/>
  <c r="F58"/>
  <c r="F480"/>
  <c r="F469"/>
  <c r="F412"/>
  <c r="F111"/>
  <c r="F103"/>
  <c r="F379"/>
  <c r="F405"/>
  <c r="F252"/>
  <c r="F179"/>
  <c r="F365"/>
  <c r="F63"/>
  <c r="F334"/>
  <c r="F250"/>
  <c r="F12"/>
  <c r="F400"/>
  <c r="F7"/>
  <c r="F71"/>
  <c r="F272"/>
  <c r="F60"/>
  <c r="F308"/>
  <c r="F135"/>
  <c r="F328"/>
  <c r="F225"/>
  <c r="F17"/>
  <c r="F357"/>
  <c r="F33"/>
  <c r="F478"/>
  <c r="F434"/>
  <c r="F289"/>
  <c r="F317"/>
  <c r="F430"/>
  <c r="F94"/>
  <c r="F453"/>
  <c r="F202"/>
  <c r="F339"/>
  <c r="F417"/>
  <c r="F393"/>
  <c r="F258"/>
  <c r="F253"/>
  <c r="F223"/>
  <c r="F294"/>
  <c r="F138"/>
  <c r="F195"/>
  <c r="F302"/>
  <c r="F486"/>
  <c r="F18"/>
  <c r="F463"/>
  <c r="F354"/>
  <c r="F221"/>
  <c r="F105"/>
  <c r="F415"/>
  <c r="F74"/>
  <c r="F411"/>
  <c r="F127"/>
  <c r="F301"/>
  <c r="F160"/>
  <c r="F312"/>
  <c r="F52"/>
  <c r="F414"/>
  <c r="F433"/>
  <c r="F368"/>
  <c r="F477"/>
  <c r="F153"/>
  <c r="F38"/>
  <c r="F422"/>
  <c r="F322"/>
  <c r="F196"/>
  <c r="F171"/>
  <c r="F444"/>
  <c r="F32"/>
  <c r="F448"/>
  <c r="F262"/>
  <c r="F124"/>
  <c r="F381"/>
  <c r="F146"/>
  <c r="F270"/>
  <c r="F149"/>
  <c r="F217"/>
  <c r="F87"/>
  <c r="F109"/>
  <c r="F234"/>
  <c r="F43"/>
  <c r="F425"/>
  <c r="F367"/>
  <c r="F273"/>
  <c r="F426"/>
  <c r="F212"/>
  <c r="F399"/>
  <c r="F298"/>
  <c r="F410"/>
  <c r="F409"/>
  <c r="F282"/>
  <c r="F197"/>
  <c r="F25"/>
  <c r="F398"/>
  <c r="F384"/>
  <c r="F286"/>
  <c r="F436"/>
  <c r="F406"/>
  <c r="F460"/>
  <c r="F318"/>
  <c r="F395"/>
  <c r="F389"/>
  <c r="F313"/>
  <c r="F241"/>
  <c r="F24"/>
  <c r="F91"/>
  <c r="F299"/>
  <c r="F30"/>
  <c r="F226"/>
  <c r="F205"/>
  <c r="F235"/>
  <c r="F337"/>
  <c r="F401"/>
  <c r="F362"/>
  <c r="F199"/>
  <c r="F352"/>
  <c r="F385"/>
  <c r="F470"/>
  <c r="F239"/>
  <c r="F28"/>
  <c r="F45"/>
  <c r="F459"/>
  <c r="F78"/>
  <c r="F89"/>
  <c r="F457"/>
  <c r="F421"/>
  <c r="F449"/>
  <c r="F251"/>
  <c r="F82"/>
  <c r="F333"/>
  <c r="F468"/>
  <c r="F466"/>
  <c r="F36"/>
  <c r="F293"/>
  <c r="F473"/>
  <c r="F263"/>
  <c r="F439"/>
  <c r="F274"/>
  <c r="F152"/>
  <c r="F440"/>
  <c r="F311"/>
  <c r="F143"/>
  <c r="F419"/>
  <c r="F151"/>
  <c r="F413"/>
  <c r="F56"/>
  <c r="F296"/>
  <c r="F201"/>
  <c r="F220"/>
  <c r="F232"/>
  <c r="F244"/>
  <c r="F41"/>
  <c r="F73"/>
  <c r="F342"/>
  <c r="F177"/>
  <c r="F277"/>
  <c r="F475"/>
  <c r="F181"/>
  <c r="F248"/>
  <c r="F141"/>
  <c r="F396"/>
  <c r="F39"/>
  <c r="F95"/>
  <c r="F206"/>
  <c r="F229"/>
  <c r="F211"/>
  <c r="F54"/>
  <c r="F261"/>
  <c r="F139"/>
  <c r="F180"/>
  <c r="F222"/>
  <c r="F429"/>
  <c r="F216"/>
  <c r="F256"/>
  <c r="F21"/>
  <c r="F188"/>
  <c r="F119"/>
  <c r="F353"/>
  <c r="F343"/>
  <c r="F115"/>
  <c r="F154"/>
  <c r="F100"/>
  <c r="F443"/>
  <c r="F402"/>
  <c r="F118"/>
  <c r="F283"/>
  <c r="F288"/>
  <c r="F145"/>
  <c r="F476"/>
  <c r="F47"/>
  <c r="F255"/>
  <c r="F360"/>
  <c r="F269"/>
  <c r="F184"/>
  <c r="F305"/>
  <c r="F129"/>
  <c r="F209"/>
  <c r="F140"/>
  <c r="F98"/>
  <c r="F437"/>
  <c r="F287"/>
  <c r="F451"/>
  <c r="F37"/>
  <c r="F68"/>
  <c r="F388"/>
  <c r="F404"/>
  <c r="F424"/>
  <c r="F219"/>
  <c r="F281"/>
  <c r="F309"/>
  <c r="F483"/>
  <c r="F446"/>
  <c r="F482"/>
  <c r="F108"/>
  <c r="F107"/>
  <c r="F303"/>
  <c r="F259"/>
  <c r="F137"/>
  <c r="F461"/>
  <c r="F316"/>
  <c r="F479"/>
  <c r="F230"/>
  <c r="F266"/>
  <c r="F237"/>
  <c r="F34"/>
  <c r="F42"/>
  <c r="F9"/>
  <c r="F467"/>
  <c r="F123"/>
  <c r="F423"/>
  <c r="F110"/>
  <c r="F88"/>
  <c r="F112"/>
  <c r="F48"/>
  <c r="F441"/>
  <c r="F15"/>
  <c r="F77"/>
  <c r="F488"/>
  <c r="F359"/>
  <c r="F390"/>
  <c r="F344"/>
  <c r="F432"/>
  <c r="F198"/>
  <c r="F167"/>
  <c r="F376"/>
  <c r="F204"/>
  <c r="F240"/>
  <c r="F243"/>
  <c r="F81"/>
  <c r="F231"/>
  <c r="F455"/>
  <c r="F391"/>
  <c r="F306"/>
  <c r="F347"/>
  <c r="F120"/>
  <c r="F67"/>
  <c r="F450"/>
  <c r="F247"/>
  <c r="F93"/>
  <c r="F210"/>
  <c r="F464"/>
  <c r="F447"/>
  <c r="F72"/>
  <c r="F27"/>
  <c r="F246"/>
  <c r="F249"/>
  <c r="F335"/>
  <c r="F315"/>
  <c r="F113"/>
  <c r="F355"/>
  <c r="F46"/>
  <c r="F491"/>
  <c r="F392"/>
  <c r="F290"/>
  <c r="F173"/>
  <c r="F257"/>
  <c r="F133"/>
  <c r="F332"/>
  <c r="F267"/>
  <c r="F307"/>
  <c r="F364"/>
  <c r="F136"/>
  <c r="F102"/>
  <c r="F314"/>
  <c r="F265"/>
  <c r="F260"/>
  <c r="F191"/>
  <c r="F114"/>
  <c r="F203"/>
  <c r="F321"/>
  <c r="F325"/>
  <c r="F268"/>
  <c r="F371"/>
  <c r="F169"/>
  <c r="F208"/>
  <c r="F386"/>
  <c r="F233"/>
  <c r="F345"/>
  <c r="F372"/>
  <c r="F147"/>
  <c r="F462"/>
  <c r="F101"/>
  <c r="F438"/>
  <c r="F369"/>
  <c r="F487"/>
  <c r="F148"/>
  <c r="F207"/>
  <c r="F378"/>
  <c r="F19"/>
  <c r="F189"/>
  <c r="F190"/>
  <c r="F172"/>
  <c r="F69"/>
  <c r="F374"/>
  <c r="F472"/>
  <c r="F116"/>
  <c r="F292"/>
  <c r="F341"/>
  <c r="F416"/>
  <c r="F324"/>
  <c r="F125"/>
  <c r="F106"/>
  <c r="F279"/>
  <c r="F271"/>
  <c r="F349"/>
  <c r="F319"/>
  <c r="F435"/>
  <c r="F218"/>
  <c r="F280"/>
  <c r="F452"/>
  <c r="F497" i="121"/>
  <c r="F20"/>
  <c r="F80"/>
  <c r="F146"/>
  <c r="F211"/>
  <c r="F277"/>
  <c r="F343"/>
  <c r="F409"/>
  <c r="F476"/>
  <c r="F27"/>
  <c r="F93"/>
  <c r="F159"/>
  <c r="F224"/>
  <c r="F290"/>
  <c r="F356"/>
  <c r="F422"/>
  <c r="F488"/>
  <c r="F40"/>
  <c r="F105"/>
  <c r="F171"/>
  <c r="F236"/>
  <c r="F302"/>
  <c r="F368"/>
  <c r="F434"/>
  <c r="F7"/>
  <c r="F52"/>
  <c r="F117"/>
  <c r="F183"/>
  <c r="F249"/>
  <c r="F315"/>
  <c r="F380"/>
  <c r="F447"/>
  <c r="F6"/>
  <c r="F22"/>
  <c r="F39"/>
  <c r="F55"/>
  <c r="F71"/>
  <c r="F87"/>
  <c r="F104"/>
  <c r="F120"/>
  <c r="F137"/>
  <c r="F153"/>
  <c r="F170"/>
  <c r="F186"/>
  <c r="F202"/>
  <c r="F219"/>
  <c r="F235"/>
  <c r="F252"/>
  <c r="F268"/>
  <c r="F284"/>
  <c r="F301"/>
  <c r="F318"/>
  <c r="F334"/>
  <c r="F350"/>
  <c r="F367"/>
  <c r="F384"/>
  <c r="F400"/>
  <c r="F417"/>
  <c r="F433"/>
  <c r="F450"/>
  <c r="F466"/>
  <c r="F483"/>
  <c r="F499"/>
  <c r="F21"/>
  <c r="F38"/>
  <c r="F54"/>
  <c r="F70"/>
  <c r="F86"/>
  <c r="F103"/>
  <c r="F119"/>
  <c r="F136"/>
  <c r="F152"/>
  <c r="F169"/>
  <c r="F189"/>
  <c r="F205"/>
  <c r="F222"/>
  <c r="F238"/>
  <c r="F255"/>
  <c r="F271"/>
  <c r="F288"/>
  <c r="F304"/>
  <c r="F321"/>
  <c r="F337"/>
  <c r="F353"/>
  <c r="F370"/>
  <c r="F387"/>
  <c r="F403"/>
  <c r="F420"/>
  <c r="F436"/>
  <c r="F453"/>
  <c r="F469"/>
  <c r="F486"/>
  <c r="F28"/>
  <c r="F45"/>
  <c r="F61"/>
  <c r="F77"/>
  <c r="F94"/>
  <c r="F110"/>
  <c r="F127"/>
  <c r="F143"/>
  <c r="F160"/>
  <c r="F176"/>
  <c r="F192"/>
  <c r="F208"/>
  <c r="F225"/>
  <c r="F241"/>
  <c r="F258"/>
  <c r="F274"/>
  <c r="F291"/>
  <c r="F307"/>
  <c r="F324"/>
  <c r="F340"/>
  <c r="F357"/>
  <c r="F373"/>
  <c r="F390"/>
  <c r="F406"/>
  <c r="F423"/>
  <c r="F440"/>
  <c r="F456"/>
  <c r="F472"/>
  <c r="F489"/>
  <c r="F228"/>
  <c r="F426"/>
  <c r="F44"/>
  <c r="F240"/>
  <c r="F439"/>
  <c r="F187"/>
  <c r="F319"/>
  <c r="F68"/>
  <c r="F199"/>
  <c r="F397"/>
  <c r="F26"/>
  <c r="F75"/>
  <c r="F108"/>
  <c r="F190"/>
  <c r="F223"/>
  <c r="F272"/>
  <c r="F305"/>
  <c r="F355"/>
  <c r="F421"/>
  <c r="F470"/>
  <c r="F25"/>
  <c r="F58"/>
  <c r="F107"/>
  <c r="F156"/>
  <c r="F193"/>
  <c r="F259"/>
  <c r="F308"/>
  <c r="F358"/>
  <c r="F407"/>
  <c r="F473"/>
  <c r="F32"/>
  <c r="F81"/>
  <c r="F164"/>
  <c r="F213"/>
  <c r="F278"/>
  <c r="F295"/>
  <c r="F361"/>
  <c r="F410"/>
  <c r="F477"/>
  <c r="F12"/>
  <c r="F64"/>
  <c r="F130"/>
  <c r="F195"/>
  <c r="F261"/>
  <c r="F327"/>
  <c r="F393"/>
  <c r="F459"/>
  <c r="F19"/>
  <c r="F76"/>
  <c r="F142"/>
  <c r="F207"/>
  <c r="F273"/>
  <c r="F339"/>
  <c r="F405"/>
  <c r="F471"/>
  <c r="F24"/>
  <c r="F88"/>
  <c r="F154"/>
  <c r="F220"/>
  <c r="F285"/>
  <c r="F351"/>
  <c r="F418"/>
  <c r="F484"/>
  <c r="F36"/>
  <c r="F101"/>
  <c r="F167"/>
  <c r="F232"/>
  <c r="F298"/>
  <c r="F364"/>
  <c r="F430"/>
  <c r="F496"/>
  <c r="F18"/>
  <c r="F35"/>
  <c r="F51"/>
  <c r="F67"/>
  <c r="F83"/>
  <c r="F100"/>
  <c r="F116"/>
  <c r="F133"/>
  <c r="F149"/>
  <c r="F166"/>
  <c r="F182"/>
  <c r="F198"/>
  <c r="F215"/>
  <c r="F231"/>
  <c r="F248"/>
  <c r="F264"/>
  <c r="F280"/>
  <c r="F297"/>
  <c r="F314"/>
  <c r="F330"/>
  <c r="F346"/>
  <c r="F363"/>
  <c r="F379"/>
  <c r="F396"/>
  <c r="F413"/>
  <c r="F429"/>
  <c r="F446"/>
  <c r="F462"/>
  <c r="F479"/>
  <c r="F495"/>
  <c r="F17"/>
  <c r="F34"/>
  <c r="F50"/>
  <c r="F66"/>
  <c r="F82"/>
  <c r="F99"/>
  <c r="F115"/>
  <c r="F132"/>
  <c r="F148"/>
  <c r="F165"/>
  <c r="F181"/>
  <c r="F201"/>
  <c r="F218"/>
  <c r="F234"/>
  <c r="F251"/>
  <c r="F267"/>
  <c r="F283"/>
  <c r="F300"/>
  <c r="F317"/>
  <c r="F333"/>
  <c r="F349"/>
  <c r="F366"/>
  <c r="F382"/>
  <c r="F399"/>
  <c r="F416"/>
  <c r="F432"/>
  <c r="F449"/>
  <c r="F465"/>
  <c r="F482"/>
  <c r="F498"/>
  <c r="F41"/>
  <c r="F57"/>
  <c r="F73"/>
  <c r="F89"/>
  <c r="F106"/>
  <c r="F122"/>
  <c r="F139"/>
  <c r="F155"/>
  <c r="F172"/>
  <c r="F188"/>
  <c r="F204"/>
  <c r="F221"/>
  <c r="F237"/>
  <c r="F254"/>
  <c r="F270"/>
  <c r="F286"/>
  <c r="F303"/>
  <c r="F320"/>
  <c r="F336"/>
  <c r="F352"/>
  <c r="F369"/>
  <c r="F386"/>
  <c r="F402"/>
  <c r="F419"/>
  <c r="F435"/>
  <c r="F452"/>
  <c r="F468"/>
  <c r="F485"/>
  <c r="F163"/>
  <c r="F492"/>
  <c r="F175"/>
  <c r="F372"/>
  <c r="F56"/>
  <c r="F385"/>
  <c r="F15"/>
  <c r="F265"/>
  <c r="F10"/>
  <c r="F43"/>
  <c r="F91"/>
  <c r="F157"/>
  <c r="F206"/>
  <c r="F256"/>
  <c r="F322"/>
  <c r="F371"/>
  <c r="F404"/>
  <c r="F454"/>
  <c r="F9"/>
  <c r="F74"/>
  <c r="F123"/>
  <c r="F173"/>
  <c r="F209"/>
  <c r="F275"/>
  <c r="F292"/>
  <c r="F341"/>
  <c r="F391"/>
  <c r="F441"/>
  <c r="F490"/>
  <c r="F49"/>
  <c r="F114"/>
  <c r="F147"/>
  <c r="F180"/>
  <c r="F229"/>
  <c r="F262"/>
  <c r="F344"/>
  <c r="F394"/>
  <c r="F444"/>
  <c r="F48"/>
  <c r="F113"/>
  <c r="F179"/>
  <c r="F244"/>
  <c r="F310"/>
  <c r="F376"/>
  <c r="F443"/>
  <c r="F11"/>
  <c r="F60"/>
  <c r="F126"/>
  <c r="F191"/>
  <c r="F257"/>
  <c r="F323"/>
  <c r="F389"/>
  <c r="F455"/>
  <c r="F16"/>
  <c r="F72"/>
  <c r="F138"/>
  <c r="F203"/>
  <c r="F269"/>
  <c r="F335"/>
  <c r="F401"/>
  <c r="F467"/>
  <c r="F23"/>
  <c r="F84"/>
  <c r="F150"/>
  <c r="F216"/>
  <c r="F281"/>
  <c r="F347"/>
  <c r="F414"/>
  <c r="F480"/>
  <c r="F14"/>
  <c r="F30"/>
  <c r="F47"/>
  <c r="F63"/>
  <c r="F79"/>
  <c r="F96"/>
  <c r="F112"/>
  <c r="F129"/>
  <c r="F145"/>
  <c r="F162"/>
  <c r="F178"/>
  <c r="F194"/>
  <c r="F210"/>
  <c r="F227"/>
  <c r="F243"/>
  <c r="F260"/>
  <c r="F276"/>
  <c r="F293"/>
  <c r="F309"/>
  <c r="F326"/>
  <c r="F342"/>
  <c r="F359"/>
  <c r="F375"/>
  <c r="F392"/>
  <c r="F408"/>
  <c r="F425"/>
  <c r="F442"/>
  <c r="F458"/>
  <c r="F474"/>
  <c r="F491"/>
  <c r="F13"/>
  <c r="F29"/>
  <c r="F46"/>
  <c r="F62"/>
  <c r="F78"/>
  <c r="F95"/>
  <c r="F111"/>
  <c r="F128"/>
  <c r="F144"/>
  <c r="F161"/>
  <c r="F177"/>
  <c r="F197"/>
  <c r="F214"/>
  <c r="F230"/>
  <c r="F247"/>
  <c r="F263"/>
  <c r="F279"/>
  <c r="F296"/>
  <c r="F313"/>
  <c r="F329"/>
  <c r="F345"/>
  <c r="F362"/>
  <c r="F378"/>
  <c r="F395"/>
  <c r="F411"/>
  <c r="F428"/>
  <c r="F445"/>
  <c r="F461"/>
  <c r="F478"/>
  <c r="F494"/>
  <c r="F37"/>
  <c r="F53"/>
  <c r="F69"/>
  <c r="F85"/>
  <c r="F102"/>
  <c r="F118"/>
  <c r="F135"/>
  <c r="F151"/>
  <c r="F168"/>
  <c r="F184"/>
  <c r="F200"/>
  <c r="F217"/>
  <c r="F233"/>
  <c r="F250"/>
  <c r="F266"/>
  <c r="F282"/>
  <c r="F299"/>
  <c r="F316"/>
  <c r="F332"/>
  <c r="F348"/>
  <c r="F365"/>
  <c r="F381"/>
  <c r="F398"/>
  <c r="F415"/>
  <c r="F431"/>
  <c r="F448"/>
  <c r="F464"/>
  <c r="F481"/>
  <c r="F31"/>
  <c r="F97"/>
  <c r="F294"/>
  <c r="F360"/>
  <c r="F109"/>
  <c r="F306"/>
  <c r="F8"/>
  <c r="F121"/>
  <c r="F253"/>
  <c r="F451"/>
  <c r="F134"/>
  <c r="F331"/>
  <c r="F463"/>
  <c r="F59"/>
  <c r="F125"/>
  <c r="F174"/>
  <c r="F239"/>
  <c r="F289"/>
  <c r="F338"/>
  <c r="F388"/>
  <c r="F437"/>
  <c r="F487"/>
  <c r="F42"/>
  <c r="F90"/>
  <c r="F140"/>
  <c r="F242"/>
  <c r="F325"/>
  <c r="F374"/>
  <c r="F424"/>
  <c r="F457"/>
  <c r="F65"/>
  <c r="F131"/>
  <c r="F196"/>
  <c r="F245"/>
  <c r="F312"/>
  <c r="F377"/>
  <c r="F427"/>
  <c r="F493"/>
  <c r="F141"/>
  <c r="F226"/>
  <c r="F98"/>
  <c r="F328"/>
  <c r="F460"/>
  <c r="G3"/>
  <c r="G224" s="1"/>
  <c r="F35" i="120"/>
  <c r="J129" i="119"/>
  <c r="G493" i="121"/>
  <c r="G432"/>
  <c r="G234"/>
  <c r="G384"/>
  <c r="G318"/>
  <c r="G252"/>
  <c r="G119"/>
  <c r="G54"/>
  <c r="G484"/>
  <c r="G351"/>
  <c r="G285"/>
  <c r="G216"/>
  <c r="G83"/>
  <c r="G18"/>
  <c r="G278"/>
  <c r="G19"/>
  <c r="G8"/>
  <c r="G48"/>
  <c r="G431"/>
  <c r="G361"/>
  <c r="G150"/>
  <c r="G436"/>
  <c r="G370"/>
  <c r="G304"/>
  <c r="G151"/>
  <c r="G454"/>
  <c r="G388"/>
  <c r="G256"/>
  <c r="G190"/>
  <c r="G123"/>
  <c r="G488"/>
  <c r="G422"/>
  <c r="G356"/>
  <c r="G220"/>
  <c r="G153"/>
  <c r="G87"/>
  <c r="G286"/>
  <c r="G175"/>
  <c r="G31"/>
  <c r="G60"/>
  <c r="G12"/>
  <c r="G435"/>
  <c r="G171"/>
  <c r="G37"/>
  <c r="G441"/>
  <c r="G308"/>
  <c r="G242"/>
  <c r="G164"/>
  <c r="G392"/>
  <c r="G326"/>
  <c r="G260"/>
  <c r="G128"/>
  <c r="G62"/>
  <c r="G492"/>
  <c r="G360"/>
  <c r="G294"/>
  <c r="G228"/>
  <c r="G91"/>
  <c r="G26"/>
  <c r="G291"/>
  <c r="G40"/>
  <c r="G32"/>
  <c r="G72"/>
  <c r="G440"/>
  <c r="G369"/>
  <c r="G188"/>
  <c r="G445"/>
  <c r="G378"/>
  <c r="G313"/>
  <c r="G168"/>
  <c r="G462"/>
  <c r="G396"/>
  <c r="G264"/>
  <c r="G198"/>
  <c r="G132"/>
  <c r="G496"/>
  <c r="G430"/>
  <c r="G364"/>
  <c r="G232"/>
  <c r="G162"/>
  <c r="G96"/>
  <c r="G299"/>
  <c r="G196"/>
  <c r="G44"/>
  <c r="G80"/>
  <c r="G41"/>
  <c r="G444"/>
  <c r="G204"/>
  <c r="G61"/>
  <c r="G449"/>
  <c r="G317"/>
  <c r="G251"/>
  <c r="G176"/>
  <c r="G400"/>
  <c r="G334"/>
  <c r="G268"/>
  <c r="G136"/>
  <c r="G70"/>
  <c r="G434"/>
  <c r="G302"/>
  <c r="G236"/>
  <c r="G303"/>
  <c r="G217"/>
  <c r="G321"/>
  <c r="G404"/>
  <c r="G372"/>
  <c r="G104"/>
  <c r="G64"/>
  <c r="G457"/>
  <c r="G193"/>
  <c r="G276"/>
  <c r="G244"/>
  <c r="G316"/>
  <c r="G117"/>
  <c r="G329"/>
  <c r="G413"/>
  <c r="G148"/>
  <c r="G112"/>
  <c r="G84"/>
  <c r="G460"/>
  <c r="G201"/>
  <c r="G284"/>
  <c r="G179"/>
  <c r="G477"/>
  <c r="G410"/>
  <c r="G307"/>
  <c r="G482"/>
  <c r="G416"/>
  <c r="G349"/>
  <c r="G218"/>
  <c r="G499"/>
  <c r="G433"/>
  <c r="G301"/>
  <c r="G235"/>
  <c r="G169"/>
  <c r="G38"/>
  <c r="G467"/>
  <c r="G401"/>
  <c r="G269"/>
  <c r="G199"/>
  <c r="G133"/>
  <c r="G352"/>
  <c r="G254"/>
  <c r="G126"/>
  <c r="G192"/>
  <c r="G184"/>
  <c r="G481"/>
  <c r="G320"/>
  <c r="G68"/>
  <c r="G486"/>
  <c r="G353"/>
  <c r="G288"/>
  <c r="G222"/>
  <c r="G437"/>
  <c r="G371"/>
  <c r="G305"/>
  <c r="G173"/>
  <c r="G107"/>
  <c r="G42"/>
  <c r="G405"/>
  <c r="G339"/>
  <c r="G273"/>
  <c r="G137"/>
  <c r="G71"/>
  <c r="G390"/>
  <c r="G138"/>
  <c r="G180"/>
  <c r="G233"/>
  <c r="G485"/>
  <c r="G419"/>
  <c r="G336"/>
  <c r="G490"/>
  <c r="G424"/>
  <c r="G358"/>
  <c r="G226"/>
  <c r="G65"/>
  <c r="G442"/>
  <c r="G309"/>
  <c r="G243"/>
  <c r="G177"/>
  <c r="G46"/>
  <c r="G476"/>
  <c r="G409"/>
  <c r="G277"/>
  <c r="G207"/>
  <c r="G35"/>
  <c r="G377"/>
  <c r="G387"/>
  <c r="G470"/>
  <c r="G439"/>
  <c r="G170"/>
  <c r="G69"/>
  <c r="G391"/>
  <c r="G474"/>
  <c r="G210"/>
  <c r="G174"/>
  <c r="G213"/>
  <c r="G85"/>
  <c r="G263"/>
  <c r="G346"/>
  <c r="G82"/>
  <c r="G47"/>
  <c r="G94"/>
  <c r="G394"/>
  <c r="G483"/>
  <c r="G219"/>
  <c r="G152"/>
  <c r="G21"/>
  <c r="G451"/>
  <c r="G385"/>
  <c r="G253"/>
  <c r="G182"/>
  <c r="G116"/>
  <c r="G328"/>
  <c r="G225"/>
  <c r="G97"/>
  <c r="G142"/>
  <c r="G114"/>
  <c r="G464"/>
  <c r="G270"/>
  <c r="G135"/>
  <c r="G469"/>
  <c r="G337"/>
  <c r="G271"/>
  <c r="G205"/>
  <c r="G421"/>
  <c r="G355"/>
  <c r="G289"/>
  <c r="G156"/>
  <c r="G90"/>
  <c r="G25"/>
  <c r="G389"/>
  <c r="G323"/>
  <c r="G257"/>
  <c r="G120"/>
  <c r="G55"/>
  <c r="G332"/>
  <c r="G101"/>
  <c r="G122"/>
  <c r="G154"/>
  <c r="G468"/>
  <c r="G402"/>
  <c r="G282"/>
  <c r="G473"/>
  <c r="G407"/>
  <c r="G341"/>
  <c r="G209"/>
  <c r="G491"/>
  <c r="G425"/>
  <c r="G293"/>
  <c r="G227"/>
  <c r="G161"/>
  <c r="G29"/>
  <c r="G459"/>
  <c r="G393"/>
  <c r="G261"/>
  <c r="G191"/>
  <c r="G125"/>
  <c r="G340"/>
  <c r="G241"/>
  <c r="G109"/>
  <c r="G163"/>
  <c r="G143"/>
  <c r="G472"/>
  <c r="G295"/>
  <c r="G27"/>
  <c r="G478"/>
  <c r="G345"/>
  <c r="G279"/>
  <c r="G214"/>
  <c r="G429"/>
  <c r="G363"/>
  <c r="G297"/>
  <c r="G165"/>
  <c r="G99"/>
  <c r="G34"/>
  <c r="G397"/>
  <c r="G331"/>
  <c r="G265"/>
  <c r="G129"/>
  <c r="G63"/>
  <c r="G344"/>
  <c r="G121"/>
  <c r="G147"/>
  <c r="G100"/>
  <c r="G448"/>
  <c r="G453"/>
  <c r="G189"/>
  <c r="G9"/>
  <c r="G240"/>
  <c r="G312"/>
  <c r="G229"/>
  <c r="G325"/>
  <c r="G408"/>
  <c r="G376"/>
  <c r="G108"/>
  <c r="G76"/>
  <c r="G461"/>
  <c r="G197"/>
  <c r="G280"/>
  <c r="G249"/>
  <c r="G324"/>
  <c r="G130"/>
  <c r="G333"/>
  <c r="G417"/>
  <c r="G166"/>
  <c r="G53"/>
  <c r="G77"/>
  <c r="G255"/>
  <c r="G74"/>
  <c r="G306"/>
  <c r="G39"/>
  <c r="G73"/>
  <c r="G89"/>
  <c r="G259"/>
  <c r="G78"/>
  <c r="G310"/>
  <c r="G43"/>
  <c r="G386"/>
  <c r="G395"/>
  <c r="G479"/>
  <c r="G447"/>
  <c r="G178"/>
  <c r="G221"/>
  <c r="G118"/>
  <c r="G267"/>
  <c r="G350"/>
  <c r="G146"/>
  <c r="G489"/>
  <c r="G494"/>
  <c r="G314"/>
  <c r="G50"/>
  <c r="G281"/>
  <c r="G75"/>
  <c r="G7"/>
  <c r="G423"/>
  <c r="G98"/>
  <c r="G248"/>
  <c r="G480"/>
  <c r="G274"/>
  <c r="G6"/>
  <c r="G10"/>
  <c r="G362"/>
  <c r="G446"/>
  <c r="G181"/>
  <c r="G145"/>
  <c r="G159"/>
  <c r="G266"/>
  <c r="G113"/>
  <c r="G296"/>
  <c r="G379"/>
  <c r="G347"/>
  <c r="G79"/>
  <c r="G15"/>
  <c r="K115" i="119"/>
  <c r="L115" s="1"/>
  <c r="D144" i="45"/>
  <c r="E143"/>
  <c r="AD185" i="85"/>
  <c r="E168"/>
  <c r="E172"/>
  <c r="AH185"/>
  <c r="E163"/>
  <c r="Y185"/>
  <c r="AL185"/>
  <c r="E176"/>
  <c r="E174"/>
  <c r="AJ185"/>
  <c r="AB185"/>
  <c r="E166"/>
  <c r="AG185"/>
  <c r="E171"/>
  <c r="AI185"/>
  <c r="E173"/>
  <c r="D146" i="42"/>
  <c r="D147" s="1"/>
  <c r="D148" s="1"/>
  <c r="D149" s="1"/>
  <c r="D150" s="1"/>
  <c r="D151" s="1"/>
  <c r="D152" s="1"/>
  <c r="D153" s="1"/>
  <c r="D154" s="1"/>
  <c r="D155" s="1"/>
  <c r="D156" s="1"/>
  <c r="D157" s="1"/>
  <c r="D158" s="1"/>
  <c r="D159" s="1"/>
  <c r="D160" s="1"/>
  <c r="D161" s="1"/>
  <c r="D162" s="1"/>
  <c r="E145"/>
  <c r="D141" i="119"/>
  <c r="J194"/>
  <c r="E141" i="39"/>
  <c r="D142"/>
  <c r="C156" i="101"/>
  <c r="C110" i="119"/>
  <c r="G111" s="1"/>
  <c r="G189"/>
  <c r="D144"/>
  <c r="J197"/>
  <c r="AQ226" i="63"/>
  <c r="B217"/>
  <c r="D110" i="119"/>
  <c r="H111" s="1"/>
  <c r="H189"/>
  <c r="D173"/>
  <c r="H174" s="1"/>
  <c r="N201" s="1"/>
  <c r="L200"/>
  <c r="E165" i="85"/>
  <c r="AA185"/>
  <c r="E178"/>
  <c r="AN185"/>
  <c r="E209" i="119"/>
  <c r="F23" i="100"/>
  <c r="F25" s="1"/>
  <c r="F27" s="1"/>
  <c r="G125" i="42"/>
  <c r="G126"/>
  <c r="G129" s="1"/>
  <c r="J196" i="101"/>
  <c r="H197"/>
  <c r="N224" s="1"/>
  <c r="K114" i="119"/>
  <c r="L114" s="1"/>
  <c r="D139" i="48"/>
  <c r="E138"/>
  <c r="H103" i="119"/>
  <c r="D109"/>
  <c r="H188"/>
  <c r="F131" i="120"/>
  <c r="I97" i="85"/>
  <c r="G102" s="1"/>
  <c r="G103" i="119"/>
  <c r="B162" i="36"/>
  <c r="B161"/>
  <c r="B146"/>
  <c r="B154"/>
  <c r="I128"/>
  <c r="I137"/>
  <c r="I136"/>
  <c r="I159"/>
  <c r="I160"/>
  <c r="I162"/>
  <c r="I129"/>
  <c r="I141"/>
  <c r="I145"/>
  <c r="I144"/>
  <c r="B151"/>
  <c r="B159"/>
  <c r="B150"/>
  <c r="B148"/>
  <c r="I127"/>
  <c r="I126"/>
  <c r="I152"/>
  <c r="I147"/>
  <c r="I151"/>
  <c r="I143"/>
  <c r="I132"/>
  <c r="I153"/>
  <c r="I134"/>
  <c r="I131"/>
  <c r="B145"/>
  <c r="AF229" s="1"/>
  <c r="B158"/>
  <c r="B149"/>
  <c r="B153"/>
  <c r="B160"/>
  <c r="I155"/>
  <c r="I135"/>
  <c r="I158"/>
  <c r="I139"/>
  <c r="I157"/>
  <c r="I142"/>
  <c r="I149"/>
  <c r="I140"/>
  <c r="I146"/>
  <c r="B152"/>
  <c r="B157"/>
  <c r="B156"/>
  <c r="B147"/>
  <c r="B155"/>
  <c r="I161"/>
  <c r="I130"/>
  <c r="I133"/>
  <c r="I138"/>
  <c r="I148"/>
  <c r="I156"/>
  <c r="I125"/>
  <c r="I124" s="1"/>
  <c r="G128" s="1"/>
  <c r="I154"/>
  <c r="I150"/>
  <c r="J196" i="119"/>
  <c r="D143"/>
  <c r="E177" i="85"/>
  <c r="AM185"/>
  <c r="AF185"/>
  <c r="E170"/>
  <c r="E161"/>
  <c r="W185"/>
  <c r="AK185"/>
  <c r="E175"/>
  <c r="E143" i="57"/>
  <c r="D144"/>
  <c r="H190" i="119"/>
  <c r="D111"/>
  <c r="H112" s="1"/>
  <c r="J198"/>
  <c r="D145"/>
  <c r="H146" s="1"/>
  <c r="F65" i="120"/>
  <c r="B117" i="78"/>
  <c r="B120"/>
  <c r="B118"/>
  <c r="B125"/>
  <c r="B114"/>
  <c r="I126"/>
  <c r="I105"/>
  <c r="I114"/>
  <c r="I112"/>
  <c r="I103"/>
  <c r="I102"/>
  <c r="I108"/>
  <c r="B115"/>
  <c r="I123"/>
  <c r="I111"/>
  <c r="I104"/>
  <c r="I119"/>
  <c r="B123"/>
  <c r="B122"/>
  <c r="B126"/>
  <c r="B110"/>
  <c r="I121"/>
  <c r="I120"/>
  <c r="I109"/>
  <c r="I101"/>
  <c r="I106"/>
  <c r="I122"/>
  <c r="I98"/>
  <c r="I97" s="1"/>
  <c r="G102" s="1"/>
  <c r="B112"/>
  <c r="B109"/>
  <c r="I115"/>
  <c r="I118"/>
  <c r="I117"/>
  <c r="B111"/>
  <c r="I110"/>
  <c r="B113"/>
  <c r="B116"/>
  <c r="B119"/>
  <c r="B121"/>
  <c r="B124"/>
  <c r="I100"/>
  <c r="I125"/>
  <c r="I113"/>
  <c r="I116"/>
  <c r="I99"/>
  <c r="I107"/>
  <c r="I124"/>
  <c r="J195" i="119"/>
  <c r="D142"/>
  <c r="K192"/>
  <c r="C165"/>
  <c r="G166" s="1"/>
  <c r="M193" s="1"/>
  <c r="C38" i="63"/>
  <c r="I37"/>
  <c r="B37"/>
  <c r="J139" i="119"/>
  <c r="H140"/>
  <c r="Z185" i="85"/>
  <c r="E164"/>
  <c r="E167"/>
  <c r="AC185"/>
  <c r="AE185"/>
  <c r="E169"/>
  <c r="E162"/>
  <c r="X185"/>
  <c r="H166" i="101"/>
  <c r="J165"/>
  <c r="G110" i="119"/>
  <c r="D138" i="63"/>
  <c r="E137"/>
  <c r="H141" i="119"/>
  <c r="J140"/>
  <c r="H216" i="63"/>
  <c r="AP231" s="1"/>
  <c r="G216"/>
  <c r="I216" s="1"/>
  <c r="K118" i="119"/>
  <c r="L118" s="1"/>
  <c r="F92" i="120"/>
  <c r="F375"/>
  <c r="F236"/>
  <c r="F428"/>
  <c r="C190" i="101"/>
  <c r="G191" s="1"/>
  <c r="M218" s="1"/>
  <c r="K217"/>
  <c r="D191"/>
  <c r="L218"/>
  <c r="H135"/>
  <c r="L155"/>
  <c r="D190"/>
  <c r="L217"/>
  <c r="K164"/>
  <c r="K168"/>
  <c r="L168" s="1"/>
  <c r="K167"/>
  <c r="L167" s="1"/>
  <c r="G155"/>
  <c r="C161"/>
  <c r="I214"/>
  <c r="D195"/>
  <c r="L222"/>
  <c r="L221"/>
  <c r="D194"/>
  <c r="G24" i="100"/>
  <c r="G235" i="101"/>
  <c r="I215"/>
  <c r="C162"/>
  <c r="G163" s="1"/>
  <c r="D162"/>
  <c r="H163" s="1"/>
  <c r="J215"/>
  <c r="G134" i="121" l="1"/>
  <c r="E138" i="54"/>
  <c r="D139"/>
  <c r="E138" i="51"/>
  <c r="D139"/>
  <c r="G131" i="121"/>
  <c r="G498"/>
  <c r="G36"/>
  <c r="D139" i="60"/>
  <c r="E138"/>
  <c r="I236" i="101"/>
  <c r="G300" i="121"/>
  <c r="G427"/>
  <c r="C129" i="119"/>
  <c r="G208"/>
  <c r="G23" i="100" s="1"/>
  <c r="G25" s="1"/>
  <c r="G27" s="1"/>
  <c r="F246" i="121"/>
  <c r="D11" i="100" s="1"/>
  <c r="F438" i="121"/>
  <c r="D17" i="100" s="1"/>
  <c r="F212" i="121"/>
  <c r="D10" i="100" s="1"/>
  <c r="F354" i="121"/>
  <c r="D14" i="100" s="1"/>
  <c r="F92" i="121"/>
  <c r="D6" i="100" s="1"/>
  <c r="F311" i="121"/>
  <c r="D13" i="100" s="1"/>
  <c r="F124" i="121"/>
  <c r="D7" i="100" s="1"/>
  <c r="F33" i="121"/>
  <c r="F287"/>
  <c r="D12" i="100" s="1"/>
  <c r="F383" i="121"/>
  <c r="D15" i="100" s="1"/>
  <c r="F185" i="121"/>
  <c r="D9" i="100" s="1"/>
  <c r="F158" i="121"/>
  <c r="D8" i="100" s="1"/>
  <c r="F412" i="121"/>
  <c r="D16" i="100" s="1"/>
  <c r="F475" i="121"/>
  <c r="D18" i="100" s="1"/>
  <c r="G115" i="121"/>
  <c r="G23"/>
  <c r="G414"/>
  <c r="G348"/>
  <c r="G211"/>
  <c r="G428"/>
  <c r="G14"/>
  <c r="G230"/>
  <c r="G141"/>
  <c r="G102"/>
  <c r="G215"/>
  <c r="G81"/>
  <c r="G342"/>
  <c r="G208"/>
  <c r="G338"/>
  <c r="G200"/>
  <c r="G258"/>
  <c r="G17"/>
  <c r="G456"/>
  <c r="G144"/>
  <c r="G105"/>
  <c r="G272"/>
  <c r="G246" s="1"/>
  <c r="E11" i="100" s="1"/>
  <c r="G56" i="121"/>
  <c r="G250"/>
  <c r="G195"/>
  <c r="G463"/>
  <c r="G231"/>
  <c r="G495"/>
  <c r="G411"/>
  <c r="G406"/>
  <c r="G139"/>
  <c r="G59"/>
  <c r="G327"/>
  <c r="G95"/>
  <c r="G359"/>
  <c r="G275"/>
  <c r="G172"/>
  <c r="G127"/>
  <c r="G237"/>
  <c r="G187"/>
  <c r="G455"/>
  <c r="G223"/>
  <c r="G487"/>
  <c r="G403"/>
  <c r="G398"/>
  <c r="G110"/>
  <c r="G51"/>
  <c r="G319"/>
  <c r="G86"/>
  <c r="G399"/>
  <c r="G383" s="1"/>
  <c r="E15" i="100" s="1"/>
  <c r="G315" i="121"/>
  <c r="G106"/>
  <c r="G443"/>
  <c r="G381"/>
  <c r="G206"/>
  <c r="G57"/>
  <c r="G343"/>
  <c r="G111"/>
  <c r="G375"/>
  <c r="G292"/>
  <c r="G88"/>
  <c r="G11"/>
  <c r="G262"/>
  <c r="G203"/>
  <c r="G471"/>
  <c r="G239"/>
  <c r="G20"/>
  <c r="G420"/>
  <c r="G415"/>
  <c r="G160"/>
  <c r="G67"/>
  <c r="G335"/>
  <c r="G103"/>
  <c r="G367"/>
  <c r="G283"/>
  <c r="G52"/>
  <c r="G155"/>
  <c r="G465"/>
  <c r="G380"/>
  <c r="G245"/>
  <c r="G13"/>
  <c r="G452"/>
  <c r="G140"/>
  <c r="G93"/>
  <c r="G368"/>
  <c r="G202"/>
  <c r="G466"/>
  <c r="G382"/>
  <c r="G373"/>
  <c r="G45"/>
  <c r="G30"/>
  <c r="G298"/>
  <c r="G66"/>
  <c r="G330"/>
  <c r="G247"/>
  <c r="G49"/>
  <c r="G28"/>
  <c r="G183"/>
  <c r="G157"/>
  <c r="G426"/>
  <c r="G194"/>
  <c r="G458"/>
  <c r="G374"/>
  <c r="G365"/>
  <c r="G24"/>
  <c r="G22"/>
  <c r="G290"/>
  <c r="G58"/>
  <c r="G322"/>
  <c r="G238"/>
  <c r="G16"/>
  <c r="G497"/>
  <c r="G167"/>
  <c r="G149"/>
  <c r="G418"/>
  <c r="G186"/>
  <c r="G450"/>
  <c r="G366"/>
  <c r="G357"/>
  <c r="K129" i="119"/>
  <c r="G3" i="120"/>
  <c r="G32" s="1"/>
  <c r="H3" i="121"/>
  <c r="G475"/>
  <c r="E18" i="100" s="1"/>
  <c r="L129" i="119"/>
  <c r="H169" i="85"/>
  <c r="G169"/>
  <c r="I169" s="1"/>
  <c r="K140" i="119"/>
  <c r="L140" s="1"/>
  <c r="L193"/>
  <c r="D166"/>
  <c r="C39" i="63"/>
  <c r="I38"/>
  <c r="B38"/>
  <c r="E139" i="48"/>
  <c r="D140"/>
  <c r="K196" i="101"/>
  <c r="L196" s="1"/>
  <c r="H165" i="85"/>
  <c r="G165"/>
  <c r="I165" s="1"/>
  <c r="J190" i="119"/>
  <c r="D137"/>
  <c r="H138" s="1"/>
  <c r="H145"/>
  <c r="J144"/>
  <c r="K144" s="1"/>
  <c r="L144" s="1"/>
  <c r="I190"/>
  <c r="C137"/>
  <c r="G138" s="1"/>
  <c r="H172" i="85"/>
  <c r="G172"/>
  <c r="I172" s="1"/>
  <c r="E144" i="45"/>
  <c r="D145"/>
  <c r="H109" i="119"/>
  <c r="E138" i="63"/>
  <c r="D139"/>
  <c r="D192" i="101"/>
  <c r="L219"/>
  <c r="D172" i="119"/>
  <c r="H173" s="1"/>
  <c r="N200" s="1"/>
  <c r="L199"/>
  <c r="H175" i="85"/>
  <c r="G175"/>
  <c r="I175" s="1"/>
  <c r="G170"/>
  <c r="I170" s="1"/>
  <c r="H170"/>
  <c r="J143" i="119"/>
  <c r="K143" s="1"/>
  <c r="L143" s="1"/>
  <c r="H144"/>
  <c r="D143" i="39"/>
  <c r="E142"/>
  <c r="G173" i="85"/>
  <c r="I173" s="1"/>
  <c r="H173"/>
  <c r="H166"/>
  <c r="G166"/>
  <c r="I166" s="1"/>
  <c r="H176"/>
  <c r="G176"/>
  <c r="I176" s="1"/>
  <c r="AR226" i="63"/>
  <c r="B218"/>
  <c r="G161" i="85"/>
  <c r="H161"/>
  <c r="L177"/>
  <c r="L178" s="1"/>
  <c r="G177"/>
  <c r="I177" s="1"/>
  <c r="H177"/>
  <c r="G178"/>
  <c r="I178" s="1"/>
  <c r="H178"/>
  <c r="H142" i="119"/>
  <c r="J141"/>
  <c r="H174" i="85"/>
  <c r="G174"/>
  <c r="I174" s="1"/>
  <c r="H163"/>
  <c r="G163"/>
  <c r="F4" i="120"/>
  <c r="G109" i="119"/>
  <c r="K165" i="101"/>
  <c r="L165" s="1"/>
  <c r="H164" i="85"/>
  <c r="G164"/>
  <c r="I164" s="1"/>
  <c r="L194" i="119"/>
  <c r="D167"/>
  <c r="I189"/>
  <c r="C136"/>
  <c r="G137" s="1"/>
  <c r="G162" i="85"/>
  <c r="H162"/>
  <c r="H167"/>
  <c r="G167"/>
  <c r="I167" s="1"/>
  <c r="K139" i="119"/>
  <c r="L139" s="1"/>
  <c r="H143"/>
  <c r="J142"/>
  <c r="K142" s="1"/>
  <c r="L142" s="1"/>
  <c r="J191"/>
  <c r="D138"/>
  <c r="D145" i="57"/>
  <c r="E144"/>
  <c r="H110" i="119"/>
  <c r="D129"/>
  <c r="C130" s="1"/>
  <c r="B145" i="42"/>
  <c r="AF229" s="1"/>
  <c r="I151"/>
  <c r="I143"/>
  <c r="B148"/>
  <c r="I152"/>
  <c r="I130"/>
  <c r="I159"/>
  <c r="I148"/>
  <c r="I131"/>
  <c r="B162"/>
  <c r="I162"/>
  <c r="I149"/>
  <c r="B152"/>
  <c r="I155"/>
  <c r="B161"/>
  <c r="B151"/>
  <c r="I161"/>
  <c r="I141"/>
  <c r="I150"/>
  <c r="I139"/>
  <c r="B157"/>
  <c r="I128"/>
  <c r="B146"/>
  <c r="I135"/>
  <c r="I157"/>
  <c r="I129"/>
  <c r="I126"/>
  <c r="B160"/>
  <c r="B158"/>
  <c r="I158"/>
  <c r="I153"/>
  <c r="I125"/>
  <c r="I124" s="1"/>
  <c r="G128" s="1"/>
  <c r="B155"/>
  <c r="I145"/>
  <c r="I137"/>
  <c r="I138"/>
  <c r="B153"/>
  <c r="I136"/>
  <c r="I156"/>
  <c r="I132"/>
  <c r="B159"/>
  <c r="I133"/>
  <c r="B150"/>
  <c r="I134"/>
  <c r="I127"/>
  <c r="B149"/>
  <c r="I160"/>
  <c r="I140"/>
  <c r="I147"/>
  <c r="B147"/>
  <c r="I146"/>
  <c r="I142"/>
  <c r="B156"/>
  <c r="I154"/>
  <c r="B154"/>
  <c r="I144"/>
  <c r="H217" i="63"/>
  <c r="AQ231" s="1"/>
  <c r="G217"/>
  <c r="I217" s="1"/>
  <c r="G171" i="85"/>
  <c r="I171" s="1"/>
  <c r="H171"/>
  <c r="H168"/>
  <c r="G168"/>
  <c r="I168" s="1"/>
  <c r="J181" i="101"/>
  <c r="G104" i="119"/>
  <c r="D189" i="101"/>
  <c r="H190" s="1"/>
  <c r="N217" s="1"/>
  <c r="L216"/>
  <c r="H196"/>
  <c r="N223" s="1"/>
  <c r="J195"/>
  <c r="D161"/>
  <c r="J214"/>
  <c r="H155"/>
  <c r="G156" s="1"/>
  <c r="K216"/>
  <c r="C189"/>
  <c r="G190" s="1"/>
  <c r="M217" s="1"/>
  <c r="G162"/>
  <c r="C181"/>
  <c r="J190"/>
  <c r="H191"/>
  <c r="N218" s="1"/>
  <c r="J191"/>
  <c r="H192"/>
  <c r="N219" s="1"/>
  <c r="J194"/>
  <c r="H195"/>
  <c r="N222" s="1"/>
  <c r="L164"/>
  <c r="E139" i="60" l="1"/>
  <c r="D140"/>
  <c r="E139" i="51"/>
  <c r="D140"/>
  <c r="G209" i="119"/>
  <c r="I234" i="101"/>
  <c r="I235" s="1"/>
  <c r="J236"/>
  <c r="D140" i="54"/>
  <c r="E139"/>
  <c r="G287" i="121"/>
  <c r="E12" i="100" s="1"/>
  <c r="G149" i="120"/>
  <c r="G25"/>
  <c r="G138"/>
  <c r="G43"/>
  <c r="K181" i="101"/>
  <c r="G269" i="120"/>
  <c r="G188"/>
  <c r="G487"/>
  <c r="G127"/>
  <c r="G410"/>
  <c r="G326"/>
  <c r="G74"/>
  <c r="G338"/>
  <c r="G156"/>
  <c r="G446"/>
  <c r="G267"/>
  <c r="G173"/>
  <c r="G426"/>
  <c r="G57"/>
  <c r="G282"/>
  <c r="G382"/>
  <c r="G435"/>
  <c r="G327"/>
  <c r="G351"/>
  <c r="G18"/>
  <c r="G100"/>
  <c r="G204"/>
  <c r="G36"/>
  <c r="G12"/>
  <c r="G417"/>
  <c r="G467"/>
  <c r="G395"/>
  <c r="G301"/>
  <c r="G211"/>
  <c r="G103"/>
  <c r="G201"/>
  <c r="G452"/>
  <c r="G469"/>
  <c r="G225"/>
  <c r="G367"/>
  <c r="G136"/>
  <c r="G311" i="121"/>
  <c r="E13" i="100" s="1"/>
  <c r="G431" i="120"/>
  <c r="G408"/>
  <c r="G280"/>
  <c r="G141"/>
  <c r="G174"/>
  <c r="G317"/>
  <c r="G344"/>
  <c r="G476"/>
  <c r="G176"/>
  <c r="G111"/>
  <c r="G251"/>
  <c r="G137"/>
  <c r="G203"/>
  <c r="G385"/>
  <c r="G145"/>
  <c r="G151"/>
  <c r="G68"/>
  <c r="G350"/>
  <c r="G35"/>
  <c r="G333"/>
  <c r="G424"/>
  <c r="G284"/>
  <c r="G443"/>
  <c r="G298"/>
  <c r="G112"/>
  <c r="G383"/>
  <c r="G375" s="1"/>
  <c r="G76"/>
  <c r="G274"/>
  <c r="G78"/>
  <c r="G21"/>
  <c r="G411"/>
  <c r="G401"/>
  <c r="G90"/>
  <c r="G429"/>
  <c r="G224"/>
  <c r="G332"/>
  <c r="G177"/>
  <c r="G228"/>
  <c r="G457"/>
  <c r="G172"/>
  <c r="G389"/>
  <c r="G185" i="121"/>
  <c r="E9" i="100" s="1"/>
  <c r="G370" i="120"/>
  <c r="G261"/>
  <c r="G302"/>
  <c r="G154"/>
  <c r="G359"/>
  <c r="G53"/>
  <c r="G309"/>
  <c r="G404"/>
  <c r="G146"/>
  <c r="G10"/>
  <c r="G144"/>
  <c r="G444"/>
  <c r="G230"/>
  <c r="G98"/>
  <c r="G134"/>
  <c r="G45"/>
  <c r="G313"/>
  <c r="G24"/>
  <c r="G157"/>
  <c r="G268"/>
  <c r="G101"/>
  <c r="G277"/>
  <c r="G252"/>
  <c r="G346"/>
  <c r="G307"/>
  <c r="G23"/>
  <c r="G270"/>
  <c r="G212" i="121"/>
  <c r="E10" i="100" s="1"/>
  <c r="G275" i="120"/>
  <c r="G116"/>
  <c r="G468"/>
  <c r="G418"/>
  <c r="G366"/>
  <c r="G158"/>
  <c r="G300"/>
  <c r="G37"/>
  <c r="G358"/>
  <c r="G458"/>
  <c r="G118"/>
  <c r="G488"/>
  <c r="G478"/>
  <c r="G246"/>
  <c r="G308"/>
  <c r="G220"/>
  <c r="G110"/>
  <c r="G489"/>
  <c r="G33"/>
  <c r="G51"/>
  <c r="G124"/>
  <c r="G473"/>
  <c r="G391"/>
  <c r="G402"/>
  <c r="G207"/>
  <c r="G386"/>
  <c r="G190"/>
  <c r="G31"/>
  <c r="G436"/>
  <c r="G279"/>
  <c r="G130"/>
  <c r="G334"/>
  <c r="G254"/>
  <c r="G66"/>
  <c r="G278"/>
  <c r="G405"/>
  <c r="G97"/>
  <c r="G290"/>
  <c r="G70"/>
  <c r="G285"/>
  <c r="G198"/>
  <c r="G403"/>
  <c r="G398"/>
  <c r="G123"/>
  <c r="G324"/>
  <c r="G94"/>
  <c r="G189"/>
  <c r="G60"/>
  <c r="G14"/>
  <c r="G232"/>
  <c r="G163"/>
  <c r="G40"/>
  <c r="G6"/>
  <c r="G381"/>
  <c r="G88"/>
  <c r="G461"/>
  <c r="G414"/>
  <c r="G152"/>
  <c r="G168"/>
  <c r="G264"/>
  <c r="G450"/>
  <c r="G273"/>
  <c r="G200"/>
  <c r="G305"/>
  <c r="G260"/>
  <c r="G296"/>
  <c r="G55"/>
  <c r="G239"/>
  <c r="G236" s="1"/>
  <c r="G79"/>
  <c r="G407"/>
  <c r="G485"/>
  <c r="G354"/>
  <c r="G27"/>
  <c r="G356"/>
  <c r="G73"/>
  <c r="G422"/>
  <c r="G342"/>
  <c r="G460"/>
  <c r="G256"/>
  <c r="G421"/>
  <c r="G170"/>
  <c r="G314"/>
  <c r="G129"/>
  <c r="G155"/>
  <c r="G257"/>
  <c r="G113"/>
  <c r="G159"/>
  <c r="G288"/>
  <c r="G243"/>
  <c r="G456"/>
  <c r="G233"/>
  <c r="G179"/>
  <c r="G54"/>
  <c r="G425"/>
  <c r="G304"/>
  <c r="G486"/>
  <c r="G453"/>
  <c r="G96"/>
  <c r="G451"/>
  <c r="G167"/>
  <c r="G107"/>
  <c r="G38"/>
  <c r="G77"/>
  <c r="G374"/>
  <c r="G249"/>
  <c r="G392"/>
  <c r="G59"/>
  <c r="G33" i="121"/>
  <c r="G438"/>
  <c r="E17" i="100" s="1"/>
  <c r="G22" i="120"/>
  <c r="G169"/>
  <c r="G142"/>
  <c r="G131" s="1"/>
  <c r="G393"/>
  <c r="G360"/>
  <c r="G213"/>
  <c r="G433"/>
  <c r="G11"/>
  <c r="G184"/>
  <c r="G472"/>
  <c r="G248"/>
  <c r="G293"/>
  <c r="G483"/>
  <c r="G372"/>
  <c r="G297"/>
  <c r="G365"/>
  <c r="G82"/>
  <c r="G322"/>
  <c r="D5" i="100"/>
  <c r="F4" i="121"/>
  <c r="G175" i="120"/>
  <c r="G197"/>
  <c r="G62"/>
  <c r="G223"/>
  <c r="G331"/>
  <c r="G455"/>
  <c r="G227"/>
  <c r="G352"/>
  <c r="G376"/>
  <c r="G26"/>
  <c r="G399"/>
  <c r="G353"/>
  <c r="G247"/>
  <c r="G491"/>
  <c r="G415"/>
  <c r="G226"/>
  <c r="G245"/>
  <c r="G229"/>
  <c r="G166"/>
  <c r="G108"/>
  <c r="G363"/>
  <c r="G44"/>
  <c r="G102"/>
  <c r="G92" s="1"/>
  <c r="G253"/>
  <c r="G83"/>
  <c r="G340"/>
  <c r="G315"/>
  <c r="G470"/>
  <c r="G71"/>
  <c r="G106"/>
  <c r="G475"/>
  <c r="G434"/>
  <c r="G153"/>
  <c r="G466"/>
  <c r="G87"/>
  <c r="G262"/>
  <c r="G329"/>
  <c r="G259"/>
  <c r="G330"/>
  <c r="G114"/>
  <c r="G449"/>
  <c r="G132"/>
  <c r="G47"/>
  <c r="G214"/>
  <c r="G183"/>
  <c r="G438"/>
  <c r="G336"/>
  <c r="G104"/>
  <c r="G191"/>
  <c r="G388"/>
  <c r="G320"/>
  <c r="G394"/>
  <c r="G442"/>
  <c r="G276"/>
  <c r="G479"/>
  <c r="G28"/>
  <c r="G16"/>
  <c r="G56"/>
  <c r="G271"/>
  <c r="G182"/>
  <c r="G135"/>
  <c r="G462"/>
  <c r="G390"/>
  <c r="G240"/>
  <c r="G61"/>
  <c r="G95"/>
  <c r="G165"/>
  <c r="G8"/>
  <c r="G91"/>
  <c r="G48"/>
  <c r="G39"/>
  <c r="G373"/>
  <c r="G379"/>
  <c r="G52"/>
  <c r="G369"/>
  <c r="G319"/>
  <c r="G234"/>
  <c r="G231"/>
  <c r="G371"/>
  <c r="G454"/>
  <c r="G34"/>
  <c r="G125"/>
  <c r="G318"/>
  <c r="G291"/>
  <c r="G477"/>
  <c r="G13"/>
  <c r="G196"/>
  <c r="G143"/>
  <c r="G105"/>
  <c r="G124" i="121"/>
  <c r="E7" i="100" s="1"/>
  <c r="G92" i="121"/>
  <c r="E6" i="100" s="1"/>
  <c r="G158" i="121"/>
  <c r="E8" i="100" s="1"/>
  <c r="G368" i="120"/>
  <c r="G194"/>
  <c r="G208"/>
  <c r="G490"/>
  <c r="G205"/>
  <c r="G250"/>
  <c r="G72"/>
  <c r="G65" s="1"/>
  <c r="G357"/>
  <c r="G348"/>
  <c r="G265"/>
  <c r="G306"/>
  <c r="G447"/>
  <c r="G80"/>
  <c r="G325"/>
  <c r="G474"/>
  <c r="G63"/>
  <c r="G93"/>
  <c r="G310"/>
  <c r="G219"/>
  <c r="G222"/>
  <c r="G303"/>
  <c r="G192"/>
  <c r="G217"/>
  <c r="G216"/>
  <c r="G237"/>
  <c r="G139"/>
  <c r="G186"/>
  <c r="G195"/>
  <c r="G283"/>
  <c r="G416"/>
  <c r="G30"/>
  <c r="G49"/>
  <c r="G17"/>
  <c r="G378"/>
  <c r="G289"/>
  <c r="G218"/>
  <c r="G337"/>
  <c r="G364"/>
  <c r="G206"/>
  <c r="G86"/>
  <c r="G185"/>
  <c r="G119"/>
  <c r="G463"/>
  <c r="G193"/>
  <c r="G161"/>
  <c r="G287"/>
  <c r="G164"/>
  <c r="G432"/>
  <c r="G380"/>
  <c r="G440"/>
  <c r="G162"/>
  <c r="G343"/>
  <c r="G464"/>
  <c r="G295"/>
  <c r="G212"/>
  <c r="G439"/>
  <c r="G148"/>
  <c r="G180"/>
  <c r="G480"/>
  <c r="G9"/>
  <c r="G482"/>
  <c r="G178"/>
  <c r="G126"/>
  <c r="G255"/>
  <c r="G341"/>
  <c r="G441"/>
  <c r="G242"/>
  <c r="G69"/>
  <c r="G41"/>
  <c r="G355"/>
  <c r="G311"/>
  <c r="G362"/>
  <c r="G292"/>
  <c r="G140"/>
  <c r="G117"/>
  <c r="G412"/>
  <c r="G150"/>
  <c r="G328"/>
  <c r="G244"/>
  <c r="G396"/>
  <c r="G272"/>
  <c r="G29"/>
  <c r="G437"/>
  <c r="G347"/>
  <c r="G481"/>
  <c r="G99"/>
  <c r="G58"/>
  <c r="G128"/>
  <c r="G321"/>
  <c r="G263"/>
  <c r="G115"/>
  <c r="G64"/>
  <c r="G258"/>
  <c r="G397"/>
  <c r="G345"/>
  <c r="G81"/>
  <c r="G67"/>
  <c r="G46"/>
  <c r="G199"/>
  <c r="G133"/>
  <c r="G181"/>
  <c r="G209"/>
  <c r="G221"/>
  <c r="G361"/>
  <c r="G465"/>
  <c r="G160"/>
  <c r="G448"/>
  <c r="G19"/>
  <c r="G412" i="121"/>
  <c r="E16" i="100" s="1"/>
  <c r="G354" i="121"/>
  <c r="E14" i="100" s="1"/>
  <c r="G349" i="120"/>
  <c r="G266"/>
  <c r="G413"/>
  <c r="G75"/>
  <c r="G316"/>
  <c r="G471"/>
  <c r="G238"/>
  <c r="G420"/>
  <c r="G384"/>
  <c r="G419"/>
  <c r="G42"/>
  <c r="G430"/>
  <c r="G387"/>
  <c r="G294"/>
  <c r="G286"/>
  <c r="G187"/>
  <c r="G85"/>
  <c r="G423"/>
  <c r="G122"/>
  <c r="G377"/>
  <c r="G400"/>
  <c r="G323"/>
  <c r="G50"/>
  <c r="G484"/>
  <c r="G84"/>
  <c r="G281"/>
  <c r="G445"/>
  <c r="G171"/>
  <c r="G299"/>
  <c r="G20"/>
  <c r="G15"/>
  <c r="G210"/>
  <c r="G120"/>
  <c r="G312"/>
  <c r="G89"/>
  <c r="G459"/>
  <c r="G406"/>
  <c r="G335"/>
  <c r="G241"/>
  <c r="G235"/>
  <c r="G109"/>
  <c r="G215"/>
  <c r="G339"/>
  <c r="G121"/>
  <c r="G427"/>
  <c r="G409"/>
  <c r="G147"/>
  <c r="G202"/>
  <c r="G7"/>
  <c r="G161" i="101"/>
  <c r="H3" i="120"/>
  <c r="I3" i="121"/>
  <c r="E5" i="100"/>
  <c r="H224" i="121"/>
  <c r="H36"/>
  <c r="H493"/>
  <c r="H427"/>
  <c r="H357"/>
  <c r="H134"/>
  <c r="H498"/>
  <c r="H432"/>
  <c r="H366"/>
  <c r="H300"/>
  <c r="H234"/>
  <c r="H131"/>
  <c r="H450"/>
  <c r="H384"/>
  <c r="H318"/>
  <c r="H252"/>
  <c r="H186"/>
  <c r="H119"/>
  <c r="H54"/>
  <c r="H484"/>
  <c r="H418"/>
  <c r="H351"/>
  <c r="H285"/>
  <c r="H216"/>
  <c r="H149"/>
  <c r="H83"/>
  <c r="H18"/>
  <c r="H278"/>
  <c r="H167"/>
  <c r="H19"/>
  <c r="H8"/>
  <c r="H48"/>
  <c r="H497"/>
  <c r="H431"/>
  <c r="H361"/>
  <c r="H150"/>
  <c r="H16"/>
  <c r="H436"/>
  <c r="H370"/>
  <c r="H304"/>
  <c r="H238"/>
  <c r="H151"/>
  <c r="H454"/>
  <c r="H388"/>
  <c r="H322"/>
  <c r="H256"/>
  <c r="H190"/>
  <c r="H123"/>
  <c r="H58"/>
  <c r="H488"/>
  <c r="H422"/>
  <c r="H356"/>
  <c r="H290"/>
  <c r="H220"/>
  <c r="H153"/>
  <c r="H87"/>
  <c r="H22"/>
  <c r="H286"/>
  <c r="H175"/>
  <c r="H31"/>
  <c r="H24"/>
  <c r="H60"/>
  <c r="H12"/>
  <c r="H435"/>
  <c r="H365"/>
  <c r="H171"/>
  <c r="H37"/>
  <c r="H441"/>
  <c r="H374"/>
  <c r="H308"/>
  <c r="H242"/>
  <c r="H164"/>
  <c r="H458"/>
  <c r="H392"/>
  <c r="H326"/>
  <c r="H260"/>
  <c r="H194"/>
  <c r="H128"/>
  <c r="H62"/>
  <c r="H492"/>
  <c r="H426"/>
  <c r="H360"/>
  <c r="H294"/>
  <c r="H228"/>
  <c r="H157"/>
  <c r="H91"/>
  <c r="H26"/>
  <c r="H291"/>
  <c r="H183"/>
  <c r="H40"/>
  <c r="H32"/>
  <c r="H72"/>
  <c r="H28"/>
  <c r="H440"/>
  <c r="H369"/>
  <c r="H188"/>
  <c r="H49"/>
  <c r="H445"/>
  <c r="H378"/>
  <c r="H313"/>
  <c r="H247"/>
  <c r="H168"/>
  <c r="H462"/>
  <c r="H396"/>
  <c r="H330"/>
  <c r="H264"/>
  <c r="H198"/>
  <c r="H132"/>
  <c r="H66"/>
  <c r="H496"/>
  <c r="H430"/>
  <c r="H364"/>
  <c r="H298"/>
  <c r="H232"/>
  <c r="H162"/>
  <c r="H96"/>
  <c r="H30"/>
  <c r="H299"/>
  <c r="H196"/>
  <c r="H44"/>
  <c r="H45"/>
  <c r="H80"/>
  <c r="H41"/>
  <c r="H444"/>
  <c r="H373"/>
  <c r="H204"/>
  <c r="H61"/>
  <c r="H449"/>
  <c r="H382"/>
  <c r="H317"/>
  <c r="H251"/>
  <c r="H176"/>
  <c r="H466"/>
  <c r="H400"/>
  <c r="H334"/>
  <c r="H268"/>
  <c r="H202"/>
  <c r="H136"/>
  <c r="H70"/>
  <c r="H434"/>
  <c r="H368"/>
  <c r="H302"/>
  <c r="H236"/>
  <c r="H166"/>
  <c r="H100"/>
  <c r="H35"/>
  <c r="H303"/>
  <c r="H200"/>
  <c r="H56"/>
  <c r="H57"/>
  <c r="H93"/>
  <c r="H53"/>
  <c r="H448"/>
  <c r="H377"/>
  <c r="H217"/>
  <c r="H77"/>
  <c r="H453"/>
  <c r="H387"/>
  <c r="H321"/>
  <c r="H255"/>
  <c r="H189"/>
  <c r="H470"/>
  <c r="H404"/>
  <c r="H338"/>
  <c r="H272"/>
  <c r="H206"/>
  <c r="H140"/>
  <c r="H74"/>
  <c r="H9"/>
  <c r="H439"/>
  <c r="H372"/>
  <c r="H306"/>
  <c r="H240"/>
  <c r="H170"/>
  <c r="H104"/>
  <c r="H39"/>
  <c r="H69"/>
  <c r="H381"/>
  <c r="H391"/>
  <c r="H474"/>
  <c r="H210"/>
  <c r="H443"/>
  <c r="H174"/>
  <c r="H213"/>
  <c r="H85"/>
  <c r="H106"/>
  <c r="H263"/>
  <c r="H346"/>
  <c r="H82"/>
  <c r="H315"/>
  <c r="H47"/>
  <c r="H94"/>
  <c r="H394"/>
  <c r="H399"/>
  <c r="H483"/>
  <c r="H219"/>
  <c r="H152"/>
  <c r="H86"/>
  <c r="H21"/>
  <c r="H451"/>
  <c r="H385"/>
  <c r="H319"/>
  <c r="H253"/>
  <c r="H182"/>
  <c r="H116"/>
  <c r="H51"/>
  <c r="H328"/>
  <c r="H225"/>
  <c r="H97"/>
  <c r="H110"/>
  <c r="H142"/>
  <c r="H114"/>
  <c r="H464"/>
  <c r="H398"/>
  <c r="H270"/>
  <c r="H135"/>
  <c r="H469"/>
  <c r="H403"/>
  <c r="H337"/>
  <c r="H271"/>
  <c r="H205"/>
  <c r="H487"/>
  <c r="H421"/>
  <c r="H355"/>
  <c r="H289"/>
  <c r="H223"/>
  <c r="H156"/>
  <c r="H90"/>
  <c r="H25"/>
  <c r="H455"/>
  <c r="H389"/>
  <c r="H323"/>
  <c r="H257"/>
  <c r="H187"/>
  <c r="H120"/>
  <c r="H55"/>
  <c r="H332"/>
  <c r="H237"/>
  <c r="H101"/>
  <c r="H122"/>
  <c r="H154"/>
  <c r="H127"/>
  <c r="H468"/>
  <c r="H402"/>
  <c r="H282"/>
  <c r="H172"/>
  <c r="H473"/>
  <c r="H407"/>
  <c r="H341"/>
  <c r="H275"/>
  <c r="H209"/>
  <c r="H491"/>
  <c r="H425"/>
  <c r="H359"/>
  <c r="H293"/>
  <c r="H227"/>
  <c r="H161"/>
  <c r="H95"/>
  <c r="H29"/>
  <c r="H459"/>
  <c r="H393"/>
  <c r="H327"/>
  <c r="H261"/>
  <c r="H191"/>
  <c r="H125"/>
  <c r="H59"/>
  <c r="H340"/>
  <c r="H241"/>
  <c r="H109"/>
  <c r="H139"/>
  <c r="H163"/>
  <c r="H143"/>
  <c r="H472"/>
  <c r="H406"/>
  <c r="H295"/>
  <c r="H27"/>
  <c r="H478"/>
  <c r="H411"/>
  <c r="H345"/>
  <c r="H279"/>
  <c r="H214"/>
  <c r="H495"/>
  <c r="H429"/>
  <c r="H363"/>
  <c r="H297"/>
  <c r="H231"/>
  <c r="H165"/>
  <c r="H99"/>
  <c r="H34"/>
  <c r="H463"/>
  <c r="H397"/>
  <c r="H331"/>
  <c r="H265"/>
  <c r="H195"/>
  <c r="H129"/>
  <c r="H63"/>
  <c r="H344"/>
  <c r="H250"/>
  <c r="H121"/>
  <c r="H147"/>
  <c r="H312"/>
  <c r="H105"/>
  <c r="H229"/>
  <c r="H325"/>
  <c r="H408"/>
  <c r="H144"/>
  <c r="H376"/>
  <c r="H108"/>
  <c r="H76"/>
  <c r="H456"/>
  <c r="H461"/>
  <c r="H197"/>
  <c r="H280"/>
  <c r="H17"/>
  <c r="H249"/>
  <c r="H324"/>
  <c r="H130"/>
  <c r="H258"/>
  <c r="H333"/>
  <c r="H417"/>
  <c r="H208"/>
  <c r="H73"/>
  <c r="H89"/>
  <c r="H259"/>
  <c r="H342"/>
  <c r="H78"/>
  <c r="H310"/>
  <c r="H43"/>
  <c r="H81"/>
  <c r="H386"/>
  <c r="H395"/>
  <c r="H479"/>
  <c r="H215"/>
  <c r="H447"/>
  <c r="H178"/>
  <c r="H221"/>
  <c r="H102"/>
  <c r="H118"/>
  <c r="H267"/>
  <c r="H350"/>
  <c r="H64"/>
  <c r="H452"/>
  <c r="H457"/>
  <c r="H193"/>
  <c r="H276"/>
  <c r="H13"/>
  <c r="H244"/>
  <c r="H316"/>
  <c r="H117"/>
  <c r="H245"/>
  <c r="H329"/>
  <c r="H413"/>
  <c r="H148"/>
  <c r="H380"/>
  <c r="H112"/>
  <c r="H84"/>
  <c r="H460"/>
  <c r="H465"/>
  <c r="H201"/>
  <c r="H284"/>
  <c r="H179"/>
  <c r="H155"/>
  <c r="H477"/>
  <c r="H410"/>
  <c r="H307"/>
  <c r="H52"/>
  <c r="H482"/>
  <c r="H416"/>
  <c r="H349"/>
  <c r="H283"/>
  <c r="H218"/>
  <c r="H499"/>
  <c r="H433"/>
  <c r="H367"/>
  <c r="H301"/>
  <c r="H235"/>
  <c r="H169"/>
  <c r="H103"/>
  <c r="H38"/>
  <c r="H467"/>
  <c r="H401"/>
  <c r="H335"/>
  <c r="H269"/>
  <c r="H199"/>
  <c r="H133"/>
  <c r="H67"/>
  <c r="H352"/>
  <c r="H254"/>
  <c r="H126"/>
  <c r="H160"/>
  <c r="H192"/>
  <c r="H184"/>
  <c r="H481"/>
  <c r="H415"/>
  <c r="H320"/>
  <c r="H68"/>
  <c r="H486"/>
  <c r="H420"/>
  <c r="H353"/>
  <c r="H288"/>
  <c r="H222"/>
  <c r="H20"/>
  <c r="H437"/>
  <c r="H371"/>
  <c r="H305"/>
  <c r="H239"/>
  <c r="H173"/>
  <c r="H107"/>
  <c r="H42"/>
  <c r="H471"/>
  <c r="H405"/>
  <c r="H339"/>
  <c r="H273"/>
  <c r="H203"/>
  <c r="H137"/>
  <c r="H71"/>
  <c r="H390"/>
  <c r="H262"/>
  <c r="H138"/>
  <c r="H180"/>
  <c r="H233"/>
  <c r="H11"/>
  <c r="H485"/>
  <c r="H419"/>
  <c r="H336"/>
  <c r="H88"/>
  <c r="H490"/>
  <c r="H424"/>
  <c r="H358"/>
  <c r="H292"/>
  <c r="H226"/>
  <c r="H65"/>
  <c r="H442"/>
  <c r="H375"/>
  <c r="H309"/>
  <c r="H243"/>
  <c r="H177"/>
  <c r="H111"/>
  <c r="H46"/>
  <c r="H476"/>
  <c r="H409"/>
  <c r="H343"/>
  <c r="H277"/>
  <c r="H207"/>
  <c r="H141"/>
  <c r="H75"/>
  <c r="H6"/>
  <c r="H266"/>
  <c r="H146"/>
  <c r="H7"/>
  <c r="H10"/>
  <c r="H23"/>
  <c r="H489"/>
  <c r="H423"/>
  <c r="H348"/>
  <c r="H113"/>
  <c r="H494"/>
  <c r="H428"/>
  <c r="H362"/>
  <c r="H296"/>
  <c r="H230"/>
  <c r="H98"/>
  <c r="H446"/>
  <c r="H379"/>
  <c r="H314"/>
  <c r="H248"/>
  <c r="H181"/>
  <c r="H115"/>
  <c r="H50"/>
  <c r="H480"/>
  <c r="H414"/>
  <c r="H347"/>
  <c r="H281"/>
  <c r="H211"/>
  <c r="H145"/>
  <c r="H79"/>
  <c r="H14"/>
  <c r="H274"/>
  <c r="H159"/>
  <c r="H15"/>
  <c r="D136" i="119"/>
  <c r="H137" s="1"/>
  <c r="J189"/>
  <c r="X187" i="85"/>
  <c r="I162"/>
  <c r="L195" i="119"/>
  <c r="D168"/>
  <c r="H218" i="63"/>
  <c r="AR231" s="1"/>
  <c r="G218"/>
  <c r="I218" s="1"/>
  <c r="D140"/>
  <c r="E139"/>
  <c r="L198" i="119"/>
  <c r="D171"/>
  <c r="H172" s="1"/>
  <c r="N199" s="1"/>
  <c r="J166"/>
  <c r="H167"/>
  <c r="N194" s="1"/>
  <c r="G428" i="120"/>
  <c r="H139" i="119"/>
  <c r="J138"/>
  <c r="J167"/>
  <c r="K167" s="1"/>
  <c r="L167" s="1"/>
  <c r="H168"/>
  <c r="N195" s="1"/>
  <c r="I163" i="85"/>
  <c r="Y187"/>
  <c r="K141" i="119"/>
  <c r="L141" s="1"/>
  <c r="W187" i="85"/>
  <c r="I161"/>
  <c r="H193" i="101"/>
  <c r="N220" s="1"/>
  <c r="J192"/>
  <c r="E140" i="48"/>
  <c r="D141"/>
  <c r="I39" i="63"/>
  <c r="B39"/>
  <c r="C40"/>
  <c r="D146" i="57"/>
  <c r="D147" s="1"/>
  <c r="D148" s="1"/>
  <c r="D149" s="1"/>
  <c r="D150" s="1"/>
  <c r="D151" s="1"/>
  <c r="D152" s="1"/>
  <c r="D153" s="1"/>
  <c r="D154" s="1"/>
  <c r="D155" s="1"/>
  <c r="D156" s="1"/>
  <c r="D157" s="1"/>
  <c r="D158" s="1"/>
  <c r="D159" s="1"/>
  <c r="D160" s="1"/>
  <c r="D161" s="1"/>
  <c r="D162" s="1"/>
  <c r="E145"/>
  <c r="D169" i="119"/>
  <c r="L196"/>
  <c r="F5" i="120"/>
  <c r="K3"/>
  <c r="D170" i="119"/>
  <c r="L197"/>
  <c r="D135"/>
  <c r="H129"/>
  <c r="J188"/>
  <c r="G125" i="45"/>
  <c r="G126"/>
  <c r="G129" s="1"/>
  <c r="G125" i="57"/>
  <c r="G126"/>
  <c r="G129" s="1"/>
  <c r="K190" i="119"/>
  <c r="C163"/>
  <c r="G164" s="1"/>
  <c r="M191" s="1"/>
  <c r="G129"/>
  <c r="G130" s="1"/>
  <c r="C135"/>
  <c r="I188"/>
  <c r="E143" i="39"/>
  <c r="D144"/>
  <c r="D146" i="45"/>
  <c r="D147" s="1"/>
  <c r="D148" s="1"/>
  <c r="D149" s="1"/>
  <c r="D150" s="1"/>
  <c r="D151" s="1"/>
  <c r="D152" s="1"/>
  <c r="D153" s="1"/>
  <c r="D154" s="1"/>
  <c r="D155" s="1"/>
  <c r="D156" s="1"/>
  <c r="D157" s="1"/>
  <c r="D158" s="1"/>
  <c r="D159" s="1"/>
  <c r="D160" s="1"/>
  <c r="D161" s="1"/>
  <c r="D162" s="1"/>
  <c r="E145"/>
  <c r="K191" i="119"/>
  <c r="C164"/>
  <c r="G165" s="1"/>
  <c r="M192" s="1"/>
  <c r="D164"/>
  <c r="L191"/>
  <c r="B219" i="63"/>
  <c r="AS226"/>
  <c r="H162" i="101"/>
  <c r="D181"/>
  <c r="H161"/>
  <c r="L181"/>
  <c r="K194"/>
  <c r="L194" s="1"/>
  <c r="C182"/>
  <c r="K190"/>
  <c r="L190" s="1"/>
  <c r="L191"/>
  <c r="K191"/>
  <c r="K214"/>
  <c r="C187"/>
  <c r="G181"/>
  <c r="K195"/>
  <c r="L195" s="1"/>
  <c r="K215"/>
  <c r="C188"/>
  <c r="G189" s="1"/>
  <c r="M216" s="1"/>
  <c r="D141" i="60" l="1"/>
  <c r="E140"/>
  <c r="D141" i="54"/>
  <c r="E140"/>
  <c r="E140" i="51"/>
  <c r="D141"/>
  <c r="H24" i="100"/>
  <c r="G4" i="121"/>
  <c r="D4" i="100"/>
  <c r="D3" s="1"/>
  <c r="F5" i="121"/>
  <c r="I208" i="119"/>
  <c r="H475" i="121"/>
  <c r="F18" i="100" s="1"/>
  <c r="H140" i="120"/>
  <c r="H90"/>
  <c r="H345"/>
  <c r="H219"/>
  <c r="H481"/>
  <c r="H124"/>
  <c r="H208"/>
  <c r="H332"/>
  <c r="H459"/>
  <c r="H21"/>
  <c r="H407"/>
  <c r="H115"/>
  <c r="H322"/>
  <c r="H136"/>
  <c r="H440"/>
  <c r="H38"/>
  <c r="H220"/>
  <c r="H31"/>
  <c r="H51"/>
  <c r="H195"/>
  <c r="H337"/>
  <c r="H49"/>
  <c r="H110"/>
  <c r="H364"/>
  <c r="H176"/>
  <c r="H448"/>
  <c r="H466"/>
  <c r="H278"/>
  <c r="H223"/>
  <c r="H406"/>
  <c r="H271"/>
  <c r="H392"/>
  <c r="H151"/>
  <c r="H247"/>
  <c r="H328"/>
  <c r="H99"/>
  <c r="H309"/>
  <c r="H83"/>
  <c r="H462"/>
  <c r="H109"/>
  <c r="H359"/>
  <c r="H458"/>
  <c r="H152"/>
  <c r="H189"/>
  <c r="H250"/>
  <c r="H388"/>
  <c r="H190"/>
  <c r="H433"/>
  <c r="H403"/>
  <c r="H188"/>
  <c r="H292"/>
  <c r="H239"/>
  <c r="H353"/>
  <c r="H235"/>
  <c r="H376"/>
  <c r="H318"/>
  <c r="H489"/>
  <c r="H344"/>
  <c r="H255"/>
  <c r="H490"/>
  <c r="H91"/>
  <c r="H446"/>
  <c r="H413"/>
  <c r="H15"/>
  <c r="H142"/>
  <c r="H76"/>
  <c r="H319"/>
  <c r="H169"/>
  <c r="H307"/>
  <c r="H485"/>
  <c r="H117"/>
  <c r="H233"/>
  <c r="H59"/>
  <c r="H29"/>
  <c r="H323"/>
  <c r="H94"/>
  <c r="H202"/>
  <c r="H160"/>
  <c r="H390"/>
  <c r="H141"/>
  <c r="H300"/>
  <c r="H442"/>
  <c r="H343"/>
  <c r="H177"/>
  <c r="H225"/>
  <c r="H6"/>
  <c r="H84"/>
  <c r="H13"/>
  <c r="H331"/>
  <c r="H477"/>
  <c r="H150"/>
  <c r="H41"/>
  <c r="H384"/>
  <c r="H381"/>
  <c r="H158"/>
  <c r="H262"/>
  <c r="H283"/>
  <c r="H363"/>
  <c r="H260"/>
  <c r="H313"/>
  <c r="H25"/>
  <c r="H420"/>
  <c r="H320"/>
  <c r="H434"/>
  <c r="H464"/>
  <c r="H166"/>
  <c r="H113"/>
  <c r="H57"/>
  <c r="H315"/>
  <c r="H400"/>
  <c r="H404"/>
  <c r="H389"/>
  <c r="H441"/>
  <c r="H7"/>
  <c r="H417"/>
  <c r="H348"/>
  <c r="H145"/>
  <c r="H275"/>
  <c r="H52"/>
  <c r="H410"/>
  <c r="H23"/>
  <c r="H64"/>
  <c r="H273"/>
  <c r="H85"/>
  <c r="H350"/>
  <c r="H98"/>
  <c r="H396"/>
  <c r="H317"/>
  <c r="H108"/>
  <c r="H456"/>
  <c r="H75"/>
  <c r="H196"/>
  <c r="H374"/>
  <c r="H11"/>
  <c r="H386"/>
  <c r="H212"/>
  <c r="H186"/>
  <c r="H213"/>
  <c r="H231"/>
  <c r="H379"/>
  <c r="H88"/>
  <c r="H370"/>
  <c r="H146"/>
  <c r="H70"/>
  <c r="H197"/>
  <c r="H305"/>
  <c r="H393"/>
  <c r="H422"/>
  <c r="H269"/>
  <c r="H447"/>
  <c r="H430"/>
  <c r="H54"/>
  <c r="H356"/>
  <c r="H205"/>
  <c r="H276"/>
  <c r="H432"/>
  <c r="H358"/>
  <c r="H179"/>
  <c r="H96"/>
  <c r="H130"/>
  <c r="H170"/>
  <c r="H71"/>
  <c r="H484"/>
  <c r="H330"/>
  <c r="H469"/>
  <c r="H378"/>
  <c r="H365"/>
  <c r="H399"/>
  <c r="H209"/>
  <c r="H240"/>
  <c r="H69"/>
  <c r="H224"/>
  <c r="H431"/>
  <c r="H347"/>
  <c r="H183"/>
  <c r="H153"/>
  <c r="H342"/>
  <c r="H401"/>
  <c r="H93"/>
  <c r="H298"/>
  <c r="H78"/>
  <c r="H106"/>
  <c r="H217"/>
  <c r="H144"/>
  <c r="H164"/>
  <c r="H303"/>
  <c r="H227"/>
  <c r="H444"/>
  <c r="H243"/>
  <c r="H211"/>
  <c r="H424"/>
  <c r="H426"/>
  <c r="H460"/>
  <c r="H103"/>
  <c r="H143"/>
  <c r="H486"/>
  <c r="H279"/>
  <c r="H242"/>
  <c r="H289"/>
  <c r="H427"/>
  <c r="H418"/>
  <c r="H277"/>
  <c r="H361"/>
  <c r="H308"/>
  <c r="H100"/>
  <c r="H102"/>
  <c r="H463"/>
  <c r="H415"/>
  <c r="H421"/>
  <c r="H387"/>
  <c r="H157"/>
  <c r="H116"/>
  <c r="H58"/>
  <c r="H168"/>
  <c r="H291"/>
  <c r="H321"/>
  <c r="H154"/>
  <c r="H230"/>
  <c r="H293"/>
  <c r="H9"/>
  <c r="H246"/>
  <c r="H80"/>
  <c r="H156"/>
  <c r="H33"/>
  <c r="H470"/>
  <c r="H367"/>
  <c r="H288"/>
  <c r="H373"/>
  <c r="H18"/>
  <c r="H301"/>
  <c r="H127"/>
  <c r="H81"/>
  <c r="H56"/>
  <c r="H67"/>
  <c r="H394"/>
  <c r="H119"/>
  <c r="H251"/>
  <c r="H63"/>
  <c r="H101"/>
  <c r="H468"/>
  <c r="H159"/>
  <c r="H295"/>
  <c r="H194"/>
  <c r="H474"/>
  <c r="H184"/>
  <c r="H454"/>
  <c r="H333"/>
  <c r="H193"/>
  <c r="H203"/>
  <c r="H192"/>
  <c r="H221"/>
  <c r="H346"/>
  <c r="H245"/>
  <c r="H163"/>
  <c r="H241"/>
  <c r="H244"/>
  <c r="H453"/>
  <c r="H229"/>
  <c r="H411"/>
  <c r="H397"/>
  <c r="H395"/>
  <c r="H215"/>
  <c r="H68"/>
  <c r="H112"/>
  <c r="H26"/>
  <c r="H304"/>
  <c r="H349"/>
  <c r="H171"/>
  <c r="H366"/>
  <c r="H335"/>
  <c r="H174"/>
  <c r="H173"/>
  <c r="H12"/>
  <c r="H267"/>
  <c r="H282"/>
  <c r="H60"/>
  <c r="H439"/>
  <c r="H66"/>
  <c r="H325"/>
  <c r="H465"/>
  <c r="H327"/>
  <c r="H258"/>
  <c r="H40"/>
  <c r="H455"/>
  <c r="H191"/>
  <c r="H286"/>
  <c r="H87"/>
  <c r="H53"/>
  <c r="H290"/>
  <c r="H132"/>
  <c r="H14"/>
  <c r="H104"/>
  <c r="H357"/>
  <c r="H312"/>
  <c r="H19"/>
  <c r="H62"/>
  <c r="H380"/>
  <c r="H37"/>
  <c r="H296"/>
  <c r="H284"/>
  <c r="H472"/>
  <c r="H257"/>
  <c r="H336"/>
  <c r="H355"/>
  <c r="H214"/>
  <c r="H405"/>
  <c r="H39"/>
  <c r="H311"/>
  <c r="H285"/>
  <c r="H372"/>
  <c r="H274"/>
  <c r="H135"/>
  <c r="H89"/>
  <c r="H259"/>
  <c r="H200"/>
  <c r="H73"/>
  <c r="H341"/>
  <c r="H77"/>
  <c r="H402"/>
  <c r="H264"/>
  <c r="H222"/>
  <c r="H27"/>
  <c r="H147"/>
  <c r="H43"/>
  <c r="H297"/>
  <c r="H82"/>
  <c r="H449"/>
  <c r="H198"/>
  <c r="H46"/>
  <c r="H47"/>
  <c r="H187"/>
  <c r="H398"/>
  <c r="H480"/>
  <c r="H351"/>
  <c r="H478"/>
  <c r="H452"/>
  <c r="H383"/>
  <c r="H408"/>
  <c r="H8"/>
  <c r="H28"/>
  <c r="H253"/>
  <c r="H435"/>
  <c r="H237"/>
  <c r="H461"/>
  <c r="H172"/>
  <c r="H137"/>
  <c r="H20"/>
  <c r="H467"/>
  <c r="H450"/>
  <c r="H17"/>
  <c r="H123"/>
  <c r="H36"/>
  <c r="H272"/>
  <c r="H487"/>
  <c r="H409"/>
  <c r="H252"/>
  <c r="H443"/>
  <c r="H471"/>
  <c r="H45"/>
  <c r="H149"/>
  <c r="H302"/>
  <c r="H436"/>
  <c r="H35"/>
  <c r="H416"/>
  <c r="H204"/>
  <c r="H10"/>
  <c r="H475"/>
  <c r="H280"/>
  <c r="H86"/>
  <c r="H338"/>
  <c r="H155"/>
  <c r="H438"/>
  <c r="H42"/>
  <c r="H74"/>
  <c r="H385"/>
  <c r="H412"/>
  <c r="H425"/>
  <c r="H138"/>
  <c r="H22"/>
  <c r="H201"/>
  <c r="H32"/>
  <c r="H326"/>
  <c r="H423"/>
  <c r="H128"/>
  <c r="H139"/>
  <c r="H377"/>
  <c r="H34"/>
  <c r="H44"/>
  <c r="H306"/>
  <c r="H248"/>
  <c r="H133"/>
  <c r="H268"/>
  <c r="H175"/>
  <c r="H266"/>
  <c r="H249"/>
  <c r="H491"/>
  <c r="H340"/>
  <c r="H479"/>
  <c r="H457"/>
  <c r="H199"/>
  <c r="H185"/>
  <c r="H437"/>
  <c r="H360"/>
  <c r="H125"/>
  <c r="H167"/>
  <c r="H105"/>
  <c r="H339"/>
  <c r="H419"/>
  <c r="H180"/>
  <c r="H72"/>
  <c r="H120"/>
  <c r="H95"/>
  <c r="H254"/>
  <c r="H126"/>
  <c r="H114"/>
  <c r="H445"/>
  <c r="H207"/>
  <c r="H129"/>
  <c r="H50"/>
  <c r="H316"/>
  <c r="H55"/>
  <c r="H218"/>
  <c r="H270"/>
  <c r="H362"/>
  <c r="H161"/>
  <c r="H476"/>
  <c r="H165"/>
  <c r="H122"/>
  <c r="H451"/>
  <c r="H216"/>
  <c r="H281"/>
  <c r="H263"/>
  <c r="H391"/>
  <c r="H118"/>
  <c r="H232"/>
  <c r="H162"/>
  <c r="H473"/>
  <c r="H228"/>
  <c r="H369"/>
  <c r="H483"/>
  <c r="H226"/>
  <c r="H382"/>
  <c r="H414"/>
  <c r="H134"/>
  <c r="H261"/>
  <c r="H310"/>
  <c r="H368"/>
  <c r="H299"/>
  <c r="H16"/>
  <c r="H181"/>
  <c r="H30"/>
  <c r="H429"/>
  <c r="H352"/>
  <c r="H324"/>
  <c r="H48"/>
  <c r="H488"/>
  <c r="H79"/>
  <c r="H287"/>
  <c r="H148"/>
  <c r="H178"/>
  <c r="H334"/>
  <c r="H371"/>
  <c r="H238"/>
  <c r="H354"/>
  <c r="H97"/>
  <c r="H265"/>
  <c r="H482"/>
  <c r="H294"/>
  <c r="H107"/>
  <c r="H182"/>
  <c r="H210"/>
  <c r="H234"/>
  <c r="H329"/>
  <c r="H61"/>
  <c r="H256"/>
  <c r="H121"/>
  <c r="H206"/>
  <c r="H111"/>
  <c r="H24"/>
  <c r="H314"/>
  <c r="H287" i="121"/>
  <c r="F12" i="100" s="1"/>
  <c r="H311" i="121"/>
  <c r="F13" i="100" s="1"/>
  <c r="H33" i="121"/>
  <c r="H124"/>
  <c r="F7" i="100" s="1"/>
  <c r="H246" i="121"/>
  <c r="F11" i="100" s="1"/>
  <c r="H185" i="121"/>
  <c r="F9" i="100" s="1"/>
  <c r="I224" i="121"/>
  <c r="I36"/>
  <c r="I493"/>
  <c r="I427"/>
  <c r="I357"/>
  <c r="I134"/>
  <c r="I498"/>
  <c r="I432"/>
  <c r="I366"/>
  <c r="I300"/>
  <c r="I234"/>
  <c r="I131"/>
  <c r="I450"/>
  <c r="I384"/>
  <c r="I318"/>
  <c r="I252"/>
  <c r="I186"/>
  <c r="I119"/>
  <c r="I54"/>
  <c r="I484"/>
  <c r="I418"/>
  <c r="I351"/>
  <c r="I285"/>
  <c r="I216"/>
  <c r="I149"/>
  <c r="I83"/>
  <c r="I18"/>
  <c r="I278"/>
  <c r="I167"/>
  <c r="I19"/>
  <c r="I8"/>
  <c r="I48"/>
  <c r="I497"/>
  <c r="I431"/>
  <c r="I361"/>
  <c r="I150"/>
  <c r="I16"/>
  <c r="I436"/>
  <c r="I370"/>
  <c r="I304"/>
  <c r="I238"/>
  <c r="I151"/>
  <c r="I454"/>
  <c r="I388"/>
  <c r="I322"/>
  <c r="I256"/>
  <c r="I190"/>
  <c r="I123"/>
  <c r="I58"/>
  <c r="I488"/>
  <c r="I422"/>
  <c r="I356"/>
  <c r="I290"/>
  <c r="I220"/>
  <c r="I153"/>
  <c r="I87"/>
  <c r="I22"/>
  <c r="I286"/>
  <c r="I175"/>
  <c r="I31"/>
  <c r="I24"/>
  <c r="I60"/>
  <c r="I12"/>
  <c r="I435"/>
  <c r="I365"/>
  <c r="I171"/>
  <c r="I37"/>
  <c r="I441"/>
  <c r="I374"/>
  <c r="I308"/>
  <c r="I242"/>
  <c r="I164"/>
  <c r="I458"/>
  <c r="I392"/>
  <c r="I326"/>
  <c r="I260"/>
  <c r="I194"/>
  <c r="I128"/>
  <c r="I62"/>
  <c r="I492"/>
  <c r="I426"/>
  <c r="I360"/>
  <c r="I294"/>
  <c r="I228"/>
  <c r="I157"/>
  <c r="I91"/>
  <c r="I26"/>
  <c r="I291"/>
  <c r="I183"/>
  <c r="I40"/>
  <c r="I32"/>
  <c r="I72"/>
  <c r="I28"/>
  <c r="I440"/>
  <c r="I369"/>
  <c r="I188"/>
  <c r="I49"/>
  <c r="I445"/>
  <c r="I378"/>
  <c r="I313"/>
  <c r="I247"/>
  <c r="I168"/>
  <c r="I462"/>
  <c r="I396"/>
  <c r="I330"/>
  <c r="I264"/>
  <c r="I198"/>
  <c r="I132"/>
  <c r="I66"/>
  <c r="I496"/>
  <c r="I430"/>
  <c r="I364"/>
  <c r="I298"/>
  <c r="I232"/>
  <c r="I162"/>
  <c r="I96"/>
  <c r="I30"/>
  <c r="I299"/>
  <c r="I196"/>
  <c r="I44"/>
  <c r="I45"/>
  <c r="I80"/>
  <c r="I41"/>
  <c r="I444"/>
  <c r="I373"/>
  <c r="I204"/>
  <c r="I61"/>
  <c r="I449"/>
  <c r="I382"/>
  <c r="I317"/>
  <c r="I251"/>
  <c r="I176"/>
  <c r="I466"/>
  <c r="I400"/>
  <c r="I334"/>
  <c r="I268"/>
  <c r="I202"/>
  <c r="I136"/>
  <c r="I70"/>
  <c r="I434"/>
  <c r="I368"/>
  <c r="I302"/>
  <c r="I236"/>
  <c r="I166"/>
  <c r="I100"/>
  <c r="I35"/>
  <c r="I303"/>
  <c r="I200"/>
  <c r="I56"/>
  <c r="I57"/>
  <c r="I93"/>
  <c r="I53"/>
  <c r="I448"/>
  <c r="I377"/>
  <c r="I217"/>
  <c r="I77"/>
  <c r="I453"/>
  <c r="I387"/>
  <c r="I321"/>
  <c r="I255"/>
  <c r="I189"/>
  <c r="I470"/>
  <c r="I404"/>
  <c r="I338"/>
  <c r="I272"/>
  <c r="I206"/>
  <c r="I140"/>
  <c r="I74"/>
  <c r="I9"/>
  <c r="I439"/>
  <c r="I372"/>
  <c r="I306"/>
  <c r="I240"/>
  <c r="I170"/>
  <c r="I104"/>
  <c r="I39"/>
  <c r="I312"/>
  <c r="I105"/>
  <c r="I229"/>
  <c r="I325"/>
  <c r="I408"/>
  <c r="I144"/>
  <c r="I376"/>
  <c r="I108"/>
  <c r="I76"/>
  <c r="I456"/>
  <c r="I461"/>
  <c r="I197"/>
  <c r="I280"/>
  <c r="I17"/>
  <c r="I249"/>
  <c r="I324"/>
  <c r="I130"/>
  <c r="I258"/>
  <c r="I333"/>
  <c r="I417"/>
  <c r="I208"/>
  <c r="I73"/>
  <c r="I89"/>
  <c r="I259"/>
  <c r="I342"/>
  <c r="I78"/>
  <c r="I310"/>
  <c r="I43"/>
  <c r="I81"/>
  <c r="I386"/>
  <c r="I395"/>
  <c r="I479"/>
  <c r="I215"/>
  <c r="I447"/>
  <c r="I178"/>
  <c r="I221"/>
  <c r="I102"/>
  <c r="I118"/>
  <c r="I267"/>
  <c r="I350"/>
  <c r="I64"/>
  <c r="I452"/>
  <c r="I457"/>
  <c r="I193"/>
  <c r="I276"/>
  <c r="I13"/>
  <c r="I244"/>
  <c r="I316"/>
  <c r="I117"/>
  <c r="I245"/>
  <c r="I329"/>
  <c r="I413"/>
  <c r="I148"/>
  <c r="I380"/>
  <c r="I112"/>
  <c r="I84"/>
  <c r="I460"/>
  <c r="I465"/>
  <c r="I201"/>
  <c r="I284"/>
  <c r="I179"/>
  <c r="I155"/>
  <c r="I477"/>
  <c r="I410"/>
  <c r="I307"/>
  <c r="I52"/>
  <c r="I482"/>
  <c r="I416"/>
  <c r="I349"/>
  <c r="I283"/>
  <c r="I218"/>
  <c r="I499"/>
  <c r="I433"/>
  <c r="I367"/>
  <c r="I301"/>
  <c r="I235"/>
  <c r="I169"/>
  <c r="I103"/>
  <c r="I38"/>
  <c r="I467"/>
  <c r="I401"/>
  <c r="I335"/>
  <c r="I269"/>
  <c r="I199"/>
  <c r="I133"/>
  <c r="I67"/>
  <c r="I352"/>
  <c r="I254"/>
  <c r="I126"/>
  <c r="I160"/>
  <c r="I192"/>
  <c r="I184"/>
  <c r="I481"/>
  <c r="I415"/>
  <c r="I320"/>
  <c r="I68"/>
  <c r="I486"/>
  <c r="I420"/>
  <c r="I353"/>
  <c r="I288"/>
  <c r="I222"/>
  <c r="I20"/>
  <c r="I437"/>
  <c r="I371"/>
  <c r="I305"/>
  <c r="I239"/>
  <c r="I173"/>
  <c r="I107"/>
  <c r="I42"/>
  <c r="I471"/>
  <c r="I405"/>
  <c r="I339"/>
  <c r="I273"/>
  <c r="I203"/>
  <c r="I137"/>
  <c r="I71"/>
  <c r="I390"/>
  <c r="I262"/>
  <c r="I138"/>
  <c r="I180"/>
  <c r="I233"/>
  <c r="I11"/>
  <c r="I485"/>
  <c r="I419"/>
  <c r="I336"/>
  <c r="I88"/>
  <c r="I490"/>
  <c r="I424"/>
  <c r="I358"/>
  <c r="I292"/>
  <c r="I226"/>
  <c r="I65"/>
  <c r="I442"/>
  <c r="I375"/>
  <c r="I309"/>
  <c r="I243"/>
  <c r="I177"/>
  <c r="I111"/>
  <c r="I46"/>
  <c r="I476"/>
  <c r="I409"/>
  <c r="I343"/>
  <c r="I277"/>
  <c r="I207"/>
  <c r="I69"/>
  <c r="I381"/>
  <c r="I391"/>
  <c r="I474"/>
  <c r="I210"/>
  <c r="I443"/>
  <c r="I174"/>
  <c r="I213"/>
  <c r="I85"/>
  <c r="I106"/>
  <c r="I263"/>
  <c r="I346"/>
  <c r="I82"/>
  <c r="I315"/>
  <c r="I47"/>
  <c r="I94"/>
  <c r="I394"/>
  <c r="I399"/>
  <c r="I483"/>
  <c r="I219"/>
  <c r="I152"/>
  <c r="I86"/>
  <c r="I21"/>
  <c r="I451"/>
  <c r="I385"/>
  <c r="I319"/>
  <c r="I253"/>
  <c r="I182"/>
  <c r="I116"/>
  <c r="I51"/>
  <c r="I328"/>
  <c r="I225"/>
  <c r="I97"/>
  <c r="I110"/>
  <c r="I142"/>
  <c r="I114"/>
  <c r="I464"/>
  <c r="I398"/>
  <c r="I270"/>
  <c r="I135"/>
  <c r="I469"/>
  <c r="I403"/>
  <c r="I337"/>
  <c r="I271"/>
  <c r="I205"/>
  <c r="I487"/>
  <c r="I421"/>
  <c r="I355"/>
  <c r="I289"/>
  <c r="I223"/>
  <c r="I156"/>
  <c r="I90"/>
  <c r="I25"/>
  <c r="I455"/>
  <c r="I389"/>
  <c r="I323"/>
  <c r="I257"/>
  <c r="I187"/>
  <c r="I120"/>
  <c r="I55"/>
  <c r="I332"/>
  <c r="I237"/>
  <c r="I101"/>
  <c r="I122"/>
  <c r="I154"/>
  <c r="I127"/>
  <c r="I468"/>
  <c r="I402"/>
  <c r="I282"/>
  <c r="I172"/>
  <c r="I473"/>
  <c r="I407"/>
  <c r="I341"/>
  <c r="I275"/>
  <c r="I209"/>
  <c r="I491"/>
  <c r="I425"/>
  <c r="I359"/>
  <c r="I293"/>
  <c r="I227"/>
  <c r="I161"/>
  <c r="I95"/>
  <c r="I29"/>
  <c r="I459"/>
  <c r="I393"/>
  <c r="I327"/>
  <c r="I261"/>
  <c r="I191"/>
  <c r="I125"/>
  <c r="I59"/>
  <c r="I340"/>
  <c r="I241"/>
  <c r="I109"/>
  <c r="I139"/>
  <c r="I163"/>
  <c r="I143"/>
  <c r="I472"/>
  <c r="I406"/>
  <c r="I295"/>
  <c r="I27"/>
  <c r="I478"/>
  <c r="I411"/>
  <c r="I345"/>
  <c r="I279"/>
  <c r="I214"/>
  <c r="I495"/>
  <c r="I429"/>
  <c r="I363"/>
  <c r="I297"/>
  <c r="I231"/>
  <c r="I165"/>
  <c r="I99"/>
  <c r="I34"/>
  <c r="I463"/>
  <c r="I397"/>
  <c r="I331"/>
  <c r="I265"/>
  <c r="I195"/>
  <c r="I129"/>
  <c r="I63"/>
  <c r="I344"/>
  <c r="I250"/>
  <c r="I121"/>
  <c r="I147"/>
  <c r="I14"/>
  <c r="I75"/>
  <c r="I7"/>
  <c r="I423"/>
  <c r="I428"/>
  <c r="I98"/>
  <c r="I248"/>
  <c r="I480"/>
  <c r="I211"/>
  <c r="I274"/>
  <c r="I6"/>
  <c r="I10"/>
  <c r="I348"/>
  <c r="I362"/>
  <c r="I446"/>
  <c r="I181"/>
  <c r="I414"/>
  <c r="I145"/>
  <c r="I159"/>
  <c r="I266"/>
  <c r="I23"/>
  <c r="I113"/>
  <c r="I296"/>
  <c r="I379"/>
  <c r="I115"/>
  <c r="I347"/>
  <c r="I79"/>
  <c r="I15"/>
  <c r="I141"/>
  <c r="I146"/>
  <c r="I489"/>
  <c r="I494"/>
  <c r="I230"/>
  <c r="I314"/>
  <c r="I50"/>
  <c r="I281"/>
  <c r="H438"/>
  <c r="F17" i="100" s="1"/>
  <c r="H383" i="121"/>
  <c r="F15" i="100" s="1"/>
  <c r="H158" i="121"/>
  <c r="F8" i="100" s="1"/>
  <c r="H92" i="121"/>
  <c r="F6" i="100" s="1"/>
  <c r="G5" i="121"/>
  <c r="E4" i="100"/>
  <c r="H412" i="121"/>
  <c r="F16" i="100" s="1"/>
  <c r="H354" i="121"/>
  <c r="F14" i="100" s="1"/>
  <c r="H212" i="121"/>
  <c r="F10" i="100" s="1"/>
  <c r="B155" i="45"/>
  <c r="B153"/>
  <c r="B158"/>
  <c r="I159"/>
  <c r="B151"/>
  <c r="I138"/>
  <c r="I126"/>
  <c r="B162"/>
  <c r="I143"/>
  <c r="I149"/>
  <c r="I133"/>
  <c r="I145"/>
  <c r="B152"/>
  <c r="I161"/>
  <c r="I135"/>
  <c r="I154"/>
  <c r="B147"/>
  <c r="B160"/>
  <c r="I136"/>
  <c r="B149"/>
  <c r="I131"/>
  <c r="I141"/>
  <c r="I139"/>
  <c r="B156"/>
  <c r="I137"/>
  <c r="B154"/>
  <c r="I127"/>
  <c r="B145"/>
  <c r="I130"/>
  <c r="I148"/>
  <c r="I155"/>
  <c r="I134"/>
  <c r="B150"/>
  <c r="I160"/>
  <c r="B159"/>
  <c r="I162"/>
  <c r="B148"/>
  <c r="I144"/>
  <c r="B146"/>
  <c r="I158"/>
  <c r="I147"/>
  <c r="I142"/>
  <c r="B161"/>
  <c r="I153"/>
  <c r="I152"/>
  <c r="I129"/>
  <c r="I151"/>
  <c r="I150"/>
  <c r="I125"/>
  <c r="B157"/>
  <c r="I128"/>
  <c r="I132"/>
  <c r="I157"/>
  <c r="I140"/>
  <c r="I156"/>
  <c r="I146"/>
  <c r="D155" i="119"/>
  <c r="H136"/>
  <c r="G219" i="63"/>
  <c r="I219" s="1"/>
  <c r="H219"/>
  <c r="AS231" s="1"/>
  <c r="D165" i="119"/>
  <c r="L192"/>
  <c r="E144" i="39"/>
  <c r="D145"/>
  <c r="B220" i="63"/>
  <c r="AT226"/>
  <c r="K192" i="101"/>
  <c r="L192" s="1"/>
  <c r="J164" i="119"/>
  <c r="H165"/>
  <c r="N192" s="1"/>
  <c r="G136"/>
  <c r="C155"/>
  <c r="C156" s="1"/>
  <c r="I132" i="57"/>
  <c r="I159"/>
  <c r="B146"/>
  <c r="AG229" s="1"/>
  <c r="B145"/>
  <c r="AF229" s="1"/>
  <c r="B149"/>
  <c r="AJ229" s="1"/>
  <c r="I142"/>
  <c r="I125"/>
  <c r="I124" s="1"/>
  <c r="G128" s="1"/>
  <c r="I151"/>
  <c r="I130"/>
  <c r="I128"/>
  <c r="B153"/>
  <c r="AN229" s="1"/>
  <c r="B148"/>
  <c r="AI229" s="1"/>
  <c r="I146"/>
  <c r="I143"/>
  <c r="B159"/>
  <c r="AT229" s="1"/>
  <c r="I137"/>
  <c r="I150"/>
  <c r="I133"/>
  <c r="I138"/>
  <c r="I147"/>
  <c r="I156"/>
  <c r="I153"/>
  <c r="I162"/>
  <c r="B158"/>
  <c r="AS229" s="1"/>
  <c r="I141"/>
  <c r="I148"/>
  <c r="I145"/>
  <c r="I136"/>
  <c r="B160"/>
  <c r="AU229" s="1"/>
  <c r="B147"/>
  <c r="AH229" s="1"/>
  <c r="I140"/>
  <c r="I154"/>
  <c r="I152"/>
  <c r="I134"/>
  <c r="I160"/>
  <c r="B152"/>
  <c r="AM229" s="1"/>
  <c r="B150"/>
  <c r="AK229" s="1"/>
  <c r="I144"/>
  <c r="I126"/>
  <c r="I127"/>
  <c r="B157"/>
  <c r="AR229" s="1"/>
  <c r="I158"/>
  <c r="I161"/>
  <c r="B156"/>
  <c r="AQ229" s="1"/>
  <c r="I139"/>
  <c r="B162"/>
  <c r="AW229" s="1"/>
  <c r="I135"/>
  <c r="B154"/>
  <c r="AO229" s="1"/>
  <c r="I131"/>
  <c r="I155"/>
  <c r="I149"/>
  <c r="B151"/>
  <c r="AL229" s="1"/>
  <c r="I129"/>
  <c r="B155"/>
  <c r="AP229" s="1"/>
  <c r="I157"/>
  <c r="B161"/>
  <c r="AV229" s="1"/>
  <c r="J170" i="119"/>
  <c r="K170" s="1"/>
  <c r="L170" s="1"/>
  <c r="H171"/>
  <c r="N198" s="1"/>
  <c r="J169"/>
  <c r="H170"/>
  <c r="N197" s="1"/>
  <c r="B40" i="63"/>
  <c r="C41"/>
  <c r="I40"/>
  <c r="K138" i="119"/>
  <c r="K155" s="1"/>
  <c r="K166"/>
  <c r="L166" s="1"/>
  <c r="D141" i="63"/>
  <c r="E140"/>
  <c r="D163" i="119"/>
  <c r="H164" s="1"/>
  <c r="N191" s="1"/>
  <c r="L190"/>
  <c r="J207" i="101"/>
  <c r="G4" i="120"/>
  <c r="H23" i="100"/>
  <c r="I209" i="119"/>
  <c r="D142" i="48"/>
  <c r="E141"/>
  <c r="J168" i="119"/>
  <c r="K168" s="1"/>
  <c r="L168" s="1"/>
  <c r="H169"/>
  <c r="N196" s="1"/>
  <c r="J155"/>
  <c r="G188" i="101"/>
  <c r="M215" s="1"/>
  <c r="C207"/>
  <c r="H181"/>
  <c r="G182" s="1"/>
  <c r="D187"/>
  <c r="L214"/>
  <c r="D188"/>
  <c r="H189" s="1"/>
  <c r="N216" s="1"/>
  <c r="L215"/>
  <c r="D142" i="60" l="1"/>
  <c r="E141"/>
  <c r="D142" i="51"/>
  <c r="E141"/>
  <c r="D142" i="54"/>
  <c r="E141"/>
  <c r="H25" i="100"/>
  <c r="H27" s="1"/>
  <c r="H29" s="1"/>
  <c r="K234" i="101"/>
  <c r="G187"/>
  <c r="K207"/>
  <c r="L138" i="119"/>
  <c r="G135"/>
  <c r="C161" s="1"/>
  <c r="I158" i="121"/>
  <c r="G8" i="100" s="1"/>
  <c r="I92" i="121"/>
  <c r="G6" i="100" s="1"/>
  <c r="I354" i="121"/>
  <c r="G14" i="100" s="1"/>
  <c r="I212" i="121"/>
  <c r="G10" i="100" s="1"/>
  <c r="I475" i="121"/>
  <c r="G18" i="100" s="1"/>
  <c r="I287" i="121"/>
  <c r="G12" i="100" s="1"/>
  <c r="I412" i="121"/>
  <c r="G16" i="100" s="1"/>
  <c r="H131" i="120"/>
  <c r="H65"/>
  <c r="I3"/>
  <c r="I46" s="1"/>
  <c r="J3" i="121"/>
  <c r="F5" i="100"/>
  <c r="H4" i="121"/>
  <c r="I33"/>
  <c r="I124"/>
  <c r="G7" i="100" s="1"/>
  <c r="I311" i="121"/>
  <c r="G13" i="100" s="1"/>
  <c r="I246" i="121"/>
  <c r="G11" i="100" s="1"/>
  <c r="I185" i="121"/>
  <c r="G9" i="100" s="1"/>
  <c r="H236" i="120"/>
  <c r="H92"/>
  <c r="H375"/>
  <c r="I438" i="121"/>
  <c r="G17" i="100" s="1"/>
  <c r="I383" i="121"/>
  <c r="G15" i="100" s="1"/>
  <c r="H428" i="120"/>
  <c r="L207" i="101"/>
  <c r="H187"/>
  <c r="G5" i="120"/>
  <c r="L3"/>
  <c r="K169" i="119"/>
  <c r="L169" s="1"/>
  <c r="K189"/>
  <c r="C162"/>
  <c r="G163" s="1"/>
  <c r="M190" s="1"/>
  <c r="G126" i="39"/>
  <c r="G129" s="1"/>
  <c r="G125"/>
  <c r="E3" i="100"/>
  <c r="I124" i="45"/>
  <c r="G128" s="1"/>
  <c r="D142" i="63"/>
  <c r="E141"/>
  <c r="D146" i="39"/>
  <c r="D147" s="1"/>
  <c r="D148" s="1"/>
  <c r="D149" s="1"/>
  <c r="D150" s="1"/>
  <c r="D151" s="1"/>
  <c r="D152" s="1"/>
  <c r="D153" s="1"/>
  <c r="D154" s="1"/>
  <c r="D155" s="1"/>
  <c r="D156" s="1"/>
  <c r="D157" s="1"/>
  <c r="D158" s="1"/>
  <c r="D159" s="1"/>
  <c r="D160" s="1"/>
  <c r="D161" s="1"/>
  <c r="D162" s="1"/>
  <c r="E145"/>
  <c r="D162" i="119"/>
  <c r="H163" s="1"/>
  <c r="N190" s="1"/>
  <c r="L189"/>
  <c r="H135"/>
  <c r="L155"/>
  <c r="AU226" i="63"/>
  <c r="B221"/>
  <c r="K164" i="119"/>
  <c r="G220" i="63"/>
  <c r="I220" s="1"/>
  <c r="H220"/>
  <c r="AT231" s="1"/>
  <c r="J165" i="119"/>
  <c r="K165" s="1"/>
  <c r="L165" s="1"/>
  <c r="H166"/>
  <c r="N193" s="1"/>
  <c r="D143" i="48"/>
  <c r="E142"/>
  <c r="C42" i="63"/>
  <c r="B41"/>
  <c r="I41"/>
  <c r="K188" i="119"/>
  <c r="G155"/>
  <c r="N214" i="101"/>
  <c r="H188"/>
  <c r="N215" s="1"/>
  <c r="D207"/>
  <c r="C208" s="1"/>
  <c r="M214"/>
  <c r="G207"/>
  <c r="I24" i="100"/>
  <c r="K235" i="101"/>
  <c r="E142" i="54" l="1"/>
  <c r="D143"/>
  <c r="E142" i="60"/>
  <c r="D143"/>
  <c r="D143" i="51"/>
  <c r="E142"/>
  <c r="I355" i="120"/>
  <c r="I14"/>
  <c r="I90"/>
  <c r="I328"/>
  <c r="I228"/>
  <c r="I407"/>
  <c r="I269"/>
  <c r="I207"/>
  <c r="I147"/>
  <c r="I265"/>
  <c r="I486"/>
  <c r="I17"/>
  <c r="I43"/>
  <c r="I354"/>
  <c r="I294"/>
  <c r="I39"/>
  <c r="I87"/>
  <c r="I252"/>
  <c r="I197"/>
  <c r="I306"/>
  <c r="I468"/>
  <c r="I279"/>
  <c r="I190"/>
  <c r="I142"/>
  <c r="I54"/>
  <c r="I160"/>
  <c r="I47"/>
  <c r="I186"/>
  <c r="H5" i="121"/>
  <c r="F4" i="100"/>
  <c r="I173" i="120"/>
  <c r="I398"/>
  <c r="I249"/>
  <c r="I93"/>
  <c r="I68"/>
  <c r="I82"/>
  <c r="I208"/>
  <c r="I257"/>
  <c r="I483"/>
  <c r="H4"/>
  <c r="G5" i="100"/>
  <c r="I4" i="121"/>
  <c r="I330" i="120"/>
  <c r="I373"/>
  <c r="I69"/>
  <c r="I221"/>
  <c r="I416"/>
  <c r="I399"/>
  <c r="I85"/>
  <c r="I58"/>
  <c r="I230"/>
  <c r="I446"/>
  <c r="I255"/>
  <c r="I184"/>
  <c r="I272"/>
  <c r="I126"/>
  <c r="I386"/>
  <c r="I333"/>
  <c r="I48"/>
  <c r="I112"/>
  <c r="I334"/>
  <c r="I64"/>
  <c r="I466"/>
  <c r="I220"/>
  <c r="I152"/>
  <c r="I88"/>
  <c r="I349"/>
  <c r="I458"/>
  <c r="I125"/>
  <c r="I488"/>
  <c r="I441"/>
  <c r="I120"/>
  <c r="I491"/>
  <c r="I201"/>
  <c r="I172"/>
  <c r="I261"/>
  <c r="I435"/>
  <c r="I239"/>
  <c r="I383"/>
  <c r="I99"/>
  <c r="I146"/>
  <c r="I35"/>
  <c r="I365"/>
  <c r="I477"/>
  <c r="I122"/>
  <c r="I56"/>
  <c r="I275"/>
  <c r="I331"/>
  <c r="I254"/>
  <c r="I174"/>
  <c r="I114"/>
  <c r="I7"/>
  <c r="I53"/>
  <c r="I339"/>
  <c r="I313"/>
  <c r="I426"/>
  <c r="I305"/>
  <c r="I31"/>
  <c r="I465"/>
  <c r="I440"/>
  <c r="I103"/>
  <c r="I225"/>
  <c r="I437"/>
  <c r="I148"/>
  <c r="I382"/>
  <c r="I250"/>
  <c r="I176"/>
  <c r="I287"/>
  <c r="I156"/>
  <c r="I431"/>
  <c r="I213"/>
  <c r="I26"/>
  <c r="I136"/>
  <c r="I16"/>
  <c r="I164"/>
  <c r="I308"/>
  <c r="I143"/>
  <c r="I199"/>
  <c r="I271"/>
  <c r="I387"/>
  <c r="I299"/>
  <c r="I117"/>
  <c r="I128"/>
  <c r="I484"/>
  <c r="I390"/>
  <c r="I234"/>
  <c r="I479"/>
  <c r="I192"/>
  <c r="I318"/>
  <c r="I341"/>
  <c r="I298"/>
  <c r="I352"/>
  <c r="I336"/>
  <c r="I24"/>
  <c r="I150"/>
  <c r="I175"/>
  <c r="I137"/>
  <c r="I227"/>
  <c r="I436"/>
  <c r="I469"/>
  <c r="I8"/>
  <c r="I340"/>
  <c r="I25"/>
  <c r="I480"/>
  <c r="I21"/>
  <c r="I124"/>
  <c r="I332"/>
  <c r="I489"/>
  <c r="I451"/>
  <c r="I259"/>
  <c r="I409"/>
  <c r="I29"/>
  <c r="I424"/>
  <c r="I105"/>
  <c r="I326"/>
  <c r="I94"/>
  <c r="I166"/>
  <c r="I406"/>
  <c r="I188"/>
  <c r="I38"/>
  <c r="I233"/>
  <c r="I15"/>
  <c r="I59"/>
  <c r="I215"/>
  <c r="I266"/>
  <c r="I463"/>
  <c r="I319"/>
  <c r="I60"/>
  <c r="I253"/>
  <c r="I459"/>
  <c r="I400"/>
  <c r="I245"/>
  <c r="I144"/>
  <c r="I359"/>
  <c r="I81"/>
  <c r="I357"/>
  <c r="I113"/>
  <c r="I178"/>
  <c r="I196"/>
  <c r="I187"/>
  <c r="I67"/>
  <c r="I285"/>
  <c r="I297"/>
  <c r="I219"/>
  <c r="I295"/>
  <c r="I301"/>
  <c r="I212"/>
  <c r="I198"/>
  <c r="I307"/>
  <c r="I353"/>
  <c r="I384"/>
  <c r="I118"/>
  <c r="I487"/>
  <c r="I329"/>
  <c r="I322"/>
  <c r="I293"/>
  <c r="I189"/>
  <c r="I474"/>
  <c r="I408"/>
  <c r="I450"/>
  <c r="I282"/>
  <c r="I32"/>
  <c r="I411"/>
  <c r="I246"/>
  <c r="I240"/>
  <c r="I36"/>
  <c r="I362"/>
  <c r="I223"/>
  <c r="I200"/>
  <c r="I351"/>
  <c r="I317"/>
  <c r="I263"/>
  <c r="I403"/>
  <c r="I169"/>
  <c r="I267"/>
  <c r="I420"/>
  <c r="I170"/>
  <c r="I347"/>
  <c r="I248"/>
  <c r="I366"/>
  <c r="I404"/>
  <c r="I154"/>
  <c r="I277"/>
  <c r="I445"/>
  <c r="I119"/>
  <c r="I444"/>
  <c r="I423"/>
  <c r="I335"/>
  <c r="I461"/>
  <c r="I421"/>
  <c r="I309"/>
  <c r="I28"/>
  <c r="I10"/>
  <c r="I209"/>
  <c r="I289"/>
  <c r="I460"/>
  <c r="I405"/>
  <c r="I343"/>
  <c r="I129"/>
  <c r="I78"/>
  <c r="I55"/>
  <c r="I185"/>
  <c r="I155"/>
  <c r="I194"/>
  <c r="I292"/>
  <c r="I180"/>
  <c r="I396"/>
  <c r="I303"/>
  <c r="I6"/>
  <c r="I337"/>
  <c r="I130"/>
  <c r="I19"/>
  <c r="I379"/>
  <c r="I251"/>
  <c r="I490"/>
  <c r="I61"/>
  <c r="I312"/>
  <c r="I135"/>
  <c r="I361"/>
  <c r="I210"/>
  <c r="I138"/>
  <c r="I63"/>
  <c r="I34"/>
  <c r="I367"/>
  <c r="I392"/>
  <c r="I452"/>
  <c r="I224"/>
  <c r="I385"/>
  <c r="I481"/>
  <c r="I41"/>
  <c r="I268"/>
  <c r="I470"/>
  <c r="I109"/>
  <c r="I376"/>
  <c r="I107"/>
  <c r="I418"/>
  <c r="I264"/>
  <c r="I378"/>
  <c r="I76"/>
  <c r="I241"/>
  <c r="I44"/>
  <c r="I57"/>
  <c r="I338"/>
  <c r="I454"/>
  <c r="I71"/>
  <c r="I320"/>
  <c r="I290"/>
  <c r="I323"/>
  <c r="I472"/>
  <c r="I482"/>
  <c r="I288"/>
  <c r="I476"/>
  <c r="I206"/>
  <c r="I360"/>
  <c r="I134"/>
  <c r="I283"/>
  <c r="I380"/>
  <c r="I157"/>
  <c r="I226"/>
  <c r="I151"/>
  <c r="I430"/>
  <c r="I415"/>
  <c r="I108"/>
  <c r="I167"/>
  <c r="I121"/>
  <c r="I433"/>
  <c r="I381"/>
  <c r="I327"/>
  <c r="I284"/>
  <c r="I73"/>
  <c r="I171"/>
  <c r="I161"/>
  <c r="I80"/>
  <c r="I346"/>
  <c r="I123"/>
  <c r="I247"/>
  <c r="I33"/>
  <c r="I356"/>
  <c r="I397"/>
  <c r="I49"/>
  <c r="I321"/>
  <c r="I18"/>
  <c r="I140"/>
  <c r="I22"/>
  <c r="I304"/>
  <c r="I358"/>
  <c r="I456"/>
  <c r="I344"/>
  <c r="I270"/>
  <c r="I243"/>
  <c r="I232"/>
  <c r="I467"/>
  <c r="I101"/>
  <c r="I204"/>
  <c r="I273"/>
  <c r="I256"/>
  <c r="I205"/>
  <c r="I235"/>
  <c r="I374"/>
  <c r="I274"/>
  <c r="I324"/>
  <c r="I111"/>
  <c r="I191"/>
  <c r="I363"/>
  <c r="I11"/>
  <c r="I278"/>
  <c r="I310"/>
  <c r="I115"/>
  <c r="I139"/>
  <c r="I12"/>
  <c r="I364"/>
  <c r="I372"/>
  <c r="I79"/>
  <c r="I97"/>
  <c r="I348"/>
  <c r="I432"/>
  <c r="I104"/>
  <c r="I412"/>
  <c r="I342"/>
  <c r="I276"/>
  <c r="I168"/>
  <c r="I179"/>
  <c r="I419"/>
  <c r="I158"/>
  <c r="I127"/>
  <c r="I102"/>
  <c r="I23"/>
  <c r="I422"/>
  <c r="I280"/>
  <c r="I455"/>
  <c r="I395"/>
  <c r="I238"/>
  <c r="I262"/>
  <c r="I27"/>
  <c r="I394"/>
  <c r="I214"/>
  <c r="I442"/>
  <c r="I95"/>
  <c r="I9"/>
  <c r="I316"/>
  <c r="I471"/>
  <c r="I244"/>
  <c r="I369"/>
  <c r="I106"/>
  <c r="I133"/>
  <c r="I425"/>
  <c r="I296"/>
  <c r="I110"/>
  <c r="I222"/>
  <c r="I368"/>
  <c r="I45"/>
  <c r="I163"/>
  <c r="I50"/>
  <c r="I116"/>
  <c r="I132"/>
  <c r="I325"/>
  <c r="I281"/>
  <c r="I350"/>
  <c r="I72"/>
  <c r="I229"/>
  <c r="I83"/>
  <c r="I195"/>
  <c r="I96"/>
  <c r="I438"/>
  <c r="I414"/>
  <c r="I485"/>
  <c r="I439"/>
  <c r="I258"/>
  <c r="I371"/>
  <c r="I37"/>
  <c r="I370"/>
  <c r="I193"/>
  <c r="I300"/>
  <c r="I153"/>
  <c r="I389"/>
  <c r="I177"/>
  <c r="I260"/>
  <c r="I393"/>
  <c r="I74"/>
  <c r="I417"/>
  <c r="I434"/>
  <c r="I40"/>
  <c r="I86"/>
  <c r="I77"/>
  <c r="I286"/>
  <c r="I391"/>
  <c r="I242"/>
  <c r="I429"/>
  <c r="I52"/>
  <c r="I149"/>
  <c r="I51"/>
  <c r="I62"/>
  <c r="I211"/>
  <c r="I231"/>
  <c r="I315"/>
  <c r="I84"/>
  <c r="I462"/>
  <c r="I457"/>
  <c r="I449"/>
  <c r="I13"/>
  <c r="I183"/>
  <c r="I475"/>
  <c r="I427"/>
  <c r="I182"/>
  <c r="I464"/>
  <c r="I388"/>
  <c r="I311"/>
  <c r="I42"/>
  <c r="I402"/>
  <c r="I159"/>
  <c r="I478"/>
  <c r="I216"/>
  <c r="I302"/>
  <c r="I100"/>
  <c r="I30"/>
  <c r="I89"/>
  <c r="I448"/>
  <c r="I314"/>
  <c r="I473"/>
  <c r="I401"/>
  <c r="I75"/>
  <c r="I145"/>
  <c r="I91"/>
  <c r="I443"/>
  <c r="I237"/>
  <c r="I453"/>
  <c r="I447"/>
  <c r="I291"/>
  <c r="I98"/>
  <c r="I203"/>
  <c r="I162"/>
  <c r="I218"/>
  <c r="I202"/>
  <c r="I377"/>
  <c r="I20"/>
  <c r="I66"/>
  <c r="I217"/>
  <c r="I70"/>
  <c r="I165"/>
  <c r="I413"/>
  <c r="I410"/>
  <c r="I141"/>
  <c r="I345"/>
  <c r="I181"/>
  <c r="J224" i="121"/>
  <c r="J36"/>
  <c r="J493"/>
  <c r="J427"/>
  <c r="J357"/>
  <c r="J134"/>
  <c r="J498"/>
  <c r="J432"/>
  <c r="J366"/>
  <c r="J300"/>
  <c r="J234"/>
  <c r="J131"/>
  <c r="J450"/>
  <c r="J384"/>
  <c r="J318"/>
  <c r="J252"/>
  <c r="J186"/>
  <c r="J119"/>
  <c r="J54"/>
  <c r="J484"/>
  <c r="J418"/>
  <c r="J351"/>
  <c r="J285"/>
  <c r="J216"/>
  <c r="J149"/>
  <c r="J83"/>
  <c r="J18"/>
  <c r="J278"/>
  <c r="J167"/>
  <c r="J19"/>
  <c r="J8"/>
  <c r="J48"/>
  <c r="J497"/>
  <c r="J431"/>
  <c r="J361"/>
  <c r="J150"/>
  <c r="J16"/>
  <c r="J436"/>
  <c r="J370"/>
  <c r="J304"/>
  <c r="J238"/>
  <c r="J151"/>
  <c r="J454"/>
  <c r="J388"/>
  <c r="J322"/>
  <c r="J256"/>
  <c r="J190"/>
  <c r="J123"/>
  <c r="J58"/>
  <c r="J488"/>
  <c r="J422"/>
  <c r="J356"/>
  <c r="J290"/>
  <c r="J220"/>
  <c r="J153"/>
  <c r="J87"/>
  <c r="J22"/>
  <c r="J286"/>
  <c r="J175"/>
  <c r="J31"/>
  <c r="J24"/>
  <c r="J60"/>
  <c r="J12"/>
  <c r="J435"/>
  <c r="J365"/>
  <c r="J171"/>
  <c r="J37"/>
  <c r="J441"/>
  <c r="J374"/>
  <c r="J308"/>
  <c r="J242"/>
  <c r="J164"/>
  <c r="J458"/>
  <c r="J392"/>
  <c r="J326"/>
  <c r="J260"/>
  <c r="J194"/>
  <c r="J128"/>
  <c r="J62"/>
  <c r="J492"/>
  <c r="J426"/>
  <c r="J360"/>
  <c r="J294"/>
  <c r="J228"/>
  <c r="J157"/>
  <c r="J91"/>
  <c r="J26"/>
  <c r="J291"/>
  <c r="J183"/>
  <c r="J40"/>
  <c r="J32"/>
  <c r="J72"/>
  <c r="J28"/>
  <c r="J440"/>
  <c r="J369"/>
  <c r="J188"/>
  <c r="J49"/>
  <c r="J445"/>
  <c r="J378"/>
  <c r="J313"/>
  <c r="J247"/>
  <c r="J168"/>
  <c r="J462"/>
  <c r="J396"/>
  <c r="J330"/>
  <c r="J264"/>
  <c r="J198"/>
  <c r="J132"/>
  <c r="J66"/>
  <c r="J496"/>
  <c r="J430"/>
  <c r="J364"/>
  <c r="J298"/>
  <c r="J232"/>
  <c r="J162"/>
  <c r="J96"/>
  <c r="J30"/>
  <c r="J299"/>
  <c r="J196"/>
  <c r="J44"/>
  <c r="J45"/>
  <c r="J80"/>
  <c r="J41"/>
  <c r="J444"/>
  <c r="J373"/>
  <c r="J204"/>
  <c r="J61"/>
  <c r="J449"/>
  <c r="J382"/>
  <c r="J317"/>
  <c r="J251"/>
  <c r="J176"/>
  <c r="J466"/>
  <c r="J400"/>
  <c r="J334"/>
  <c r="J268"/>
  <c r="J202"/>
  <c r="J136"/>
  <c r="J70"/>
  <c r="J434"/>
  <c r="J368"/>
  <c r="J302"/>
  <c r="J236"/>
  <c r="J166"/>
  <c r="J100"/>
  <c r="J35"/>
  <c r="J303"/>
  <c r="J200"/>
  <c r="J56"/>
  <c r="J57"/>
  <c r="J93"/>
  <c r="J53"/>
  <c r="J448"/>
  <c r="J377"/>
  <c r="J217"/>
  <c r="J77"/>
  <c r="J453"/>
  <c r="J387"/>
  <c r="J321"/>
  <c r="J255"/>
  <c r="J189"/>
  <c r="J470"/>
  <c r="J404"/>
  <c r="J338"/>
  <c r="J272"/>
  <c r="J206"/>
  <c r="J140"/>
  <c r="J74"/>
  <c r="J9"/>
  <c r="J439"/>
  <c r="J372"/>
  <c r="J306"/>
  <c r="J240"/>
  <c r="J170"/>
  <c r="J104"/>
  <c r="J39"/>
  <c r="J312"/>
  <c r="J208"/>
  <c r="J64"/>
  <c r="J69"/>
  <c r="J105"/>
  <c r="J73"/>
  <c r="J452"/>
  <c r="J381"/>
  <c r="J229"/>
  <c r="J89"/>
  <c r="J457"/>
  <c r="J391"/>
  <c r="J325"/>
  <c r="J259"/>
  <c r="J193"/>
  <c r="J474"/>
  <c r="J408"/>
  <c r="J342"/>
  <c r="J276"/>
  <c r="J210"/>
  <c r="J144"/>
  <c r="J78"/>
  <c r="J13"/>
  <c r="J443"/>
  <c r="J376"/>
  <c r="J310"/>
  <c r="J244"/>
  <c r="J174"/>
  <c r="J108"/>
  <c r="J43"/>
  <c r="J316"/>
  <c r="J213"/>
  <c r="J76"/>
  <c r="J81"/>
  <c r="J117"/>
  <c r="J85"/>
  <c r="J456"/>
  <c r="J386"/>
  <c r="J245"/>
  <c r="J106"/>
  <c r="J461"/>
  <c r="J395"/>
  <c r="J329"/>
  <c r="J263"/>
  <c r="J197"/>
  <c r="J479"/>
  <c r="J413"/>
  <c r="J346"/>
  <c r="J280"/>
  <c r="J215"/>
  <c r="J148"/>
  <c r="J82"/>
  <c r="J17"/>
  <c r="J447"/>
  <c r="J380"/>
  <c r="J315"/>
  <c r="J249"/>
  <c r="J178"/>
  <c r="J112"/>
  <c r="J47"/>
  <c r="J324"/>
  <c r="J221"/>
  <c r="J84"/>
  <c r="J94"/>
  <c r="J130"/>
  <c r="J102"/>
  <c r="J460"/>
  <c r="J394"/>
  <c r="J258"/>
  <c r="J118"/>
  <c r="J465"/>
  <c r="J399"/>
  <c r="J333"/>
  <c r="J267"/>
  <c r="J201"/>
  <c r="J483"/>
  <c r="J417"/>
  <c r="J350"/>
  <c r="J284"/>
  <c r="J219"/>
  <c r="J179"/>
  <c r="J155"/>
  <c r="J477"/>
  <c r="J410"/>
  <c r="J307"/>
  <c r="J52"/>
  <c r="J482"/>
  <c r="J416"/>
  <c r="J349"/>
  <c r="J283"/>
  <c r="J218"/>
  <c r="J499"/>
  <c r="J433"/>
  <c r="J367"/>
  <c r="J301"/>
  <c r="J235"/>
  <c r="J169"/>
  <c r="J103"/>
  <c r="J38"/>
  <c r="J467"/>
  <c r="J401"/>
  <c r="J335"/>
  <c r="J269"/>
  <c r="J199"/>
  <c r="J133"/>
  <c r="J67"/>
  <c r="J352"/>
  <c r="J254"/>
  <c r="J126"/>
  <c r="J160"/>
  <c r="J192"/>
  <c r="J184"/>
  <c r="J481"/>
  <c r="J415"/>
  <c r="J320"/>
  <c r="J68"/>
  <c r="J486"/>
  <c r="J420"/>
  <c r="J353"/>
  <c r="J288"/>
  <c r="J222"/>
  <c r="J20"/>
  <c r="J437"/>
  <c r="J371"/>
  <c r="J305"/>
  <c r="J239"/>
  <c r="J173"/>
  <c r="J107"/>
  <c r="J42"/>
  <c r="J471"/>
  <c r="J405"/>
  <c r="J339"/>
  <c r="J273"/>
  <c r="J203"/>
  <c r="J137"/>
  <c r="J71"/>
  <c r="J390"/>
  <c r="J262"/>
  <c r="J138"/>
  <c r="J180"/>
  <c r="J233"/>
  <c r="J11"/>
  <c r="J485"/>
  <c r="J419"/>
  <c r="J336"/>
  <c r="J88"/>
  <c r="J490"/>
  <c r="J424"/>
  <c r="J358"/>
  <c r="J292"/>
  <c r="J226"/>
  <c r="J65"/>
  <c r="J442"/>
  <c r="J375"/>
  <c r="J309"/>
  <c r="J243"/>
  <c r="J177"/>
  <c r="J111"/>
  <c r="J46"/>
  <c r="J476"/>
  <c r="J409"/>
  <c r="J343"/>
  <c r="J277"/>
  <c r="J207"/>
  <c r="J152"/>
  <c r="J86"/>
  <c r="J21"/>
  <c r="J451"/>
  <c r="J385"/>
  <c r="J319"/>
  <c r="J253"/>
  <c r="J182"/>
  <c r="J116"/>
  <c r="J51"/>
  <c r="J328"/>
  <c r="J225"/>
  <c r="J97"/>
  <c r="J110"/>
  <c r="J142"/>
  <c r="J114"/>
  <c r="J464"/>
  <c r="J398"/>
  <c r="J270"/>
  <c r="J135"/>
  <c r="J469"/>
  <c r="J403"/>
  <c r="J337"/>
  <c r="J271"/>
  <c r="J205"/>
  <c r="J487"/>
  <c r="J421"/>
  <c r="J355"/>
  <c r="J289"/>
  <c r="J223"/>
  <c r="J156"/>
  <c r="J90"/>
  <c r="J25"/>
  <c r="J455"/>
  <c r="J389"/>
  <c r="J323"/>
  <c r="J257"/>
  <c r="J187"/>
  <c r="J120"/>
  <c r="J55"/>
  <c r="J332"/>
  <c r="J237"/>
  <c r="J101"/>
  <c r="J122"/>
  <c r="J154"/>
  <c r="J127"/>
  <c r="J468"/>
  <c r="J402"/>
  <c r="J282"/>
  <c r="J172"/>
  <c r="J473"/>
  <c r="J407"/>
  <c r="J341"/>
  <c r="J275"/>
  <c r="J209"/>
  <c r="J491"/>
  <c r="J425"/>
  <c r="J359"/>
  <c r="J293"/>
  <c r="J227"/>
  <c r="J161"/>
  <c r="J95"/>
  <c r="J29"/>
  <c r="J459"/>
  <c r="J393"/>
  <c r="J327"/>
  <c r="J261"/>
  <c r="J191"/>
  <c r="J125"/>
  <c r="J59"/>
  <c r="J340"/>
  <c r="J241"/>
  <c r="J109"/>
  <c r="J139"/>
  <c r="J163"/>
  <c r="J143"/>
  <c r="J472"/>
  <c r="J406"/>
  <c r="J295"/>
  <c r="J27"/>
  <c r="J478"/>
  <c r="J411"/>
  <c r="J345"/>
  <c r="J279"/>
  <c r="J214"/>
  <c r="J495"/>
  <c r="J429"/>
  <c r="J363"/>
  <c r="J297"/>
  <c r="J231"/>
  <c r="J165"/>
  <c r="J99"/>
  <c r="J34"/>
  <c r="J463"/>
  <c r="J397"/>
  <c r="J331"/>
  <c r="J265"/>
  <c r="J195"/>
  <c r="J129"/>
  <c r="J63"/>
  <c r="J344"/>
  <c r="J250"/>
  <c r="J121"/>
  <c r="J147"/>
  <c r="J266"/>
  <c r="J23"/>
  <c r="J113"/>
  <c r="J296"/>
  <c r="J379"/>
  <c r="J115"/>
  <c r="J347"/>
  <c r="J79"/>
  <c r="J15"/>
  <c r="J141"/>
  <c r="J146"/>
  <c r="J489"/>
  <c r="J494"/>
  <c r="J230"/>
  <c r="J314"/>
  <c r="J50"/>
  <c r="J281"/>
  <c r="J14"/>
  <c r="J75"/>
  <c r="J7"/>
  <c r="J423"/>
  <c r="J428"/>
  <c r="J98"/>
  <c r="J248"/>
  <c r="J480"/>
  <c r="J211"/>
  <c r="J274"/>
  <c r="J6"/>
  <c r="J10"/>
  <c r="J348"/>
  <c r="J362"/>
  <c r="J446"/>
  <c r="J181"/>
  <c r="J414"/>
  <c r="J145"/>
  <c r="J159"/>
  <c r="C181" i="119"/>
  <c r="G162"/>
  <c r="M189" s="1"/>
  <c r="I42" i="63"/>
  <c r="B42"/>
  <c r="D143"/>
  <c r="E142"/>
  <c r="B147" i="39"/>
  <c r="B158"/>
  <c r="B162"/>
  <c r="B159"/>
  <c r="I126"/>
  <c r="I135"/>
  <c r="I156"/>
  <c r="I149"/>
  <c r="I152"/>
  <c r="I155"/>
  <c r="I158"/>
  <c r="I133"/>
  <c r="I150"/>
  <c r="I134"/>
  <c r="B157"/>
  <c r="B150"/>
  <c r="B146"/>
  <c r="B154"/>
  <c r="I153"/>
  <c r="I132"/>
  <c r="I161"/>
  <c r="I129"/>
  <c r="I145"/>
  <c r="I136"/>
  <c r="I141"/>
  <c r="I144"/>
  <c r="I138"/>
  <c r="I140"/>
  <c r="B160"/>
  <c r="B145"/>
  <c r="AF229" s="1"/>
  <c r="B153"/>
  <c r="B149"/>
  <c r="B155"/>
  <c r="I131"/>
  <c r="I130"/>
  <c r="I146"/>
  <c r="I157"/>
  <c r="I139"/>
  <c r="I137"/>
  <c r="I151"/>
  <c r="I162"/>
  <c r="I128"/>
  <c r="B152"/>
  <c r="B161"/>
  <c r="B151"/>
  <c r="B148"/>
  <c r="B156"/>
  <c r="I154"/>
  <c r="I143"/>
  <c r="I142"/>
  <c r="I159"/>
  <c r="I148"/>
  <c r="I147"/>
  <c r="I125"/>
  <c r="I124" s="1"/>
  <c r="G128" s="1"/>
  <c r="I127"/>
  <c r="I160"/>
  <c r="AV226" i="63"/>
  <c r="B222"/>
  <c r="H221"/>
  <c r="AU231" s="1"/>
  <c r="G221"/>
  <c r="I221" s="1"/>
  <c r="D144" i="48"/>
  <c r="E143"/>
  <c r="D161" i="119"/>
  <c r="L188"/>
  <c r="K208" s="1"/>
  <c r="H155"/>
  <c r="G156" s="1"/>
  <c r="J181"/>
  <c r="L164"/>
  <c r="G161"/>
  <c r="K181"/>
  <c r="H207" i="101"/>
  <c r="G208" s="1"/>
  <c r="M234"/>
  <c r="D144" i="54" l="1"/>
  <c r="E143"/>
  <c r="D144" i="51"/>
  <c r="E143"/>
  <c r="D144" i="60"/>
  <c r="E143"/>
  <c r="J158" i="121"/>
  <c r="H8" i="100" s="1"/>
  <c r="I65" i="120"/>
  <c r="I428"/>
  <c r="I236"/>
  <c r="J412" i="121"/>
  <c r="H16" i="100" s="1"/>
  <c r="J92" i="121"/>
  <c r="H6" i="100" s="1"/>
  <c r="I5" i="121"/>
  <c r="G4" i="100"/>
  <c r="J354" i="121"/>
  <c r="H14" i="100" s="1"/>
  <c r="J475" i="121"/>
  <c r="H18" i="100" s="1"/>
  <c r="J287" i="121"/>
  <c r="H12" i="100" s="1"/>
  <c r="J212" i="121"/>
  <c r="H10" i="100" s="1"/>
  <c r="I375" i="120"/>
  <c r="I92"/>
  <c r="J33" i="121"/>
  <c r="J124"/>
  <c r="H7" i="100" s="1"/>
  <c r="J311" i="121"/>
  <c r="H13" i="100" s="1"/>
  <c r="J246" i="121"/>
  <c r="H11" i="100" s="1"/>
  <c r="J185" i="121"/>
  <c r="H9" i="100" s="1"/>
  <c r="I131" i="120"/>
  <c r="H5"/>
  <c r="M3"/>
  <c r="J438" i="121"/>
  <c r="H17" i="100" s="1"/>
  <c r="J383" i="121"/>
  <c r="H15" i="100" s="1"/>
  <c r="D181" i="119"/>
  <c r="C182" s="1"/>
  <c r="H162"/>
  <c r="N189" s="1"/>
  <c r="H161"/>
  <c r="L181"/>
  <c r="M188"/>
  <c r="G181"/>
  <c r="I23" i="100"/>
  <c r="I27" s="1"/>
  <c r="I3" s="1"/>
  <c r="K209" i="119"/>
  <c r="G222" i="63"/>
  <c r="I222" s="1"/>
  <c r="H222"/>
  <c r="AV231" s="1"/>
  <c r="D144"/>
  <c r="E143"/>
  <c r="D145" i="48"/>
  <c r="D146" s="1"/>
  <c r="D147" s="1"/>
  <c r="D148" s="1"/>
  <c r="D149" s="1"/>
  <c r="D150" s="1"/>
  <c r="D151" s="1"/>
  <c r="D152" s="1"/>
  <c r="D153" s="1"/>
  <c r="D154" s="1"/>
  <c r="D155" s="1"/>
  <c r="D156" s="1"/>
  <c r="D157" s="1"/>
  <c r="D158" s="1"/>
  <c r="D159" s="1"/>
  <c r="D160" s="1"/>
  <c r="D161" s="1"/>
  <c r="D162" s="1"/>
  <c r="E144"/>
  <c r="B223" i="63"/>
  <c r="AW226"/>
  <c r="F3" i="100"/>
  <c r="J24"/>
  <c r="M235" i="101"/>
  <c r="G125" i="60" l="1"/>
  <c r="E144"/>
  <c r="G126" s="1"/>
  <c r="G129" s="1"/>
  <c r="D145"/>
  <c r="D145" i="54"/>
  <c r="E144"/>
  <c r="G125" s="1"/>
  <c r="D145" i="51"/>
  <c r="E144"/>
  <c r="G125" s="1"/>
  <c r="G126"/>
  <c r="G129" s="1"/>
  <c r="G3" i="100"/>
  <c r="I4" i="120"/>
  <c r="I5" s="1"/>
  <c r="H5" i="100"/>
  <c r="J4" i="121"/>
  <c r="G125" i="48"/>
  <c r="G126"/>
  <c r="G129" s="1"/>
  <c r="G223" i="63"/>
  <c r="I223" s="1"/>
  <c r="H223"/>
  <c r="AW231" s="1"/>
  <c r="D145"/>
  <c r="E144"/>
  <c r="I16" i="100"/>
  <c r="I15"/>
  <c r="I17"/>
  <c r="I12"/>
  <c r="I11"/>
  <c r="I9"/>
  <c r="I6"/>
  <c r="I18"/>
  <c r="I7"/>
  <c r="I4"/>
  <c r="I5"/>
  <c r="I13"/>
  <c r="I10"/>
  <c r="I8"/>
  <c r="I14"/>
  <c r="N188" i="119"/>
  <c r="M208" s="1"/>
  <c r="H181"/>
  <c r="G182" s="1"/>
  <c r="D146" i="54" l="1"/>
  <c r="D147" s="1"/>
  <c r="D148" s="1"/>
  <c r="D149" s="1"/>
  <c r="D150" s="1"/>
  <c r="D151" s="1"/>
  <c r="D152" s="1"/>
  <c r="D153" s="1"/>
  <c r="D154" s="1"/>
  <c r="D155" s="1"/>
  <c r="D156" s="1"/>
  <c r="D157" s="1"/>
  <c r="D158" s="1"/>
  <c r="D159" s="1"/>
  <c r="D160" s="1"/>
  <c r="D161" s="1"/>
  <c r="D162" s="1"/>
  <c r="E145"/>
  <c r="G126"/>
  <c r="G129" s="1"/>
  <c r="I129" i="51"/>
  <c r="I134"/>
  <c r="I140"/>
  <c r="I135"/>
  <c r="B145"/>
  <c r="AF229" s="1"/>
  <c r="I141"/>
  <c r="I130"/>
  <c r="I133"/>
  <c r="I137"/>
  <c r="I145"/>
  <c r="I125"/>
  <c r="I124" s="1"/>
  <c r="G128" s="1"/>
  <c r="I142"/>
  <c r="I126"/>
  <c r="I136"/>
  <c r="I127"/>
  <c r="I128"/>
  <c r="B146"/>
  <c r="AG229" s="1"/>
  <c r="I139"/>
  <c r="I131"/>
  <c r="I143"/>
  <c r="I132"/>
  <c r="I138"/>
  <c r="I144"/>
  <c r="E145"/>
  <c r="D146"/>
  <c r="D147" s="1"/>
  <c r="D148" s="1"/>
  <c r="D149" s="1"/>
  <c r="D150" s="1"/>
  <c r="D151" s="1"/>
  <c r="D152" s="1"/>
  <c r="D153" s="1"/>
  <c r="D154" s="1"/>
  <c r="D155" s="1"/>
  <c r="D156" s="1"/>
  <c r="D157" s="1"/>
  <c r="D158" s="1"/>
  <c r="D159" s="1"/>
  <c r="D160" s="1"/>
  <c r="D161" s="1"/>
  <c r="D162" s="1"/>
  <c r="I162" s="1"/>
  <c r="I140" i="60"/>
  <c r="I144"/>
  <c r="I133"/>
  <c r="B150"/>
  <c r="AK229" s="1"/>
  <c r="I127"/>
  <c r="B148"/>
  <c r="AI229" s="1"/>
  <c r="I141"/>
  <c r="I136"/>
  <c r="I152"/>
  <c r="I135"/>
  <c r="I129"/>
  <c r="I132"/>
  <c r="I134"/>
  <c r="I142"/>
  <c r="I130"/>
  <c r="I143"/>
  <c r="I139"/>
  <c r="B145"/>
  <c r="AF229" s="1"/>
  <c r="I155"/>
  <c r="I125"/>
  <c r="I124" s="1"/>
  <c r="G128" s="1"/>
  <c r="I128"/>
  <c r="I148"/>
  <c r="I156"/>
  <c r="I137"/>
  <c r="B146"/>
  <c r="AG229" s="1"/>
  <c r="I147"/>
  <c r="I146"/>
  <c r="B162"/>
  <c r="AW229" s="1"/>
  <c r="I126"/>
  <c r="B153"/>
  <c r="AN229" s="1"/>
  <c r="I131"/>
  <c r="I138"/>
  <c r="B155"/>
  <c r="AP229" s="1"/>
  <c r="I161"/>
  <c r="I153"/>
  <c r="I162"/>
  <c r="I145"/>
  <c r="D146"/>
  <c r="D147" s="1"/>
  <c r="D148" s="1"/>
  <c r="D149" s="1"/>
  <c r="D150" s="1"/>
  <c r="D151" s="1"/>
  <c r="D152" s="1"/>
  <c r="D153" s="1"/>
  <c r="D154" s="1"/>
  <c r="D155" s="1"/>
  <c r="D156" s="1"/>
  <c r="D157" s="1"/>
  <c r="D158" s="1"/>
  <c r="D159" s="1"/>
  <c r="D160" s="1"/>
  <c r="D161" s="1"/>
  <c r="D162" s="1"/>
  <c r="E145"/>
  <c r="N3" i="120"/>
  <c r="H4" i="100"/>
  <c r="J5" i="121"/>
  <c r="J23" i="100"/>
  <c r="J27" s="1"/>
  <c r="J3" s="1"/>
  <c r="M209" i="119"/>
  <c r="G125" i="63"/>
  <c r="G126"/>
  <c r="G129" s="1"/>
  <c r="B161" i="48"/>
  <c r="AV229" s="1"/>
  <c r="I152"/>
  <c r="I128"/>
  <c r="I148"/>
  <c r="I156"/>
  <c r="B154"/>
  <c r="AO229" s="1"/>
  <c r="I130"/>
  <c r="B153"/>
  <c r="AN229" s="1"/>
  <c r="I126"/>
  <c r="I155"/>
  <c r="I133"/>
  <c r="B152"/>
  <c r="AM229" s="1"/>
  <c r="B159"/>
  <c r="AT229" s="1"/>
  <c r="I131"/>
  <c r="B145"/>
  <c r="AF229" s="1"/>
  <c r="I144"/>
  <c r="I138"/>
  <c r="I134"/>
  <c r="I145"/>
  <c r="B157"/>
  <c r="AR229" s="1"/>
  <c r="I142"/>
  <c r="B156"/>
  <c r="AQ229" s="1"/>
  <c r="I158"/>
  <c r="I149"/>
  <c r="I132"/>
  <c r="I151"/>
  <c r="B162"/>
  <c r="AW229" s="1"/>
  <c r="I160"/>
  <c r="B148"/>
  <c r="AI229" s="1"/>
  <c r="B155"/>
  <c r="AP229" s="1"/>
  <c r="I153"/>
  <c r="I127"/>
  <c r="I150"/>
  <c r="B160"/>
  <c r="AU229" s="1"/>
  <c r="I135"/>
  <c r="I162"/>
  <c r="B147"/>
  <c r="AH229" s="1"/>
  <c r="I125"/>
  <c r="I157"/>
  <c r="I136"/>
  <c r="B146"/>
  <c r="AG229" s="1"/>
  <c r="I140"/>
  <c r="B158"/>
  <c r="AS229" s="1"/>
  <c r="I143"/>
  <c r="I139"/>
  <c r="I159"/>
  <c r="I137"/>
  <c r="B151"/>
  <c r="AL229" s="1"/>
  <c r="I141"/>
  <c r="B150"/>
  <c r="AK229" s="1"/>
  <c r="I147"/>
  <c r="I129"/>
  <c r="I146"/>
  <c r="B149"/>
  <c r="AJ229" s="1"/>
  <c r="I154"/>
  <c r="I161"/>
  <c r="E145" i="63"/>
  <c r="D146"/>
  <c r="D147" s="1"/>
  <c r="D148" s="1"/>
  <c r="D149" s="1"/>
  <c r="D150" s="1"/>
  <c r="D151" s="1"/>
  <c r="D152" s="1"/>
  <c r="D153" s="1"/>
  <c r="D154" s="1"/>
  <c r="D155" s="1"/>
  <c r="D156" s="1"/>
  <c r="D157" s="1"/>
  <c r="D158" s="1"/>
  <c r="D159" s="1"/>
  <c r="D160" s="1"/>
  <c r="D161" s="1"/>
  <c r="D162" s="1"/>
  <c r="B157" i="51" l="1"/>
  <c r="AR229" s="1"/>
  <c r="I155"/>
  <c r="B154"/>
  <c r="AO229" s="1"/>
  <c r="I149"/>
  <c r="B152"/>
  <c r="AM229" s="1"/>
  <c r="B149"/>
  <c r="AJ229" s="1"/>
  <c r="I151" i="60"/>
  <c r="I150"/>
  <c r="B161"/>
  <c r="AV229" s="1"/>
  <c r="B149"/>
  <c r="AJ229" s="1"/>
  <c r="B152"/>
  <c r="AM229" s="1"/>
  <c r="B157"/>
  <c r="AR229" s="1"/>
  <c r="B160"/>
  <c r="AU229" s="1"/>
  <c r="B147"/>
  <c r="AH229" s="1"/>
  <c r="B156"/>
  <c r="AQ229" s="1"/>
  <c r="I157" i="51"/>
  <c r="I150"/>
  <c r="I154"/>
  <c r="I160"/>
  <c r="B147"/>
  <c r="AH229" s="1"/>
  <c r="I151"/>
  <c r="I161"/>
  <c r="I146"/>
  <c r="I152"/>
  <c r="I132" i="54"/>
  <c r="B162"/>
  <c r="AW229" s="1"/>
  <c r="B148"/>
  <c r="AI229" s="1"/>
  <c r="I140"/>
  <c r="I130"/>
  <c r="B153"/>
  <c r="AN229" s="1"/>
  <c r="B157"/>
  <c r="AR229" s="1"/>
  <c r="I148"/>
  <c r="I160"/>
  <c r="I162"/>
  <c r="I139"/>
  <c r="B158"/>
  <c r="AS229" s="1"/>
  <c r="I155"/>
  <c r="I126"/>
  <c r="B155"/>
  <c r="AP229" s="1"/>
  <c r="I135"/>
  <c r="B160"/>
  <c r="AU229" s="1"/>
  <c r="I141"/>
  <c r="B146"/>
  <c r="AG229" s="1"/>
  <c r="B150"/>
  <c r="AK229" s="1"/>
  <c r="B147"/>
  <c r="AH229" s="1"/>
  <c r="I136"/>
  <c r="B156"/>
  <c r="AQ229" s="1"/>
  <c r="I137"/>
  <c r="B161"/>
  <c r="AV229" s="1"/>
  <c r="I156"/>
  <c r="I127"/>
  <c r="B152"/>
  <c r="AM229" s="1"/>
  <c r="I152"/>
  <c r="I129"/>
  <c r="B151"/>
  <c r="AL229" s="1"/>
  <c r="I133"/>
  <c r="I142"/>
  <c r="I144"/>
  <c r="I145"/>
  <c r="B145"/>
  <c r="AF229" s="1"/>
  <c r="I157"/>
  <c r="I138"/>
  <c r="I147"/>
  <c r="B154"/>
  <c r="AO229" s="1"/>
  <c r="I150"/>
  <c r="I154"/>
  <c r="I125"/>
  <c r="I124" s="1"/>
  <c r="G128" s="1"/>
  <c r="B149"/>
  <c r="AJ229" s="1"/>
  <c r="B159"/>
  <c r="AT229" s="1"/>
  <c r="I146"/>
  <c r="I131"/>
  <c r="I158"/>
  <c r="I149"/>
  <c r="I151"/>
  <c r="I161"/>
  <c r="I128"/>
  <c r="I134"/>
  <c r="I153"/>
  <c r="I143"/>
  <c r="I159"/>
  <c r="B158" i="60"/>
  <c r="AS229" s="1"/>
  <c r="B151"/>
  <c r="AL229" s="1"/>
  <c r="B154"/>
  <c r="AO229" s="1"/>
  <c r="I159"/>
  <c r="I159" i="51"/>
  <c r="I147"/>
  <c r="B161"/>
  <c r="AV229" s="1"/>
  <c r="B160"/>
  <c r="AU229" s="1"/>
  <c r="B158"/>
  <c r="AS229" s="1"/>
  <c r="I158"/>
  <c r="B153"/>
  <c r="AN229" s="1"/>
  <c r="I148"/>
  <c r="I156"/>
  <c r="B155"/>
  <c r="AP229" s="1"/>
  <c r="I160" i="60"/>
  <c r="I154"/>
  <c r="I158"/>
  <c r="B159"/>
  <c r="AT229" s="1"/>
  <c r="I157"/>
  <c r="I149"/>
  <c r="B162" i="51"/>
  <c r="AW229" s="1"/>
  <c r="B159"/>
  <c r="AT229" s="1"/>
  <c r="B151"/>
  <c r="AL229" s="1"/>
  <c r="B156"/>
  <c r="AQ229" s="1"/>
  <c r="B148"/>
  <c r="AI229" s="1"/>
  <c r="B150"/>
  <c r="AK229" s="1"/>
  <c r="I153"/>
  <c r="H3" i="100"/>
  <c r="K3" s="1"/>
  <c r="J4"/>
  <c r="J13"/>
  <c r="J17"/>
  <c r="J6"/>
  <c r="J14"/>
  <c r="J18"/>
  <c r="J15"/>
  <c r="J12"/>
  <c r="J8"/>
  <c r="J16"/>
  <c r="J9"/>
  <c r="J5"/>
  <c r="J7"/>
  <c r="J10"/>
  <c r="J11"/>
  <c r="I124" i="48"/>
  <c r="G128" s="1"/>
  <c r="B145" i="63"/>
  <c r="AF229" s="1"/>
  <c r="I135"/>
  <c r="I140"/>
  <c r="B159"/>
  <c r="AT229" s="1"/>
  <c r="I136"/>
  <c r="I129"/>
  <c r="I141"/>
  <c r="I125"/>
  <c r="I124" s="1"/>
  <c r="G128" s="1"/>
  <c r="I159"/>
  <c r="B155"/>
  <c r="AP229" s="1"/>
  <c r="B148"/>
  <c r="AI229" s="1"/>
  <c r="I147"/>
  <c r="I143"/>
  <c r="B156"/>
  <c r="AQ229" s="1"/>
  <c r="B162"/>
  <c r="AW229" s="1"/>
  <c r="B153"/>
  <c r="AN229" s="1"/>
  <c r="I157"/>
  <c r="I145"/>
  <c r="I132"/>
  <c r="B149"/>
  <c r="AJ229" s="1"/>
  <c r="I127"/>
  <c r="I138"/>
  <c r="I162"/>
  <c r="I134"/>
  <c r="I130"/>
  <c r="B154"/>
  <c r="AO229" s="1"/>
  <c r="I152"/>
  <c r="I144"/>
  <c r="B152"/>
  <c r="AM229" s="1"/>
  <c r="B151"/>
  <c r="AL229" s="1"/>
  <c r="I150"/>
  <c r="B158"/>
  <c r="AS229" s="1"/>
  <c r="I131"/>
  <c r="B147"/>
  <c r="AH229" s="1"/>
  <c r="I155"/>
  <c r="I158"/>
  <c r="I160"/>
  <c r="I133"/>
  <c r="I154"/>
  <c r="I139"/>
  <c r="I156"/>
  <c r="I151"/>
  <c r="I153"/>
  <c r="I148"/>
  <c r="I137"/>
  <c r="B161"/>
  <c r="AV229" s="1"/>
  <c r="I126"/>
  <c r="B150"/>
  <c r="AK229" s="1"/>
  <c r="I149"/>
  <c r="B146"/>
  <c r="AG229" s="1"/>
  <c r="B160"/>
  <c r="AU229" s="1"/>
  <c r="B157"/>
  <c r="AR229" s="1"/>
  <c r="I142"/>
  <c r="I146"/>
  <c r="I128"/>
  <c r="I161"/>
</calcChain>
</file>

<file path=xl/comments1.xml><?xml version="1.0" encoding="utf-8"?>
<comments xmlns="http://schemas.openxmlformats.org/spreadsheetml/2006/main">
  <authors>
    <author>민병하</author>
  </authors>
  <commentList>
    <comment ref="B17" authorId="0">
      <text>
        <r>
          <rPr>
            <sz val="9"/>
            <color indexed="81"/>
            <rFont val="굴림"/>
            <family val="3"/>
            <charset val="129"/>
          </rPr>
          <t xml:space="preserve"> - 출산률 X 0.001
</t>
        </r>
      </text>
    </comment>
    <comment ref="B30" authorId="0">
      <text>
        <r>
          <rPr>
            <sz val="9"/>
            <color indexed="81"/>
            <rFont val="굴림"/>
            <family val="3"/>
            <charset val="129"/>
          </rPr>
          <t xml:space="preserve"> - 통계청 충청남도 남녀성비를 
    5년단위로 평균하여 사용</t>
        </r>
      </text>
    </comment>
  </commentList>
</comments>
</file>

<file path=xl/sharedStrings.xml><?xml version="1.0" encoding="utf-8"?>
<sst xmlns="http://schemas.openxmlformats.org/spreadsheetml/2006/main" count="6779" uniqueCount="1426">
  <si>
    <t>구  분</t>
    <phoneticPr fontId="10" type="noConversion"/>
  </si>
  <si>
    <t>비 고</t>
    <phoneticPr fontId="10" type="noConversion"/>
  </si>
  <si>
    <t>연령별</t>
    <phoneticPr fontId="10" type="noConversion"/>
  </si>
  <si>
    <t>인구</t>
    <phoneticPr fontId="10" type="noConversion"/>
  </si>
  <si>
    <t>합</t>
    <phoneticPr fontId="10" type="noConversion"/>
  </si>
  <si>
    <t>남</t>
    <phoneticPr fontId="10" type="noConversion"/>
  </si>
  <si>
    <t>여</t>
    <phoneticPr fontId="10" type="noConversion"/>
  </si>
  <si>
    <t>가임여성</t>
    <phoneticPr fontId="10" type="noConversion"/>
  </si>
  <si>
    <t>2005-2010</t>
    <phoneticPr fontId="10" type="noConversion"/>
  </si>
  <si>
    <t>2010-2015</t>
    <phoneticPr fontId="10" type="noConversion"/>
  </si>
  <si>
    <t>2015-2020</t>
    <phoneticPr fontId="10" type="noConversion"/>
  </si>
  <si>
    <t>2020-2025</t>
    <phoneticPr fontId="10" type="noConversion"/>
  </si>
  <si>
    <t>0~4</t>
    <phoneticPr fontId="10" type="noConversion"/>
  </si>
  <si>
    <t>5~9</t>
    <phoneticPr fontId="10" type="noConversion"/>
  </si>
  <si>
    <t>20~24</t>
    <phoneticPr fontId="10" type="noConversion"/>
  </si>
  <si>
    <t>10~14</t>
    <phoneticPr fontId="10" type="noConversion"/>
  </si>
  <si>
    <t>25~29</t>
    <phoneticPr fontId="10" type="noConversion"/>
  </si>
  <si>
    <t>15~19</t>
    <phoneticPr fontId="10" type="noConversion"/>
  </si>
  <si>
    <t>30~34</t>
    <phoneticPr fontId="10" type="noConversion"/>
  </si>
  <si>
    <t>35~39</t>
    <phoneticPr fontId="10" type="noConversion"/>
  </si>
  <si>
    <t>40~44</t>
    <phoneticPr fontId="10" type="noConversion"/>
  </si>
  <si>
    <t>45~49</t>
    <phoneticPr fontId="10" type="noConversion"/>
  </si>
  <si>
    <t>35~39</t>
    <phoneticPr fontId="10" type="noConversion"/>
  </si>
  <si>
    <t>성비</t>
    <phoneticPr fontId="10" type="noConversion"/>
  </si>
  <si>
    <t>85~89</t>
    <phoneticPr fontId="10" type="noConversion"/>
  </si>
  <si>
    <t>남(%)</t>
    <phoneticPr fontId="10" type="noConversion"/>
  </si>
  <si>
    <t>90~94</t>
    <phoneticPr fontId="10" type="noConversion"/>
  </si>
  <si>
    <t>95+</t>
    <phoneticPr fontId="10" type="noConversion"/>
  </si>
  <si>
    <t>합계</t>
    <phoneticPr fontId="10" type="noConversion"/>
  </si>
  <si>
    <t>2025년</t>
    <phoneticPr fontId="10" type="noConversion"/>
  </si>
  <si>
    <t>2015년</t>
    <phoneticPr fontId="10" type="noConversion"/>
  </si>
  <si>
    <t>2020년</t>
    <phoneticPr fontId="10" type="noConversion"/>
  </si>
  <si>
    <t>연도</t>
  </si>
  <si>
    <t>경과년수(n)</t>
  </si>
  <si>
    <t>LN(Y)</t>
  </si>
  <si>
    <t>LN(n)</t>
  </si>
  <si>
    <t>LN(k/Y-1)</t>
  </si>
  <si>
    <t>r=</t>
  </si>
  <si>
    <t>A=</t>
  </si>
  <si>
    <t>k=</t>
  </si>
  <si>
    <t>인구(Y)</t>
  </si>
  <si>
    <t>인구</t>
    <phoneticPr fontId="10" type="noConversion"/>
  </si>
  <si>
    <t xml:space="preserve">     구분
  년도</t>
    <phoneticPr fontId="10" type="noConversion"/>
  </si>
  <si>
    <t>비고</t>
    <phoneticPr fontId="10" type="noConversion"/>
  </si>
  <si>
    <t>증감률</t>
  </si>
  <si>
    <t>과거10년
증 감 률</t>
    <phoneticPr fontId="10" type="noConversion"/>
  </si>
  <si>
    <t>과거5년
증 감 률</t>
    <phoneticPr fontId="10" type="noConversion"/>
  </si>
  <si>
    <t>계</t>
    <phoneticPr fontId="10" type="noConversion"/>
  </si>
  <si>
    <t>과거20년
증 감 률</t>
    <phoneticPr fontId="10" type="noConversion"/>
  </si>
  <si>
    <t>동해시</t>
    <phoneticPr fontId="10" type="noConversion"/>
  </si>
  <si>
    <t>망상동</t>
    <phoneticPr fontId="10" type="noConversion"/>
  </si>
  <si>
    <t>묵호동</t>
    <phoneticPr fontId="10" type="noConversion"/>
  </si>
  <si>
    <t>발한동</t>
    <phoneticPr fontId="10" type="noConversion"/>
  </si>
  <si>
    <t>부곡동</t>
    <phoneticPr fontId="10" type="noConversion"/>
  </si>
  <si>
    <t>송정동</t>
    <phoneticPr fontId="10" type="noConversion"/>
  </si>
  <si>
    <t>북삼동</t>
    <phoneticPr fontId="10" type="noConversion"/>
  </si>
  <si>
    <t>동호동</t>
    <phoneticPr fontId="10" type="noConversion"/>
  </si>
  <si>
    <t>북평동</t>
    <phoneticPr fontId="10" type="noConversion"/>
  </si>
  <si>
    <t>삼화동</t>
    <phoneticPr fontId="10" type="noConversion"/>
  </si>
  <si>
    <t>송정동</t>
    <phoneticPr fontId="10" type="noConversion"/>
  </si>
  <si>
    <t>묵호동</t>
    <phoneticPr fontId="10" type="noConversion"/>
  </si>
  <si>
    <t>북평동</t>
    <phoneticPr fontId="10" type="noConversion"/>
  </si>
  <si>
    <t>천곡동</t>
    <phoneticPr fontId="10" type="noConversion"/>
  </si>
  <si>
    <t>송정동</t>
    <phoneticPr fontId="10" type="noConversion"/>
  </si>
  <si>
    <t>북삼동</t>
    <phoneticPr fontId="10" type="noConversion"/>
  </si>
  <si>
    <t>부곡동</t>
    <phoneticPr fontId="10" type="noConversion"/>
  </si>
  <si>
    <t>동호동</t>
    <phoneticPr fontId="10" type="noConversion"/>
  </si>
  <si>
    <t>발한동</t>
    <phoneticPr fontId="10" type="noConversion"/>
  </si>
  <si>
    <t>묵호동</t>
    <phoneticPr fontId="10" type="noConversion"/>
  </si>
  <si>
    <t>북평동</t>
    <phoneticPr fontId="10" type="noConversion"/>
  </si>
  <si>
    <t>망상동</t>
    <phoneticPr fontId="10" type="noConversion"/>
  </si>
  <si>
    <t>삼화동</t>
    <phoneticPr fontId="10" type="noConversion"/>
  </si>
  <si>
    <t>최소자승법</t>
  </si>
  <si>
    <t>Y=ax+b</t>
  </si>
  <si>
    <t>1.등차급수법</t>
  </si>
  <si>
    <t>상수(a)=</t>
  </si>
  <si>
    <t>상수(b)=</t>
  </si>
  <si>
    <t>R^2=</t>
  </si>
  <si>
    <t>2.최소자승법</t>
  </si>
  <si>
    <t>3.등비급수법</t>
  </si>
  <si>
    <t>Y0=</t>
  </si>
  <si>
    <t xml:space="preserve">   Y=Y0(1+r)^x</t>
  </si>
  <si>
    <t>4.지수곡선식</t>
  </si>
  <si>
    <t>LN(Y-Y0)</t>
  </si>
  <si>
    <t>=LN(A)</t>
  </si>
  <si>
    <t xml:space="preserve">  Y=Y0+Ax^a</t>
  </si>
  <si>
    <t xml:space="preserve">  LN(Y-Y0)=LN(A)+a LN x</t>
  </si>
  <si>
    <t>5.로지스틱커브</t>
  </si>
  <si>
    <t>=-a</t>
  </si>
  <si>
    <t xml:space="preserve">  Y=k/(1+e^(b-ax))</t>
  </si>
  <si>
    <t xml:space="preserve">  LN(k/Y-1)=b-ax</t>
  </si>
  <si>
    <t>등차급수법</t>
  </si>
  <si>
    <t>등비급수</t>
  </si>
  <si>
    <t>지수곡선</t>
  </si>
  <si>
    <t>로지스틱커브</t>
  </si>
  <si>
    <t>평균</t>
  </si>
  <si>
    <t>평균
(최대,최소제외)</t>
  </si>
  <si>
    <t>채택</t>
  </si>
  <si>
    <t>R²=</t>
  </si>
  <si>
    <t>등차</t>
  </si>
  <si>
    <t>최소</t>
  </si>
  <si>
    <t>등비</t>
  </si>
  <si>
    <t>지수</t>
  </si>
  <si>
    <t>로지스틱</t>
  </si>
  <si>
    <r>
      <t>R</t>
    </r>
    <r>
      <rPr>
        <vertAlign val="superscript"/>
        <sz val="10"/>
        <color indexed="10"/>
        <rFont val="굴림"/>
        <family val="3"/>
        <charset val="129"/>
      </rPr>
      <t>2</t>
    </r>
    <r>
      <rPr>
        <sz val="10"/>
        <color indexed="10"/>
        <rFont val="굴림"/>
        <family val="3"/>
        <charset val="129"/>
      </rPr>
      <t>=</t>
    </r>
    <phoneticPr fontId="10" type="noConversion"/>
  </si>
  <si>
    <t>▨ 결과 및 적용 (과거 20년)</t>
    <phoneticPr fontId="50" type="noConversion"/>
  </si>
  <si>
    <t>선정</t>
    <phoneticPr fontId="50" type="noConversion"/>
  </si>
  <si>
    <t>비고</t>
    <phoneticPr fontId="50" type="noConversion"/>
  </si>
  <si>
    <t>천곡동 (20년 인구추정)</t>
    <phoneticPr fontId="50" type="noConversion"/>
  </si>
  <si>
    <t>송정동 (20년 인구추정)</t>
    <phoneticPr fontId="50" type="noConversion"/>
  </si>
  <si>
    <t>북삼동 (20년 인구추정)</t>
    <phoneticPr fontId="50" type="noConversion"/>
  </si>
  <si>
    <t>부곡동 (20년 인구추정)</t>
    <phoneticPr fontId="50" type="noConversion"/>
  </si>
  <si>
    <t>동호동 (20년 인구추정)</t>
    <phoneticPr fontId="50" type="noConversion"/>
  </si>
  <si>
    <t>발한동 (20년 인구추정)</t>
    <phoneticPr fontId="50" type="noConversion"/>
  </si>
  <si>
    <t>묵호동 (20년 인구추정)</t>
    <phoneticPr fontId="50" type="noConversion"/>
  </si>
  <si>
    <t>북평동 (20년 인구추정)</t>
    <phoneticPr fontId="50" type="noConversion"/>
  </si>
  <si>
    <t>2030년추정</t>
    <phoneticPr fontId="10" type="noConversion"/>
  </si>
  <si>
    <t>생잔율(25-30) (S)</t>
    <phoneticPr fontId="10" type="noConversion"/>
  </si>
  <si>
    <t>2025-2030</t>
    <phoneticPr fontId="10" type="noConversion"/>
  </si>
  <si>
    <t>출산율
(25-30)</t>
    <phoneticPr fontId="10" type="noConversion"/>
  </si>
  <si>
    <t>출산율</t>
  </si>
  <si>
    <t>85세 이상</t>
    <phoneticPr fontId="10" type="noConversion"/>
  </si>
  <si>
    <t>2030년추정</t>
    <phoneticPr fontId="10" type="noConversion"/>
  </si>
  <si>
    <t>인구(2025) (P)</t>
    <phoneticPr fontId="10" type="noConversion"/>
  </si>
  <si>
    <t>생잔율(25-30) (S)</t>
    <phoneticPr fontId="10" type="noConversion"/>
  </si>
  <si>
    <t>인구추정(2030) (P×S)</t>
    <phoneticPr fontId="10" type="noConversion"/>
  </si>
  <si>
    <t>2030년 추정</t>
    <phoneticPr fontId="10" type="noConversion"/>
  </si>
  <si>
    <t>2030년</t>
    <phoneticPr fontId="10" type="noConversion"/>
  </si>
  <si>
    <t>망상동 (20년 인구추정)</t>
    <phoneticPr fontId="50" type="noConversion"/>
  </si>
  <si>
    <t>삼화동 (20년 인구추정)</t>
    <phoneticPr fontId="50" type="noConversion"/>
  </si>
  <si>
    <t>구 분</t>
    <phoneticPr fontId="10" type="noConversion"/>
  </si>
  <si>
    <t>단위</t>
    <phoneticPr fontId="10" type="noConversion"/>
  </si>
  <si>
    <t>비 고</t>
    <phoneticPr fontId="10" type="noConversion"/>
  </si>
  <si>
    <t>(2008)</t>
    <phoneticPr fontId="10" type="noConversion"/>
  </si>
  <si>
    <t>사회적
유입인구</t>
    <phoneticPr fontId="10" type="noConversion"/>
  </si>
  <si>
    <t>주택개발
계      획</t>
    <phoneticPr fontId="10" type="noConversion"/>
  </si>
  <si>
    <t>하나임대아파트</t>
    <phoneticPr fontId="10" type="noConversion"/>
  </si>
  <si>
    <t>인</t>
    <phoneticPr fontId="10" type="noConversion"/>
  </si>
  <si>
    <t>엘리시아아파트</t>
    <phoneticPr fontId="10" type="noConversion"/>
  </si>
  <si>
    <t>호반베르디움</t>
    <phoneticPr fontId="10" type="noConversion"/>
  </si>
  <si>
    <t>금아아파트</t>
    <phoneticPr fontId="10" type="noConversion"/>
  </si>
  <si>
    <t>바다공원아파트</t>
    <phoneticPr fontId="10" type="noConversion"/>
  </si>
  <si>
    <t>글로리아아파트</t>
    <phoneticPr fontId="10" type="noConversion"/>
  </si>
  <si>
    <t>송정주공아파트</t>
    <phoneticPr fontId="10" type="noConversion"/>
  </si>
  <si>
    <t>효가동아파트</t>
    <phoneticPr fontId="10" type="noConversion"/>
  </si>
  <si>
    <t>유화임대아파트</t>
    <phoneticPr fontId="10" type="noConversion"/>
  </si>
  <si>
    <t>지구단위계획</t>
    <phoneticPr fontId="10" type="noConversion"/>
  </si>
  <si>
    <t>망상뜰지구 
제1종지구단위계획</t>
    <phoneticPr fontId="10" type="noConversion"/>
  </si>
  <si>
    <t>북평 지구 
제1종지구단위계획</t>
    <phoneticPr fontId="10" type="noConversion"/>
  </si>
  <si>
    <t>산업단지</t>
    <phoneticPr fontId="10" type="noConversion"/>
  </si>
  <si>
    <t>송정산업단지</t>
    <phoneticPr fontId="10" type="noConversion"/>
  </si>
  <si>
    <t>인</t>
  </si>
  <si>
    <t>동해거주율
90%적용</t>
    <phoneticPr fontId="10" type="noConversion"/>
  </si>
  <si>
    <t>가족동반율
80%적용</t>
    <phoneticPr fontId="10" type="noConversion"/>
  </si>
  <si>
    <t>동반가족수
2.6인적용</t>
    <phoneticPr fontId="10" type="noConversion"/>
  </si>
  <si>
    <t>북평산업단지</t>
    <phoneticPr fontId="10" type="noConversion"/>
  </si>
  <si>
    <t>2009.5월 현재
가동율 70.1%</t>
    <phoneticPr fontId="10" type="noConversion"/>
  </si>
  <si>
    <t>가동율</t>
    <phoneticPr fontId="10" type="noConversion"/>
  </si>
  <si>
    <t>한중대학교</t>
    <phoneticPr fontId="10" type="noConversion"/>
  </si>
  <si>
    <t>총  계</t>
    <phoneticPr fontId="10" type="noConversion"/>
  </si>
  <si>
    <t>소  계</t>
    <phoneticPr fontId="10" type="noConversion"/>
  </si>
  <si>
    <t>인</t>
    <phoneticPr fontId="10" type="noConversion"/>
  </si>
  <si>
    <t>주택개발계획+지구단위계획</t>
    <phoneticPr fontId="10" type="noConversion"/>
  </si>
  <si>
    <t>세대수</t>
    <phoneticPr fontId="10" type="noConversion"/>
  </si>
  <si>
    <t>동해시 유입인구(인)</t>
    <phoneticPr fontId="10" type="noConversion"/>
  </si>
  <si>
    <t>입주예정
년     도</t>
    <phoneticPr fontId="10" type="noConversion"/>
  </si>
  <si>
    <t>택지개발
유발인구</t>
    <phoneticPr fontId="10" type="noConversion"/>
  </si>
  <si>
    <t>택지개발
동해시
유입인구</t>
    <phoneticPr fontId="10" type="noConversion"/>
  </si>
  <si>
    <t>택지개발
동해시
유입인구</t>
    <phoneticPr fontId="10" type="noConversion"/>
  </si>
  <si>
    <t>소  계 (A)</t>
    <phoneticPr fontId="10" type="noConversion"/>
  </si>
  <si>
    <t>소  계 (B)</t>
    <phoneticPr fontId="10" type="noConversion"/>
  </si>
  <si>
    <t>대학교시설 (C)</t>
    <phoneticPr fontId="10" type="noConversion"/>
  </si>
  <si>
    <t>(A)+(B)+(C)</t>
    <phoneticPr fontId="10" type="noConversion"/>
  </si>
  <si>
    <t>1.3.4사회적유입인구산정</t>
    <phoneticPr fontId="10" type="noConversion"/>
  </si>
  <si>
    <t>2.0 계획인구 결정</t>
    <phoneticPr fontId="10" type="noConversion"/>
  </si>
  <si>
    <t xml:space="preserve">   2.1 동별 계획인구</t>
    <phoneticPr fontId="10" type="noConversion"/>
  </si>
  <si>
    <t xml:space="preserve"> ▶  동해시 계획인구</t>
    <phoneticPr fontId="10" type="noConversion"/>
  </si>
  <si>
    <t>구          분</t>
    <phoneticPr fontId="10" type="noConversion"/>
  </si>
  <si>
    <t>2010년
(2011)</t>
    <phoneticPr fontId="10" type="noConversion"/>
  </si>
  <si>
    <t>2015년
(2016)</t>
    <phoneticPr fontId="10" type="noConversion"/>
  </si>
  <si>
    <t>2020년
(2021)</t>
    <phoneticPr fontId="10" type="noConversion"/>
  </si>
  <si>
    <t>2025년</t>
    <phoneticPr fontId="10" type="noConversion"/>
  </si>
  <si>
    <t>관    련
상위계획</t>
    <phoneticPr fontId="10" type="noConversion"/>
  </si>
  <si>
    <t>평균값</t>
    <phoneticPr fontId="10" type="noConversion"/>
  </si>
  <si>
    <t>수학적 추정방법</t>
    <phoneticPr fontId="10" type="noConversion"/>
  </si>
  <si>
    <t>자연적증가</t>
    <phoneticPr fontId="10" type="noConversion"/>
  </si>
  <si>
    <t>생잔모형법(Cohort Component Method)</t>
    <phoneticPr fontId="10" type="noConversion"/>
  </si>
  <si>
    <t>출생사망에 따른 인구추정(과거 10년)</t>
    <phoneticPr fontId="10" type="noConversion"/>
  </si>
  <si>
    <t>개발사업에 따른 사회적 증가인구</t>
    <phoneticPr fontId="10" type="noConversion"/>
  </si>
  <si>
    <t>주 : * 의 목표년도는 (  )임</t>
    <phoneticPr fontId="10" type="noConversion"/>
  </si>
  <si>
    <t>동해시 수도정비 기본계획 (1999.10.)</t>
  </si>
  <si>
    <t>광역상수도 및 공업용수도
수도정비 기본계획 (2004)</t>
  </si>
  <si>
    <t>동해시 하수도정비 기본계획 (2004.11)</t>
  </si>
  <si>
    <t>2020년 동해시도시기본계획 (2005.12)</t>
  </si>
  <si>
    <t>급수체계조정사업
타당성검토 및 기본계획 (2006.12.)</t>
  </si>
  <si>
    <t>전국수도종합계획 (2007.03.)</t>
  </si>
  <si>
    <t xml:space="preserve"> ▶ 천곡동 계획인구 결정</t>
    <phoneticPr fontId="10" type="noConversion"/>
  </si>
  <si>
    <t>계    획    인    구</t>
    <phoneticPr fontId="10" type="noConversion"/>
  </si>
  <si>
    <t xml:space="preserve"> ▶ 송정동 계획인구 결정</t>
    <phoneticPr fontId="10" type="noConversion"/>
  </si>
  <si>
    <t xml:space="preserve"> ▶ 북삼동 계획인구 결정</t>
    <phoneticPr fontId="10" type="noConversion"/>
  </si>
  <si>
    <t xml:space="preserve"> ▶ 부곡동 계획인구 결정</t>
    <phoneticPr fontId="10" type="noConversion"/>
  </si>
  <si>
    <t xml:space="preserve"> ▶ 동호동 계획인구 결정</t>
    <phoneticPr fontId="10" type="noConversion"/>
  </si>
  <si>
    <t xml:space="preserve"> ▶ 발한동 계획인구 결정</t>
    <phoneticPr fontId="10" type="noConversion"/>
  </si>
  <si>
    <t xml:space="preserve"> ▶ 묵호동 계획인구 결정</t>
    <phoneticPr fontId="10" type="noConversion"/>
  </si>
  <si>
    <t xml:space="preserve"> ▶ 북평동 계획인구 결정</t>
    <phoneticPr fontId="10" type="noConversion"/>
  </si>
  <si>
    <t xml:space="preserve"> ▶ 망상동 계획인구 결정</t>
    <phoneticPr fontId="10" type="noConversion"/>
  </si>
  <si>
    <t xml:space="preserve"> ▶ 삼화동 계획인구 결정</t>
    <phoneticPr fontId="10" type="noConversion"/>
  </si>
  <si>
    <t>계    획    인    구</t>
    <phoneticPr fontId="10" type="noConversion"/>
  </si>
  <si>
    <t>계    획    인    구</t>
    <phoneticPr fontId="10" type="noConversion"/>
  </si>
  <si>
    <t>계    획    인    구</t>
    <phoneticPr fontId="10" type="noConversion"/>
  </si>
  <si>
    <t>강원일보</t>
    <phoneticPr fontId="10" type="noConversion"/>
  </si>
  <si>
    <t>원단위</t>
    <phoneticPr fontId="10" type="noConversion"/>
  </si>
  <si>
    <t>물류단지</t>
    <phoneticPr fontId="10" type="noConversion"/>
  </si>
  <si>
    <t>비지니스센터</t>
    <phoneticPr fontId="10" type="noConversion"/>
  </si>
  <si>
    <t>면적(㎡)</t>
    <phoneticPr fontId="10" type="noConversion"/>
  </si>
  <si>
    <t>여객선터미널
수산연구단지
해양박물관</t>
    <phoneticPr fontId="10" type="noConversion"/>
  </si>
  <si>
    <t>관광레져시설</t>
    <phoneticPr fontId="10" type="noConversion"/>
  </si>
  <si>
    <t>동해자유무역지역</t>
    <phoneticPr fontId="10" type="noConversion"/>
  </si>
  <si>
    <t>북평제2첨단산업단지</t>
    <phoneticPr fontId="10" type="noConversion"/>
  </si>
  <si>
    <t>동해항 배후단지</t>
    <phoneticPr fontId="10" type="noConversion"/>
  </si>
  <si>
    <t>산업입지원단위산정에 관한연구
지방산단 원단위적용</t>
    <phoneticPr fontId="10" type="noConversion"/>
  </si>
  <si>
    <t>소계</t>
    <phoneticPr fontId="10" type="noConversion"/>
  </si>
  <si>
    <t>관련서비스유입인구(130%)</t>
    <phoneticPr fontId="10" type="noConversion"/>
  </si>
  <si>
    <t>3.3  계획급수 인구 및 관련변화의 분석</t>
    <phoneticPr fontId="10" type="noConversion"/>
  </si>
  <si>
    <t xml:space="preserve"> 3.3.1  계획급수인구</t>
    <phoneticPr fontId="10" type="noConversion"/>
  </si>
  <si>
    <t>표-3.3.1(동해시과거인구현황분석)</t>
    <phoneticPr fontId="10" type="noConversion"/>
  </si>
  <si>
    <t>평균</t>
    <phoneticPr fontId="10" type="noConversion"/>
  </si>
  <si>
    <t xml:space="preserve">     구분
  년도</t>
    <phoneticPr fontId="10" type="noConversion"/>
  </si>
  <si>
    <t>동해시</t>
    <phoneticPr fontId="10" type="noConversion"/>
  </si>
  <si>
    <t>비고</t>
    <phoneticPr fontId="10" type="noConversion"/>
  </si>
  <si>
    <t>인구</t>
    <phoneticPr fontId="10" type="noConversion"/>
  </si>
  <si>
    <t>전년대비
증감수(인)</t>
    <phoneticPr fontId="10" type="noConversion"/>
  </si>
  <si>
    <t>최근5년</t>
    <phoneticPr fontId="10" type="noConversion"/>
  </si>
  <si>
    <t>최근10년</t>
    <phoneticPr fontId="10" type="noConversion"/>
  </si>
  <si>
    <t>최근15년</t>
    <phoneticPr fontId="10" type="noConversion"/>
  </si>
  <si>
    <t>최근20년</t>
    <phoneticPr fontId="10" type="noConversion"/>
  </si>
  <si>
    <t>-</t>
    <phoneticPr fontId="10" type="noConversion"/>
  </si>
  <si>
    <t>5년 단위 인구증감율</t>
    <phoneticPr fontId="10" type="noConversion"/>
  </si>
  <si>
    <t>동해시 과거인구 현황분석</t>
    <phoneticPr fontId="10" type="noConversion"/>
  </si>
  <si>
    <t xml:space="preserve">동해거주율
90%적용,외부유입률50% </t>
    <phoneticPr fontId="10" type="noConversion"/>
  </si>
  <si>
    <t>수학적 추정방법 (과거10년적용)</t>
    <phoneticPr fontId="10" type="noConversion"/>
  </si>
  <si>
    <t>구분</t>
    <phoneticPr fontId="10" type="noConversion"/>
  </si>
  <si>
    <t>2007년</t>
    <phoneticPr fontId="10" type="noConversion"/>
  </si>
  <si>
    <t>○</t>
    <phoneticPr fontId="50" type="noConversion"/>
  </si>
  <si>
    <r>
      <t>R</t>
    </r>
    <r>
      <rPr>
        <vertAlign val="superscript"/>
        <sz val="10"/>
        <color indexed="10"/>
        <rFont val="굴림"/>
        <family val="3"/>
        <charset val="129"/>
      </rPr>
      <t>2</t>
    </r>
    <r>
      <rPr>
        <sz val="10"/>
        <color indexed="10"/>
        <rFont val="굴림"/>
        <family val="3"/>
        <charset val="129"/>
      </rPr>
      <t>=</t>
    </r>
    <phoneticPr fontId="10" type="noConversion"/>
  </si>
  <si>
    <t>▨ 결과 및 적용 (과거 10년)</t>
    <phoneticPr fontId="50" type="noConversion"/>
  </si>
  <si>
    <t>선정</t>
    <phoneticPr fontId="50" type="noConversion"/>
  </si>
  <si>
    <t>비고</t>
    <phoneticPr fontId="50" type="noConversion"/>
  </si>
  <si>
    <t>○</t>
    <phoneticPr fontId="50" type="noConversion"/>
  </si>
  <si>
    <t>천곡동  (10년 인구추정)</t>
    <phoneticPr fontId="50" type="noConversion"/>
  </si>
  <si>
    <r>
      <t>R</t>
    </r>
    <r>
      <rPr>
        <vertAlign val="superscript"/>
        <sz val="10"/>
        <color indexed="10"/>
        <rFont val="굴림"/>
        <family val="3"/>
        <charset val="129"/>
      </rPr>
      <t>2</t>
    </r>
    <r>
      <rPr>
        <sz val="10"/>
        <color indexed="10"/>
        <rFont val="굴림"/>
        <family val="3"/>
        <charset val="129"/>
      </rPr>
      <t>=</t>
    </r>
    <phoneticPr fontId="10" type="noConversion"/>
  </si>
  <si>
    <t>▨ 결과 및 적용 (과거 10년)</t>
    <phoneticPr fontId="50" type="noConversion"/>
  </si>
  <si>
    <t>선정</t>
    <phoneticPr fontId="50" type="noConversion"/>
  </si>
  <si>
    <t>비고</t>
    <phoneticPr fontId="50" type="noConversion"/>
  </si>
  <si>
    <t>○</t>
    <phoneticPr fontId="50" type="noConversion"/>
  </si>
  <si>
    <t>송정동  (10년 인구추정)</t>
    <phoneticPr fontId="50" type="noConversion"/>
  </si>
  <si>
    <r>
      <t>R</t>
    </r>
    <r>
      <rPr>
        <vertAlign val="superscript"/>
        <sz val="10"/>
        <color indexed="10"/>
        <rFont val="굴림"/>
        <family val="3"/>
        <charset val="129"/>
      </rPr>
      <t>2</t>
    </r>
    <r>
      <rPr>
        <sz val="10"/>
        <color indexed="10"/>
        <rFont val="굴림"/>
        <family val="3"/>
        <charset val="129"/>
      </rPr>
      <t>=</t>
    </r>
    <phoneticPr fontId="10" type="noConversion"/>
  </si>
  <si>
    <t>▨ 결과 및 적용 (과거 10년)</t>
    <phoneticPr fontId="50" type="noConversion"/>
  </si>
  <si>
    <t>선정</t>
    <phoneticPr fontId="50" type="noConversion"/>
  </si>
  <si>
    <t>비고</t>
    <phoneticPr fontId="50" type="noConversion"/>
  </si>
  <si>
    <t>○</t>
    <phoneticPr fontId="50" type="noConversion"/>
  </si>
  <si>
    <r>
      <t>R</t>
    </r>
    <r>
      <rPr>
        <vertAlign val="superscript"/>
        <sz val="10"/>
        <color indexed="10"/>
        <rFont val="굴림"/>
        <family val="3"/>
        <charset val="129"/>
      </rPr>
      <t>2</t>
    </r>
    <r>
      <rPr>
        <sz val="10"/>
        <color indexed="10"/>
        <rFont val="굴림"/>
        <family val="3"/>
        <charset val="129"/>
      </rPr>
      <t>=</t>
    </r>
    <phoneticPr fontId="10" type="noConversion"/>
  </si>
  <si>
    <t>▨ 결과 및 적용 (과거 10년)</t>
    <phoneticPr fontId="50" type="noConversion"/>
  </si>
  <si>
    <t>선정</t>
    <phoneticPr fontId="50" type="noConversion"/>
  </si>
  <si>
    <t>비고</t>
    <phoneticPr fontId="50" type="noConversion"/>
  </si>
  <si>
    <t>○</t>
    <phoneticPr fontId="50" type="noConversion"/>
  </si>
  <si>
    <r>
      <t>R</t>
    </r>
    <r>
      <rPr>
        <vertAlign val="superscript"/>
        <sz val="10"/>
        <color indexed="10"/>
        <rFont val="굴림"/>
        <family val="3"/>
        <charset val="129"/>
      </rPr>
      <t>2</t>
    </r>
    <r>
      <rPr>
        <sz val="10"/>
        <color indexed="10"/>
        <rFont val="굴림"/>
        <family val="3"/>
        <charset val="129"/>
      </rPr>
      <t>=</t>
    </r>
    <phoneticPr fontId="10" type="noConversion"/>
  </si>
  <si>
    <t>▨ 결과 및 적용 (과거 10년)</t>
    <phoneticPr fontId="50" type="noConversion"/>
  </si>
  <si>
    <t>선정</t>
    <phoneticPr fontId="50" type="noConversion"/>
  </si>
  <si>
    <t>비고</t>
    <phoneticPr fontId="50" type="noConversion"/>
  </si>
  <si>
    <t>○</t>
    <phoneticPr fontId="50" type="noConversion"/>
  </si>
  <si>
    <t>묵호동  (10년 인구추정)</t>
    <phoneticPr fontId="50" type="noConversion"/>
  </si>
  <si>
    <t>Y=ax+b</t>
    <phoneticPr fontId="50" type="noConversion"/>
  </si>
  <si>
    <r>
      <t>R</t>
    </r>
    <r>
      <rPr>
        <vertAlign val="superscript"/>
        <sz val="10"/>
        <color indexed="10"/>
        <rFont val="굴림"/>
        <family val="3"/>
        <charset val="129"/>
      </rPr>
      <t>2</t>
    </r>
    <r>
      <rPr>
        <sz val="10"/>
        <color indexed="10"/>
        <rFont val="굴림"/>
        <family val="3"/>
        <charset val="129"/>
      </rPr>
      <t>=</t>
    </r>
    <phoneticPr fontId="10" type="noConversion"/>
  </si>
  <si>
    <t>▨ 결과 및 적용 (과거 10년)</t>
    <phoneticPr fontId="50" type="noConversion"/>
  </si>
  <si>
    <t>선정</t>
    <phoneticPr fontId="50" type="noConversion"/>
  </si>
  <si>
    <t>비고</t>
    <phoneticPr fontId="50" type="noConversion"/>
  </si>
  <si>
    <t>○</t>
    <phoneticPr fontId="50" type="noConversion"/>
  </si>
  <si>
    <t>삼화동  (10년 인구추정)</t>
    <phoneticPr fontId="50" type="noConversion"/>
  </si>
  <si>
    <t>북삼동  (10년 인구추정)</t>
    <phoneticPr fontId="50" type="noConversion"/>
  </si>
  <si>
    <t>부곡동  (10년 인구추정)</t>
    <phoneticPr fontId="50" type="noConversion"/>
  </si>
  <si>
    <t>동호동  (10년 인구추정)</t>
    <phoneticPr fontId="50" type="noConversion"/>
  </si>
  <si>
    <t>발한동  (10년 인구추정)</t>
    <phoneticPr fontId="50" type="noConversion"/>
  </si>
  <si>
    <t>북평동  (10년 인구추정)</t>
    <phoneticPr fontId="50" type="noConversion"/>
  </si>
  <si>
    <t>망상동  (10년 인구추정)</t>
    <phoneticPr fontId="50" type="noConversion"/>
  </si>
  <si>
    <t>○</t>
    <phoneticPr fontId="50" type="noConversion"/>
  </si>
  <si>
    <r>
      <t>R</t>
    </r>
    <r>
      <rPr>
        <vertAlign val="superscript"/>
        <sz val="10"/>
        <color indexed="10"/>
        <rFont val="굴림"/>
        <family val="3"/>
        <charset val="129"/>
      </rPr>
      <t>2</t>
    </r>
    <r>
      <rPr>
        <sz val="10"/>
        <color indexed="10"/>
        <rFont val="굴림"/>
        <family val="3"/>
        <charset val="129"/>
      </rPr>
      <t>=</t>
    </r>
    <phoneticPr fontId="10" type="noConversion"/>
  </si>
  <si>
    <t>=LN(A)</t>
    <phoneticPr fontId="50" type="noConversion"/>
  </si>
  <si>
    <t>선정</t>
    <phoneticPr fontId="50" type="noConversion"/>
  </si>
  <si>
    <t>비고</t>
    <phoneticPr fontId="50" type="noConversion"/>
  </si>
  <si>
    <t>○</t>
    <phoneticPr fontId="50" type="noConversion"/>
  </si>
  <si>
    <t>송정동 (5년 인구추정)</t>
    <phoneticPr fontId="50" type="noConversion"/>
  </si>
  <si>
    <r>
      <t>R</t>
    </r>
    <r>
      <rPr>
        <vertAlign val="superscript"/>
        <sz val="10"/>
        <color indexed="10"/>
        <rFont val="굴림"/>
        <family val="3"/>
        <charset val="129"/>
      </rPr>
      <t>2</t>
    </r>
    <r>
      <rPr>
        <sz val="10"/>
        <color indexed="10"/>
        <rFont val="굴림"/>
        <family val="3"/>
        <charset val="129"/>
      </rPr>
      <t>=</t>
    </r>
    <phoneticPr fontId="10" type="noConversion"/>
  </si>
  <si>
    <t>=LN(A)</t>
    <phoneticPr fontId="50" type="noConversion"/>
  </si>
  <si>
    <t>선정</t>
    <phoneticPr fontId="50" type="noConversion"/>
  </si>
  <si>
    <t>비고</t>
    <phoneticPr fontId="50" type="noConversion"/>
  </si>
  <si>
    <t>○</t>
    <phoneticPr fontId="50" type="noConversion"/>
  </si>
  <si>
    <t>북삼동 (5년 인구추정)</t>
    <phoneticPr fontId="50" type="noConversion"/>
  </si>
  <si>
    <t>▨ 결과 및 적용 (과거 5년)</t>
    <phoneticPr fontId="50" type="noConversion"/>
  </si>
  <si>
    <t>▨ 결과 및 적용 (과거 5년)</t>
    <phoneticPr fontId="50" type="noConversion"/>
  </si>
  <si>
    <t>부곡동 (5년 인구추정)</t>
    <phoneticPr fontId="50" type="noConversion"/>
  </si>
  <si>
    <t>=LN(A)</t>
    <phoneticPr fontId="50" type="noConversion"/>
  </si>
  <si>
    <t>▨ 결과 및 적용 (과거 5년)</t>
    <phoneticPr fontId="50" type="noConversion"/>
  </si>
  <si>
    <t>동호동 (5년 인구추정)</t>
    <phoneticPr fontId="50" type="noConversion"/>
  </si>
  <si>
    <t>발한동 (5년 인구추정)</t>
    <phoneticPr fontId="50" type="noConversion"/>
  </si>
  <si>
    <t>묵호동 (5년 인구추정)</t>
    <phoneticPr fontId="50" type="noConversion"/>
  </si>
  <si>
    <t>=LN(A)</t>
    <phoneticPr fontId="50" type="noConversion"/>
  </si>
  <si>
    <t>▨ 결과 및 적용 (과거 5년)</t>
    <phoneticPr fontId="50" type="noConversion"/>
  </si>
  <si>
    <t>북평동 (5년 인구추정)</t>
    <phoneticPr fontId="50" type="noConversion"/>
  </si>
  <si>
    <t>망상동 (5년 인구추정)</t>
    <phoneticPr fontId="50" type="noConversion"/>
  </si>
  <si>
    <r>
      <t>R</t>
    </r>
    <r>
      <rPr>
        <vertAlign val="superscript"/>
        <sz val="10"/>
        <color indexed="10"/>
        <rFont val="굴림"/>
        <family val="3"/>
        <charset val="129"/>
      </rPr>
      <t>2</t>
    </r>
    <r>
      <rPr>
        <sz val="10"/>
        <color indexed="10"/>
        <rFont val="굴림"/>
        <family val="3"/>
        <charset val="129"/>
      </rPr>
      <t>=</t>
    </r>
    <phoneticPr fontId="10" type="noConversion"/>
  </si>
  <si>
    <t>=LN(A)</t>
    <phoneticPr fontId="50" type="noConversion"/>
  </si>
  <si>
    <t>선정</t>
    <phoneticPr fontId="50" type="noConversion"/>
  </si>
  <si>
    <t>비고</t>
    <phoneticPr fontId="50" type="noConversion"/>
  </si>
  <si>
    <t>삼화동 (5년 인구추정)</t>
    <phoneticPr fontId="50" type="noConversion"/>
  </si>
  <si>
    <t>세대수×2.6인적용</t>
    <phoneticPr fontId="10" type="noConversion"/>
  </si>
  <si>
    <t>상수도수요량예측업무편람(2008.10, 환경부,국해부)25.7%</t>
    <phoneticPr fontId="10" type="noConversion"/>
  </si>
  <si>
    <t>제2첨단산업단지 토지이용</t>
    <phoneticPr fontId="10" type="noConversion"/>
  </si>
  <si>
    <t>화합물 및 화학제품</t>
    <phoneticPr fontId="10" type="noConversion"/>
  </si>
  <si>
    <t>자동차 및 트레일러</t>
    <phoneticPr fontId="10" type="noConversion"/>
  </si>
  <si>
    <t>기타운송장비</t>
    <phoneticPr fontId="10" type="noConversion"/>
  </si>
  <si>
    <t>비금속광물제품</t>
    <phoneticPr fontId="10" type="noConversion"/>
  </si>
  <si>
    <t>1차금속산업</t>
    <phoneticPr fontId="10" type="noConversion"/>
  </si>
  <si>
    <t>기타 기계 및 장비</t>
    <phoneticPr fontId="10" type="noConversion"/>
  </si>
  <si>
    <t>기타 전기기계및 전기변환장치</t>
    <phoneticPr fontId="10" type="noConversion"/>
  </si>
  <si>
    <t>전자부품,영상,음향,통신장비</t>
    <phoneticPr fontId="10" type="noConversion"/>
  </si>
  <si>
    <t>의료,정밀과학기기 및 시계</t>
    <phoneticPr fontId="10" type="noConversion"/>
  </si>
  <si>
    <t>음 식료품</t>
    <phoneticPr fontId="10" type="noConversion"/>
  </si>
  <si>
    <t xml:space="preserve">생산지원 </t>
    <phoneticPr fontId="10" type="noConversion"/>
  </si>
  <si>
    <t>후생복지시설</t>
    <phoneticPr fontId="10" type="noConversion"/>
  </si>
  <si>
    <t>종업원</t>
    <phoneticPr fontId="10" type="noConversion"/>
  </si>
  <si>
    <t>용수</t>
    <phoneticPr fontId="10" type="noConversion"/>
  </si>
  <si>
    <t>동해항배후단지-1</t>
    <phoneticPr fontId="10" type="noConversion"/>
  </si>
  <si>
    <t>동해항배후단지-2</t>
    <phoneticPr fontId="10" type="noConversion"/>
  </si>
  <si>
    <t>동해항배후단지-3</t>
    <phoneticPr fontId="10" type="noConversion"/>
  </si>
  <si>
    <t>부두명</t>
  </si>
  <si>
    <t>석탄부두</t>
  </si>
  <si>
    <t>남부두</t>
  </si>
  <si>
    <t>북부두</t>
  </si>
  <si>
    <t>중앙부두</t>
  </si>
  <si>
    <t>서부두</t>
  </si>
  <si>
    <t>유류부두</t>
  </si>
  <si>
    <t>인구비율</t>
    <phoneticPr fontId="10" type="noConversion"/>
  </si>
  <si>
    <t>출산율</t>
    <phoneticPr fontId="10" type="noConversion"/>
  </si>
  <si>
    <t>연령별</t>
    <phoneticPr fontId="10" type="noConversion"/>
  </si>
  <si>
    <t>합</t>
    <phoneticPr fontId="10" type="noConversion"/>
  </si>
  <si>
    <t>남</t>
    <phoneticPr fontId="10" type="noConversion"/>
  </si>
  <si>
    <t>여</t>
    <phoneticPr fontId="10" type="noConversion"/>
  </si>
  <si>
    <t>가임여성</t>
    <phoneticPr fontId="10" type="noConversion"/>
  </si>
  <si>
    <t>2005-2010</t>
    <phoneticPr fontId="10" type="noConversion"/>
  </si>
  <si>
    <t>2010-2015</t>
    <phoneticPr fontId="10" type="noConversion"/>
  </si>
  <si>
    <t>2015-2020</t>
    <phoneticPr fontId="10" type="noConversion"/>
  </si>
  <si>
    <t>2020-2025</t>
    <phoneticPr fontId="10" type="noConversion"/>
  </si>
  <si>
    <t>0~4</t>
    <phoneticPr fontId="10" type="noConversion"/>
  </si>
  <si>
    <t>15~19</t>
    <phoneticPr fontId="10" type="noConversion"/>
  </si>
  <si>
    <t>5~9</t>
    <phoneticPr fontId="10" type="noConversion"/>
  </si>
  <si>
    <t>20~24</t>
    <phoneticPr fontId="10" type="noConversion"/>
  </si>
  <si>
    <t>10~14</t>
    <phoneticPr fontId="10" type="noConversion"/>
  </si>
  <si>
    <t>25~29</t>
    <phoneticPr fontId="10" type="noConversion"/>
  </si>
  <si>
    <t>30~34</t>
    <phoneticPr fontId="10" type="noConversion"/>
  </si>
  <si>
    <t>35~39</t>
    <phoneticPr fontId="10" type="noConversion"/>
  </si>
  <si>
    <t>40~44</t>
    <phoneticPr fontId="10" type="noConversion"/>
  </si>
  <si>
    <t>45~49</t>
    <phoneticPr fontId="10" type="noConversion"/>
  </si>
  <si>
    <t>50~54</t>
    <phoneticPr fontId="10" type="noConversion"/>
  </si>
  <si>
    <t>55~59</t>
    <phoneticPr fontId="10" type="noConversion"/>
  </si>
  <si>
    <t>60~64</t>
    <phoneticPr fontId="10" type="noConversion"/>
  </si>
  <si>
    <t>65~69</t>
    <phoneticPr fontId="10" type="noConversion"/>
  </si>
  <si>
    <t>70~74</t>
    <phoneticPr fontId="10" type="noConversion"/>
  </si>
  <si>
    <t>단위 : 명, 여아100명당</t>
    <phoneticPr fontId="10" type="noConversion"/>
  </si>
  <si>
    <t>75~79</t>
    <phoneticPr fontId="10" type="noConversion"/>
  </si>
  <si>
    <t>80~84</t>
    <phoneticPr fontId="10" type="noConversion"/>
  </si>
  <si>
    <t>성비</t>
    <phoneticPr fontId="10" type="noConversion"/>
  </si>
  <si>
    <t>85~89</t>
    <phoneticPr fontId="10" type="noConversion"/>
  </si>
  <si>
    <t>남(%)</t>
    <phoneticPr fontId="10" type="noConversion"/>
  </si>
  <si>
    <t>90~94</t>
    <phoneticPr fontId="10" type="noConversion"/>
  </si>
  <si>
    <t>95+</t>
    <phoneticPr fontId="10" type="noConversion"/>
  </si>
  <si>
    <t>합계</t>
    <phoneticPr fontId="10" type="noConversion"/>
  </si>
  <si>
    <t>출산</t>
    <phoneticPr fontId="10" type="noConversion"/>
  </si>
  <si>
    <t>80~84</t>
  </si>
  <si>
    <t>2015년추정</t>
    <phoneticPr fontId="10" type="noConversion"/>
  </si>
  <si>
    <t>생잔율(10-15) (S)</t>
    <phoneticPr fontId="10" type="noConversion"/>
  </si>
  <si>
    <t>인구추정(2015) (P×S)</t>
    <phoneticPr fontId="10" type="noConversion"/>
  </si>
  <si>
    <t>출산율
(10-15)</t>
    <phoneticPr fontId="10" type="noConversion"/>
  </si>
  <si>
    <t>2020년추정</t>
    <phoneticPr fontId="10" type="noConversion"/>
  </si>
  <si>
    <t>인구(2015) (P)</t>
    <phoneticPr fontId="10" type="noConversion"/>
  </si>
  <si>
    <t>생잔율(15-20) (S)</t>
    <phoneticPr fontId="10" type="noConversion"/>
  </si>
  <si>
    <t>인구추정(2020) (P×S)</t>
    <phoneticPr fontId="10" type="noConversion"/>
  </si>
  <si>
    <t>출산율
(15-20)</t>
    <phoneticPr fontId="10" type="noConversion"/>
  </si>
  <si>
    <t>2025년추정</t>
    <phoneticPr fontId="10" type="noConversion"/>
  </si>
  <si>
    <t>인구(2020) (P)</t>
    <phoneticPr fontId="10" type="noConversion"/>
  </si>
  <si>
    <t>생잔율(20-25) (S)</t>
    <phoneticPr fontId="10" type="noConversion"/>
  </si>
  <si>
    <t>인구추정(2025) (P×S)</t>
    <phoneticPr fontId="10" type="noConversion"/>
  </si>
  <si>
    <t>출산율
(20-25)</t>
    <phoneticPr fontId="10" type="noConversion"/>
  </si>
  <si>
    <t>인구추계(자연증가)</t>
    <phoneticPr fontId="10" type="noConversion"/>
  </si>
  <si>
    <t>단위 : 세,명</t>
    <phoneticPr fontId="10" type="noConversion"/>
  </si>
  <si>
    <t>2015년 추정</t>
    <phoneticPr fontId="10" type="noConversion"/>
  </si>
  <si>
    <t>2020년 추정</t>
    <phoneticPr fontId="10" type="noConversion"/>
  </si>
  <si>
    <t>2025년 추정</t>
    <phoneticPr fontId="10" type="noConversion"/>
  </si>
  <si>
    <t>85~89</t>
  </si>
  <si>
    <t>계획인구</t>
    <phoneticPr fontId="10" type="noConversion"/>
  </si>
  <si>
    <t>시도별 성비</t>
    <phoneticPr fontId="10" type="noConversion"/>
  </si>
  <si>
    <t>Sex Ratio by Province</t>
    <phoneticPr fontId="10" type="noConversion"/>
  </si>
  <si>
    <t>구     분</t>
    <phoneticPr fontId="10" type="noConversion"/>
  </si>
  <si>
    <t>Unit : per 100 females</t>
    <phoneticPr fontId="10" type="noConversion"/>
  </si>
  <si>
    <t>15 ~ 19</t>
  </si>
  <si>
    <t>연도</t>
    <phoneticPr fontId="10" type="noConversion"/>
  </si>
  <si>
    <t>남성비</t>
    <phoneticPr fontId="10" type="noConversion"/>
  </si>
  <si>
    <t>20 ~ 24</t>
  </si>
  <si>
    <t>25 ~ 29</t>
  </si>
  <si>
    <t>30 ~ 34</t>
  </si>
  <si>
    <t>35 ~ 39</t>
  </si>
  <si>
    <t>40 ~ 44</t>
  </si>
  <si>
    <t>45 ~ 49</t>
  </si>
  <si>
    <t>주) 시도별 장래인구 추계</t>
    <phoneticPr fontId="10" type="noConversion"/>
  </si>
  <si>
    <t>단위 : 해당연령 여자인구 1천명당</t>
    <phoneticPr fontId="10" type="noConversion"/>
  </si>
  <si>
    <t>15 ~ 19</t>
    <phoneticPr fontId="10" type="noConversion"/>
  </si>
  <si>
    <t>20 ~ 24</t>
    <phoneticPr fontId="10" type="noConversion"/>
  </si>
  <si>
    <t>25 ~ 29</t>
    <phoneticPr fontId="10" type="noConversion"/>
  </si>
  <si>
    <t>30 ~ 34</t>
    <phoneticPr fontId="10" type="noConversion"/>
  </si>
  <si>
    <t>35 ~ 39</t>
    <phoneticPr fontId="10" type="noConversion"/>
  </si>
  <si>
    <t>40 ~ 44</t>
    <phoneticPr fontId="10" type="noConversion"/>
  </si>
  <si>
    <t>45 ~ 49</t>
    <phoneticPr fontId="10" type="noConversion"/>
  </si>
  <si>
    <t>남자성비</t>
    <phoneticPr fontId="10" type="noConversion"/>
  </si>
  <si>
    <t>여자성비</t>
    <phoneticPr fontId="10" type="noConversion"/>
  </si>
  <si>
    <t>남아비율</t>
    <phoneticPr fontId="10" type="noConversion"/>
  </si>
  <si>
    <t>여아비율</t>
    <phoneticPr fontId="10" type="noConversion"/>
  </si>
  <si>
    <t>주) 시도별 장래인구 추계p.50</t>
    <phoneticPr fontId="10" type="noConversion"/>
  </si>
  <si>
    <t>생존수</t>
  </si>
  <si>
    <t>정지인구</t>
  </si>
  <si>
    <t>기대여명</t>
  </si>
  <si>
    <t>lx</t>
  </si>
  <si>
    <t>nLx</t>
  </si>
  <si>
    <t xml:space="preserve">e˚x </t>
  </si>
  <si>
    <t>85-89</t>
  </si>
  <si>
    <t>90-94</t>
  </si>
  <si>
    <t>0 ~ 4</t>
    <phoneticPr fontId="10" type="noConversion"/>
  </si>
  <si>
    <t>5 ~ 9</t>
    <phoneticPr fontId="10" type="noConversion"/>
  </si>
  <si>
    <t>10 ~ 14</t>
    <phoneticPr fontId="10" type="noConversion"/>
  </si>
  <si>
    <t>50 ~ 54</t>
    <phoneticPr fontId="10" type="noConversion"/>
  </si>
  <si>
    <t>55 ~ 59</t>
    <phoneticPr fontId="10" type="noConversion"/>
  </si>
  <si>
    <t>60 ~ 64</t>
    <phoneticPr fontId="10" type="noConversion"/>
  </si>
  <si>
    <t>65 ~ 69</t>
    <phoneticPr fontId="10" type="noConversion"/>
  </si>
  <si>
    <t>70 ~ 74</t>
    <phoneticPr fontId="10" type="noConversion"/>
  </si>
  <si>
    <t>75 ~ 79</t>
    <phoneticPr fontId="10" type="noConversion"/>
  </si>
  <si>
    <t>80 ~ 84</t>
    <phoneticPr fontId="10" type="noConversion"/>
  </si>
  <si>
    <t>85-89</t>
    <phoneticPr fontId="10" type="noConversion"/>
  </si>
  <si>
    <t>90-94</t>
    <phoneticPr fontId="10" type="noConversion"/>
  </si>
  <si>
    <t>나. 생잔율추이(1-사망율)</t>
    <phoneticPr fontId="10" type="noConversion"/>
  </si>
  <si>
    <t>Abridged Life Tables by Province</t>
    <phoneticPr fontId="62" type="noConversion"/>
  </si>
  <si>
    <t>남자</t>
    <phoneticPr fontId="10" type="noConversion"/>
  </si>
  <si>
    <t>사망확률</t>
    <phoneticPr fontId="10" type="noConversion"/>
  </si>
  <si>
    <t>여자</t>
    <phoneticPr fontId="10" type="noConversion"/>
  </si>
  <si>
    <t>Male</t>
    <phoneticPr fontId="10" type="noConversion"/>
  </si>
  <si>
    <t>nqx</t>
    <phoneticPr fontId="10" type="noConversion"/>
  </si>
  <si>
    <t>Female</t>
    <phoneticPr fontId="10" type="noConversion"/>
  </si>
  <si>
    <t>동해거주율
90%적용,외부유입율50%</t>
    <phoneticPr fontId="10" type="noConversion"/>
  </si>
  <si>
    <t>동해거주율
90%적용,외부유입율50%</t>
    <phoneticPr fontId="10" type="noConversion"/>
  </si>
  <si>
    <t>증가인구</t>
    <phoneticPr fontId="10" type="noConversion"/>
  </si>
  <si>
    <t>영동권 급수체계 조정방안 구축사업 기본계획 수립(2008.12)</t>
    <phoneticPr fontId="10" type="noConversion"/>
  </si>
  <si>
    <t>강원도 물 수요관리 종합계획(2005.10)</t>
    <phoneticPr fontId="10" type="noConversion"/>
  </si>
  <si>
    <t>세대수×2.6인적용</t>
    <phoneticPr fontId="10" type="noConversion"/>
  </si>
  <si>
    <t>1.3.4사회적유입인구산정</t>
    <phoneticPr fontId="10" type="noConversion"/>
  </si>
  <si>
    <t>구 분</t>
    <phoneticPr fontId="10" type="noConversion"/>
  </si>
  <si>
    <t>세대수</t>
    <phoneticPr fontId="10" type="noConversion"/>
  </si>
  <si>
    <t>입주예정
년     도</t>
    <phoneticPr fontId="10" type="noConversion"/>
  </si>
  <si>
    <t>단위</t>
    <phoneticPr fontId="10" type="noConversion"/>
  </si>
  <si>
    <t>동해시 유입인구(인)</t>
    <phoneticPr fontId="10" type="noConversion"/>
  </si>
  <si>
    <t>비 고</t>
    <phoneticPr fontId="10" type="noConversion"/>
  </si>
  <si>
    <t>(2008)</t>
    <phoneticPr fontId="10" type="noConversion"/>
  </si>
  <si>
    <t>사회적
유입인구</t>
    <phoneticPr fontId="10" type="noConversion"/>
  </si>
  <si>
    <t>택지개발
유발인구</t>
    <phoneticPr fontId="10" type="noConversion"/>
  </si>
  <si>
    <t>주택개발
계      획</t>
    <phoneticPr fontId="10" type="noConversion"/>
  </si>
  <si>
    <t>하나임대아파트</t>
    <phoneticPr fontId="10" type="noConversion"/>
  </si>
  <si>
    <t>인</t>
    <phoneticPr fontId="10" type="noConversion"/>
  </si>
  <si>
    <t>엘리시아아파트</t>
    <phoneticPr fontId="10" type="noConversion"/>
  </si>
  <si>
    <t>호반베르디움</t>
    <phoneticPr fontId="10" type="noConversion"/>
  </si>
  <si>
    <t>금아아파트</t>
    <phoneticPr fontId="10" type="noConversion"/>
  </si>
  <si>
    <t>바다공원아파트</t>
    <phoneticPr fontId="10" type="noConversion"/>
  </si>
  <si>
    <t>글로리아아파트</t>
    <phoneticPr fontId="10" type="noConversion"/>
  </si>
  <si>
    <t>송정주공아파트</t>
    <phoneticPr fontId="10" type="noConversion"/>
  </si>
  <si>
    <t>효가동아파트</t>
    <phoneticPr fontId="10" type="noConversion"/>
  </si>
  <si>
    <t>유화임대아파트</t>
    <phoneticPr fontId="10" type="noConversion"/>
  </si>
  <si>
    <t>군부대관사</t>
    <phoneticPr fontId="10" type="noConversion"/>
  </si>
  <si>
    <t>낙산지구관사</t>
    <phoneticPr fontId="10" type="noConversion"/>
  </si>
  <si>
    <t>경포지구관사</t>
    <phoneticPr fontId="10" type="noConversion"/>
  </si>
  <si>
    <t>사령부생활관</t>
    <phoneticPr fontId="10" type="noConversion"/>
  </si>
  <si>
    <t>용정동 독신숙소</t>
    <phoneticPr fontId="10" type="noConversion"/>
  </si>
  <si>
    <t>지구단위계획</t>
    <phoneticPr fontId="10" type="noConversion"/>
  </si>
  <si>
    <t>망상뜰지구 
제1종지구단위계획</t>
    <phoneticPr fontId="10" type="noConversion"/>
  </si>
  <si>
    <t>북평 지구 
제1종지구단위계획</t>
    <phoneticPr fontId="10" type="noConversion"/>
  </si>
  <si>
    <t>도시개발사업</t>
    <phoneticPr fontId="10" type="noConversion"/>
  </si>
  <si>
    <t>월소지구</t>
    <phoneticPr fontId="10" type="noConversion"/>
  </si>
  <si>
    <t>세대수×3.4인</t>
    <phoneticPr fontId="10" type="noConversion"/>
  </si>
  <si>
    <t>소  계</t>
    <phoneticPr fontId="10" type="noConversion"/>
  </si>
  <si>
    <t>주택개발계획+지구단위계획</t>
    <phoneticPr fontId="10" type="noConversion"/>
  </si>
  <si>
    <t>산업단지</t>
    <phoneticPr fontId="10" type="noConversion"/>
  </si>
  <si>
    <t>송정산업단지</t>
    <phoneticPr fontId="10" type="noConversion"/>
  </si>
  <si>
    <t xml:space="preserve">동해거주율
90%적용,외부유입률95% </t>
    <phoneticPr fontId="10" type="noConversion"/>
  </si>
  <si>
    <t>가족동반율
80%적용</t>
    <phoneticPr fontId="10" type="noConversion"/>
  </si>
  <si>
    <t>동반가족수
2.6인적용</t>
    <phoneticPr fontId="10" type="noConversion"/>
  </si>
  <si>
    <t>소계</t>
    <phoneticPr fontId="10" type="noConversion"/>
  </si>
  <si>
    <t>북평산업단지</t>
    <phoneticPr fontId="10" type="noConversion"/>
  </si>
  <si>
    <t>수도권이전보조금지원업체 현황 중
전체 면적대비 26.4%</t>
    <phoneticPr fontId="10" type="noConversion"/>
  </si>
  <si>
    <t>가동율</t>
    <phoneticPr fontId="10" type="noConversion"/>
  </si>
  <si>
    <t>증가인구</t>
    <phoneticPr fontId="10" type="noConversion"/>
  </si>
  <si>
    <t>동해자유무역지역</t>
    <phoneticPr fontId="10" type="noConversion"/>
  </si>
  <si>
    <t>산업입지원단위산정에 관한연구
지방산단 원단위적용</t>
    <phoneticPr fontId="10" type="noConversion"/>
  </si>
  <si>
    <t>북평제2
첨단산업단지</t>
    <phoneticPr fontId="10" type="noConversion"/>
  </si>
  <si>
    <t>동해항 배후단지</t>
    <phoneticPr fontId="10" type="noConversion"/>
  </si>
  <si>
    <t>동해거주율
90%적용</t>
    <phoneticPr fontId="10" type="noConversion"/>
  </si>
  <si>
    <t>소  계 (B)</t>
    <phoneticPr fontId="10" type="noConversion"/>
  </si>
  <si>
    <t>묵호항 재개발</t>
    <phoneticPr fontId="10" type="noConversion"/>
  </si>
  <si>
    <t>묵호항 재개발 사업 타당성 및 
개발방안 보고서(2009.2, 동해시)</t>
    <phoneticPr fontId="10" type="noConversion"/>
  </si>
  <si>
    <t>.</t>
    <phoneticPr fontId="10" type="noConversion"/>
  </si>
  <si>
    <t>총  계</t>
    <phoneticPr fontId="10" type="noConversion"/>
  </si>
  <si>
    <t>(A)+(B)+(C)</t>
    <phoneticPr fontId="10" type="noConversion"/>
  </si>
  <si>
    <t>비지니스센터</t>
    <phoneticPr fontId="10" type="noConversion"/>
  </si>
  <si>
    <t>망상동</t>
    <phoneticPr fontId="10" type="noConversion"/>
  </si>
  <si>
    <t>관광레져시설</t>
    <phoneticPr fontId="10" type="noConversion"/>
  </si>
  <si>
    <t>여객선터미널
수산연구단지
해양박물관</t>
    <phoneticPr fontId="10" type="noConversion"/>
  </si>
  <si>
    <t>묵호동</t>
    <phoneticPr fontId="10" type="noConversion"/>
  </si>
  <si>
    <t>면적(㎡)</t>
    <phoneticPr fontId="10" type="noConversion"/>
  </si>
  <si>
    <t>원단위</t>
    <phoneticPr fontId="10" type="noConversion"/>
  </si>
  <si>
    <t>강원일보</t>
    <phoneticPr fontId="10" type="noConversion"/>
  </si>
  <si>
    <t>물류단지</t>
    <phoneticPr fontId="10" type="noConversion"/>
  </si>
  <si>
    <t>송정동</t>
    <phoneticPr fontId="10" type="noConversion"/>
  </si>
  <si>
    <t>북평동</t>
    <phoneticPr fontId="10" type="noConversion"/>
  </si>
  <si>
    <t>북평제2첨단산업단지</t>
    <phoneticPr fontId="10" type="noConversion"/>
  </si>
  <si>
    <t>군부대(추암)</t>
    <phoneticPr fontId="10" type="noConversion"/>
  </si>
  <si>
    <t>중대급</t>
    <phoneticPr fontId="10" type="noConversion"/>
  </si>
  <si>
    <t>동해골프장</t>
    <phoneticPr fontId="10" type="noConversion"/>
  </si>
  <si>
    <t>동해해군체력단련장</t>
    <phoneticPr fontId="10" type="noConversion"/>
  </si>
  <si>
    <t>운영중 이므로 제외</t>
    <phoneticPr fontId="10" type="noConversion"/>
  </si>
  <si>
    <t>동해거주율
90%적용, 외부유입율46.5%</t>
    <phoneticPr fontId="10" type="noConversion"/>
  </si>
  <si>
    <t>동해해안지구
택지개발사업</t>
    <phoneticPr fontId="10" type="noConversion"/>
  </si>
  <si>
    <t>동해해안지구 택지개발사업
중복</t>
    <phoneticPr fontId="10" type="noConversion"/>
  </si>
  <si>
    <t>세대수×2.6인적용,
외부유입율46.5%적용</t>
  </si>
  <si>
    <t>세대수×2.6인적용,
외부유입율46.5%적용</t>
    <phoneticPr fontId="10" type="noConversion"/>
  </si>
  <si>
    <t>재개발 계획으로 제외
(구체적계획근거없음)</t>
    <phoneticPr fontId="10" type="noConversion"/>
  </si>
  <si>
    <t>2015년 추정</t>
    <phoneticPr fontId="10" type="noConversion"/>
  </si>
  <si>
    <t>2020년 추정</t>
    <phoneticPr fontId="10" type="noConversion"/>
  </si>
  <si>
    <t>2025년 추정</t>
    <phoneticPr fontId="10" type="noConversion"/>
  </si>
  <si>
    <t>2030년 추정</t>
    <phoneticPr fontId="10" type="noConversion"/>
  </si>
  <si>
    <t>◎ 생잔율</t>
    <phoneticPr fontId="10" type="noConversion"/>
  </si>
  <si>
    <t>◎ 시도별 생명표</t>
    <phoneticPr fontId="10" type="noConversion"/>
  </si>
  <si>
    <t>1-4</t>
  </si>
  <si>
    <t>5-9</t>
  </si>
  <si>
    <t>10-14</t>
  </si>
  <si>
    <t>15-19</t>
  </si>
  <si>
    <t>20-24</t>
  </si>
  <si>
    <t>25-29</t>
  </si>
  <si>
    <t>30-34</t>
  </si>
  <si>
    <t>35-39</t>
  </si>
  <si>
    <t>40-44</t>
  </si>
  <si>
    <t>45-49</t>
  </si>
  <si>
    <t>50-54</t>
  </si>
  <si>
    <t>55-59</t>
  </si>
  <si>
    <t>60-64</t>
  </si>
  <si>
    <t>65-69</t>
  </si>
  <si>
    <t>70-74</t>
  </si>
  <si>
    <t>75-79</t>
  </si>
  <si>
    <t>80-84</t>
  </si>
  <si>
    <t>95-99</t>
  </si>
  <si>
    <t>100+</t>
  </si>
  <si>
    <t>0</t>
  </si>
  <si>
    <t>충청남도[2005-5년 연평균]</t>
    <phoneticPr fontId="10" type="noConversion"/>
  </si>
  <si>
    <t>충청남도[2010-10년 연평균]</t>
    <phoneticPr fontId="10" type="noConversion"/>
  </si>
  <si>
    <t>충청남도[2015-15년 연평균]</t>
    <phoneticPr fontId="10" type="noConversion"/>
  </si>
  <si>
    <t>충청남도[2020-20년 연평균]</t>
    <phoneticPr fontId="10" type="noConversion"/>
  </si>
  <si>
    <t>충청남도[2025-25년 연평균]</t>
    <phoneticPr fontId="10" type="noConversion"/>
  </si>
  <si>
    <t>충청남도[2030-30년 연평균]</t>
    <phoneticPr fontId="10" type="noConversion"/>
  </si>
  <si>
    <t>충청남도[2035-25년 연평균]</t>
    <phoneticPr fontId="10" type="noConversion"/>
  </si>
  <si>
    <t>충청남도[2040-30년 연평균]</t>
    <phoneticPr fontId="10" type="noConversion"/>
  </si>
  <si>
    <t>2020-15</t>
    <phoneticPr fontId="10" type="noConversion"/>
  </si>
  <si>
    <t>2025-20</t>
    <phoneticPr fontId="10" type="noConversion"/>
  </si>
  <si>
    <t>2030-25</t>
    <phoneticPr fontId="10" type="noConversion"/>
  </si>
  <si>
    <t>2035-30</t>
    <phoneticPr fontId="10" type="noConversion"/>
  </si>
  <si>
    <t>2040-30</t>
    <phoneticPr fontId="10" type="noConversion"/>
  </si>
  <si>
    <t>2010-10</t>
    <phoneticPr fontId="10" type="noConversion"/>
  </si>
  <si>
    <t>2010-5</t>
    <phoneticPr fontId="10" type="noConversion"/>
  </si>
  <si>
    <t>2015-10</t>
    <phoneticPr fontId="10" type="noConversion"/>
  </si>
  <si>
    <t>2040-35</t>
    <phoneticPr fontId="10" type="noConversion"/>
  </si>
  <si>
    <t>가. 사망율추이 (통계청 - 충청남도)</t>
    <phoneticPr fontId="10" type="noConversion"/>
  </si>
  <si>
    <t>2005-05</t>
    <phoneticPr fontId="10" type="noConversion"/>
  </si>
  <si>
    <t>2015-15</t>
    <phoneticPr fontId="10" type="noConversion"/>
  </si>
  <si>
    <t>2020-20</t>
    <phoneticPr fontId="10" type="noConversion"/>
  </si>
  <si>
    <t>2025-25</t>
    <phoneticPr fontId="10" type="noConversion"/>
  </si>
  <si>
    <t>2030-30</t>
    <phoneticPr fontId="10" type="noConversion"/>
  </si>
  <si>
    <t>2030-2035</t>
    <phoneticPr fontId="10" type="noConversion"/>
  </si>
  <si>
    <t>2035-2040</t>
    <phoneticPr fontId="10" type="noConversion"/>
  </si>
  <si>
    <t>인구(2013) (P)</t>
    <phoneticPr fontId="10" type="noConversion"/>
  </si>
  <si>
    <t>2035년추정</t>
    <phoneticPr fontId="10" type="noConversion"/>
  </si>
  <si>
    <t>2040년추정</t>
    <phoneticPr fontId="10" type="noConversion"/>
  </si>
  <si>
    <t>인구(2030) (P)</t>
    <phoneticPr fontId="10" type="noConversion"/>
  </si>
  <si>
    <t>생잔율(30-35) (S)</t>
    <phoneticPr fontId="10" type="noConversion"/>
  </si>
  <si>
    <t>인구추정(2035) (P×S)</t>
    <phoneticPr fontId="10" type="noConversion"/>
  </si>
  <si>
    <t>출산율
(30-35)</t>
    <phoneticPr fontId="10" type="noConversion"/>
  </si>
  <si>
    <t>인구(2035) (P)</t>
    <phoneticPr fontId="10" type="noConversion"/>
  </si>
  <si>
    <t>생잔율(35-40) (S)</t>
    <phoneticPr fontId="10" type="noConversion"/>
  </si>
  <si>
    <t>인구추정(2040) (P×S)</t>
    <phoneticPr fontId="10" type="noConversion"/>
  </si>
  <si>
    <t>출산율
(35-40)</t>
    <phoneticPr fontId="10" type="noConversion"/>
  </si>
  <si>
    <t>2035년 추정</t>
    <phoneticPr fontId="10" type="noConversion"/>
  </si>
  <si>
    <t>2040년 추정</t>
    <phoneticPr fontId="10" type="noConversion"/>
  </si>
  <si>
    <t>◎ 충청남도 조성법에 의한 인구산정</t>
    <phoneticPr fontId="10" type="noConversion"/>
  </si>
  <si>
    <t>충청남도 모의 연령별 출산율(천명당)</t>
    <phoneticPr fontId="10" type="noConversion"/>
  </si>
  <si>
    <t>성비추이(통계청-충청남도)</t>
    <phoneticPr fontId="10" type="noConversion"/>
  </si>
  <si>
    <t xml:space="preserve">참고: 시도별장래인구추계2010, 통계청 </t>
    <phoneticPr fontId="10" type="noConversion"/>
  </si>
  <si>
    <t xml:space="preserve">참고: 시도별장래인구추계2010, 통계청 </t>
    <phoneticPr fontId="10" type="noConversion"/>
  </si>
  <si>
    <t>논산시</t>
    <phoneticPr fontId="10" type="noConversion"/>
  </si>
  <si>
    <t>강경읍</t>
    <phoneticPr fontId="10" type="noConversion"/>
  </si>
  <si>
    <t>연무읍</t>
    <phoneticPr fontId="10" type="noConversion"/>
  </si>
  <si>
    <t>취암동</t>
    <phoneticPr fontId="10" type="noConversion"/>
  </si>
  <si>
    <t>2035년</t>
    <phoneticPr fontId="10" type="noConversion"/>
  </si>
  <si>
    <t>2040년</t>
    <phoneticPr fontId="10" type="noConversion"/>
  </si>
  <si>
    <t>2013년</t>
    <phoneticPr fontId="10" type="noConversion"/>
  </si>
  <si>
    <t>통계청 충청남도
추계인구</t>
    <phoneticPr fontId="10" type="noConversion"/>
  </si>
  <si>
    <t>85+</t>
    <phoneticPr fontId="10" type="noConversion"/>
  </si>
  <si>
    <t>충청남도</t>
    <phoneticPr fontId="10" type="noConversion"/>
  </si>
  <si>
    <t>논산시 인구(2013년)</t>
    <phoneticPr fontId="10" type="noConversion"/>
  </si>
  <si>
    <t>논산급수구역</t>
    <phoneticPr fontId="10" type="noConversion"/>
  </si>
  <si>
    <t>화지 1</t>
  </si>
  <si>
    <t>화지 2</t>
  </si>
  <si>
    <t>화지 3</t>
  </si>
  <si>
    <t>화지 4</t>
  </si>
  <si>
    <t>화지 5</t>
  </si>
  <si>
    <t>반월 1</t>
  </si>
  <si>
    <t>반월 2</t>
  </si>
  <si>
    <t>반월 3</t>
  </si>
  <si>
    <t>취암 1</t>
  </si>
  <si>
    <t>취암 2</t>
  </si>
  <si>
    <t>취암 3</t>
  </si>
  <si>
    <t>취암 4</t>
  </si>
  <si>
    <t>취암 5</t>
  </si>
  <si>
    <t>취암 6</t>
  </si>
  <si>
    <t>취암 7</t>
  </si>
  <si>
    <t>취암 8</t>
  </si>
  <si>
    <t>취암 9</t>
  </si>
  <si>
    <t>취암10</t>
  </si>
  <si>
    <t>취암11</t>
  </si>
  <si>
    <t>취암12</t>
  </si>
  <si>
    <t>지산 1</t>
  </si>
  <si>
    <t>지산 2</t>
  </si>
  <si>
    <t>지산 3</t>
  </si>
  <si>
    <t>덕지 1</t>
  </si>
  <si>
    <t>덕지 2</t>
  </si>
  <si>
    <t>내 1</t>
  </si>
  <si>
    <t>내 2</t>
  </si>
  <si>
    <t>내 3</t>
  </si>
  <si>
    <t>내 4</t>
  </si>
  <si>
    <t>내 5</t>
  </si>
  <si>
    <t>내 6</t>
  </si>
  <si>
    <t>내 7</t>
  </si>
  <si>
    <t>내 8</t>
  </si>
  <si>
    <t>내 9</t>
  </si>
  <si>
    <t>관촉 1</t>
  </si>
  <si>
    <t>관촉 2</t>
  </si>
  <si>
    <t>대교 1</t>
  </si>
  <si>
    <t>대교 2</t>
  </si>
  <si>
    <t>대교 3</t>
  </si>
  <si>
    <t>대교 4</t>
  </si>
  <si>
    <t>대교 6</t>
  </si>
  <si>
    <t>부창 1</t>
  </si>
  <si>
    <t>부창 2</t>
  </si>
  <si>
    <t>부창 3</t>
  </si>
  <si>
    <t>부창 4</t>
  </si>
  <si>
    <t>부창 5</t>
  </si>
  <si>
    <t>부창 6</t>
  </si>
  <si>
    <t>부창 7</t>
  </si>
  <si>
    <t>등화 1</t>
  </si>
  <si>
    <t>등화 2</t>
  </si>
  <si>
    <t>강산 1</t>
  </si>
  <si>
    <t>강산 2</t>
  </si>
  <si>
    <t>강산 3</t>
  </si>
  <si>
    <t>강산 4</t>
  </si>
  <si>
    <t>강산 5</t>
  </si>
  <si>
    <t>강산 6</t>
  </si>
  <si>
    <t>강산 7</t>
  </si>
  <si>
    <t>강산 8</t>
  </si>
  <si>
    <t>소 계</t>
    <phoneticPr fontId="10" type="noConversion"/>
  </si>
  <si>
    <t>남교리</t>
  </si>
  <si>
    <t>동흥 1</t>
  </si>
  <si>
    <t>동흥 2</t>
  </si>
  <si>
    <t>북옥리</t>
  </si>
  <si>
    <t>서창리</t>
  </si>
  <si>
    <t>홍교리</t>
  </si>
  <si>
    <t>중앙 1</t>
  </si>
  <si>
    <t>중앙 2</t>
  </si>
  <si>
    <t>염천리</t>
  </si>
  <si>
    <t>태평리</t>
  </si>
  <si>
    <t>대흥 1</t>
  </si>
  <si>
    <t>대흥 2</t>
  </si>
  <si>
    <t>대흥 3</t>
  </si>
  <si>
    <t>황산 1</t>
  </si>
  <si>
    <t>황산 2</t>
  </si>
  <si>
    <t>황산 3</t>
  </si>
  <si>
    <t>황산 4</t>
  </si>
  <si>
    <t>황산 5</t>
  </si>
  <si>
    <t>채산 1</t>
  </si>
  <si>
    <t>채산 2</t>
  </si>
  <si>
    <t>채산 3</t>
  </si>
  <si>
    <t>채산 4</t>
  </si>
  <si>
    <t>채산 5</t>
  </si>
  <si>
    <t>산양 1</t>
  </si>
  <si>
    <t>산양 2</t>
  </si>
  <si>
    <t>산양 3</t>
  </si>
  <si>
    <t>채운 1</t>
  </si>
  <si>
    <t>채운 2</t>
  </si>
  <si>
    <t>마산 1</t>
  </si>
  <si>
    <t>마산 2</t>
  </si>
  <si>
    <t>마산 3</t>
  </si>
  <si>
    <t>마산 4</t>
  </si>
  <si>
    <t>죽평 1</t>
  </si>
  <si>
    <t>죽평 2</t>
  </si>
  <si>
    <t>금곡 1</t>
  </si>
  <si>
    <t>금곡 2</t>
  </si>
  <si>
    <t>금곡 3</t>
  </si>
  <si>
    <t>금곡 4</t>
  </si>
  <si>
    <t>동산 1</t>
  </si>
  <si>
    <t>동산 2</t>
  </si>
  <si>
    <t>동산 3</t>
  </si>
  <si>
    <t>동산 4</t>
  </si>
  <si>
    <t>동산 5</t>
  </si>
  <si>
    <t>동산 6</t>
  </si>
  <si>
    <t>동산 7</t>
  </si>
  <si>
    <t>동산 8</t>
  </si>
  <si>
    <t>동산 9</t>
  </si>
  <si>
    <t>죽본 1</t>
  </si>
  <si>
    <t>죽본 2</t>
  </si>
  <si>
    <t>소룡리</t>
  </si>
  <si>
    <t>양지 1</t>
  </si>
  <si>
    <t>양지 2</t>
  </si>
  <si>
    <t>마전 1</t>
  </si>
  <si>
    <t>마전 2</t>
  </si>
  <si>
    <t>마전 3</t>
  </si>
  <si>
    <t>마전 4</t>
  </si>
  <si>
    <t>마전 5</t>
  </si>
  <si>
    <t>마전 6</t>
  </si>
  <si>
    <t>고내 1</t>
  </si>
  <si>
    <t>고내 2</t>
  </si>
  <si>
    <t>고내 3</t>
  </si>
  <si>
    <t>고내 4</t>
  </si>
  <si>
    <t>고내 5</t>
  </si>
  <si>
    <t>고내 6</t>
  </si>
  <si>
    <t>황화정 1</t>
  </si>
  <si>
    <t>황화정 2</t>
  </si>
  <si>
    <t>황화정 3</t>
  </si>
  <si>
    <t>황화정 4</t>
  </si>
  <si>
    <t>안심 1</t>
  </si>
  <si>
    <t>안심 2</t>
  </si>
  <si>
    <t>안심 3</t>
  </si>
  <si>
    <t>안심 4</t>
  </si>
  <si>
    <t>안심 5</t>
  </si>
  <si>
    <t>안심 6</t>
  </si>
  <si>
    <t>안심 7</t>
  </si>
  <si>
    <t>안심 8</t>
  </si>
  <si>
    <t>안심 9</t>
  </si>
  <si>
    <t>봉동 1</t>
  </si>
  <si>
    <t>봉동 2</t>
  </si>
  <si>
    <t>봉동 3</t>
  </si>
  <si>
    <t>봉동 4</t>
  </si>
  <si>
    <t>봉동 5</t>
  </si>
  <si>
    <t>봉동 6</t>
  </si>
  <si>
    <t>연서 1</t>
  </si>
  <si>
    <t>연서 2</t>
  </si>
  <si>
    <t>연서 3</t>
  </si>
  <si>
    <t>토양 1</t>
  </si>
  <si>
    <t>토양 2</t>
  </si>
  <si>
    <t>토양 3</t>
  </si>
  <si>
    <t>시묘 1</t>
  </si>
  <si>
    <t>시묘 2</t>
  </si>
  <si>
    <t>시묘 3</t>
  </si>
  <si>
    <t>시묘 4</t>
  </si>
  <si>
    <t>용산 1</t>
  </si>
  <si>
    <t>용산 2</t>
  </si>
  <si>
    <t>용산 3</t>
  </si>
  <si>
    <t>교촌 1</t>
  </si>
  <si>
    <t>교촌 2</t>
  </si>
  <si>
    <t>교촌 3</t>
  </si>
  <si>
    <t>와야리</t>
  </si>
  <si>
    <t>성덕리</t>
  </si>
  <si>
    <t>성평 1</t>
  </si>
  <si>
    <t>성평 2</t>
  </si>
  <si>
    <t>성평 3</t>
  </si>
  <si>
    <t>육곡 1</t>
  </si>
  <si>
    <t>육곡 2</t>
  </si>
  <si>
    <t>강청 1</t>
  </si>
  <si>
    <t>강청 2</t>
  </si>
  <si>
    <t>목곡 1</t>
  </si>
  <si>
    <t>목곡 2</t>
  </si>
  <si>
    <t>함적 1</t>
  </si>
  <si>
    <t>함적 2</t>
  </si>
  <si>
    <t>산노 1</t>
  </si>
  <si>
    <t>산노 2</t>
  </si>
  <si>
    <t>병암 1</t>
  </si>
  <si>
    <t>병암 2</t>
  </si>
  <si>
    <t>조정리</t>
  </si>
  <si>
    <t>등 1</t>
  </si>
  <si>
    <t>등 2</t>
  </si>
  <si>
    <t>종연 1</t>
  </si>
  <si>
    <t>종연 2</t>
  </si>
  <si>
    <t>종연 3</t>
  </si>
  <si>
    <t>두월 1</t>
  </si>
  <si>
    <t>두월 2</t>
  </si>
  <si>
    <t>야촌 1</t>
  </si>
  <si>
    <t>야촌 2</t>
  </si>
  <si>
    <t>야촌 3</t>
  </si>
  <si>
    <t>왕암 1</t>
  </si>
  <si>
    <t>왕암 2</t>
  </si>
  <si>
    <t>삼전 1</t>
  </si>
  <si>
    <t>삼전 2</t>
  </si>
  <si>
    <t>양촌리</t>
  </si>
  <si>
    <t>화악리</t>
  </si>
  <si>
    <t>천호리</t>
  </si>
  <si>
    <t>송정 1</t>
  </si>
  <si>
    <t>송정 2</t>
  </si>
  <si>
    <t>신암리</t>
  </si>
  <si>
    <t>연산 1</t>
  </si>
  <si>
    <t>연산 2</t>
  </si>
  <si>
    <t>연산 3</t>
  </si>
  <si>
    <t>연산 4</t>
  </si>
  <si>
    <t>청동 1</t>
  </si>
  <si>
    <t>청동 2</t>
  </si>
  <si>
    <t>청동 3</t>
  </si>
  <si>
    <t>청동 4</t>
  </si>
  <si>
    <t>고정리</t>
  </si>
  <si>
    <t>한전 1</t>
  </si>
  <si>
    <t>한전 2</t>
  </si>
  <si>
    <t>임리 1</t>
  </si>
  <si>
    <t>임리 2</t>
  </si>
  <si>
    <t>관동 1</t>
  </si>
  <si>
    <t>관동 2</t>
  </si>
  <si>
    <t>고양리</t>
  </si>
  <si>
    <t>표정 1</t>
  </si>
  <si>
    <t>표정 2</t>
  </si>
  <si>
    <t>덕암 1</t>
  </si>
  <si>
    <t>덕암 2</t>
  </si>
  <si>
    <t>장전 1</t>
  </si>
  <si>
    <t>장전 2</t>
  </si>
  <si>
    <t>장전 3</t>
  </si>
  <si>
    <t>백석 1</t>
  </si>
  <si>
    <t>백석 2</t>
  </si>
  <si>
    <t>백석 3</t>
  </si>
  <si>
    <t>백석 4</t>
  </si>
  <si>
    <t>어은 1</t>
  </si>
  <si>
    <t>어은 2</t>
  </si>
  <si>
    <t>사포리</t>
  </si>
  <si>
    <t>송산 1</t>
  </si>
  <si>
    <t>송산 2</t>
  </si>
  <si>
    <t>오산리</t>
  </si>
  <si>
    <t>신양 1</t>
  </si>
  <si>
    <t>신양 2</t>
  </si>
  <si>
    <t>인천 1</t>
  </si>
  <si>
    <t>인천 2</t>
  </si>
  <si>
    <t>인천 3</t>
  </si>
  <si>
    <t>인천 4</t>
  </si>
  <si>
    <t>도평 1</t>
  </si>
  <si>
    <t>도평 2</t>
  </si>
  <si>
    <t>도평 3</t>
  </si>
  <si>
    <t>임화 1</t>
  </si>
  <si>
    <t>임화 2</t>
  </si>
  <si>
    <t>임화 3</t>
  </si>
  <si>
    <t>임화 4</t>
  </si>
  <si>
    <t>양촌 1</t>
  </si>
  <si>
    <t>양촌 2</t>
  </si>
  <si>
    <t>신기 1</t>
  </si>
  <si>
    <t>신기 2</t>
  </si>
  <si>
    <t>오산 1</t>
  </si>
  <si>
    <t>오산 2</t>
  </si>
  <si>
    <t>채광 1</t>
  </si>
  <si>
    <t>채광 2</t>
  </si>
  <si>
    <t>반암 1</t>
  </si>
  <si>
    <t>반암 2</t>
  </si>
  <si>
    <t>산직 1</t>
  </si>
  <si>
    <t>산직 2</t>
  </si>
  <si>
    <t>모촌 1</t>
  </si>
  <si>
    <t>모촌 2</t>
  </si>
  <si>
    <t>모촌 3</t>
  </si>
  <si>
    <t>신흥 1</t>
  </si>
  <si>
    <t>신흥 2</t>
  </si>
  <si>
    <t>거사 1</t>
  </si>
  <si>
    <t>거사 2</t>
  </si>
  <si>
    <t>거사 3</t>
  </si>
  <si>
    <t>반곡 1</t>
  </si>
  <si>
    <t>반곡 2</t>
  </si>
  <si>
    <t>명암 1</t>
  </si>
  <si>
    <t>명암 2</t>
  </si>
  <si>
    <t>석서 1</t>
  </si>
  <si>
    <t>석서 2</t>
  </si>
  <si>
    <t>중산 1</t>
  </si>
  <si>
    <t>중산 2</t>
  </si>
  <si>
    <t>중산 3</t>
  </si>
  <si>
    <t>한삼천 1</t>
  </si>
  <si>
    <t>한삼천 2</t>
  </si>
  <si>
    <t>한삼천 3</t>
  </si>
  <si>
    <t>덕목리</t>
  </si>
  <si>
    <t>사정 1</t>
  </si>
  <si>
    <t>사정 2</t>
  </si>
  <si>
    <t>대덕리</t>
  </si>
  <si>
    <t>검천리</t>
  </si>
  <si>
    <t>덕곡리</t>
  </si>
  <si>
    <t>수락 1</t>
  </si>
  <si>
    <t>수락 2</t>
  </si>
  <si>
    <t>도산 1</t>
  </si>
  <si>
    <t>도산 2</t>
  </si>
  <si>
    <t>만목리</t>
  </si>
  <si>
    <t>어곡리</t>
  </si>
  <si>
    <t>조동 1</t>
  </si>
  <si>
    <t>조동 2</t>
  </si>
  <si>
    <t>조령리</t>
  </si>
  <si>
    <t>양산 1</t>
  </si>
  <si>
    <t>양산 2</t>
  </si>
  <si>
    <t>마구평 1</t>
  </si>
  <si>
    <t>마구평 2</t>
  </si>
  <si>
    <t>마구평 3</t>
  </si>
  <si>
    <t>마구평 4</t>
  </si>
  <si>
    <t>마구평 5</t>
  </si>
  <si>
    <t>덕평 1</t>
  </si>
  <si>
    <t>덕평 2</t>
  </si>
  <si>
    <t>덕평 3</t>
  </si>
  <si>
    <t>부황 1</t>
  </si>
  <si>
    <t>부황 2</t>
  </si>
  <si>
    <t>부황 3</t>
  </si>
  <si>
    <t>외성 1</t>
  </si>
  <si>
    <t>외성 2</t>
  </si>
  <si>
    <t>외성 3</t>
  </si>
  <si>
    <t>감곡 1</t>
  </si>
  <si>
    <t>감곡 2</t>
  </si>
  <si>
    <t>충곡 1</t>
  </si>
  <si>
    <t>충곡 2</t>
  </si>
  <si>
    <t>신풍리</t>
  </si>
  <si>
    <t>탑정 1</t>
  </si>
  <si>
    <t>탑정 2</t>
  </si>
  <si>
    <t>탑정 3</t>
  </si>
  <si>
    <t>신교 1</t>
  </si>
  <si>
    <t>신교 2</t>
  </si>
  <si>
    <t>신교 3</t>
  </si>
  <si>
    <t>반송 1</t>
  </si>
  <si>
    <t>반송 2</t>
  </si>
  <si>
    <t>반송 3</t>
  </si>
  <si>
    <t>아호 1</t>
  </si>
  <si>
    <t>아호 2</t>
  </si>
  <si>
    <t>부인 1</t>
  </si>
  <si>
    <t>부인 2</t>
  </si>
  <si>
    <t>부인 3</t>
  </si>
  <si>
    <t>읍내 1</t>
  </si>
  <si>
    <t>읍내 2</t>
  </si>
  <si>
    <t>읍내 3</t>
  </si>
  <si>
    <t>두사 1</t>
  </si>
  <si>
    <t>두사 2</t>
  </si>
  <si>
    <t>송당리</t>
  </si>
  <si>
    <t>교촌리</t>
  </si>
  <si>
    <t>하도 1</t>
  </si>
  <si>
    <t>하도 2</t>
  </si>
  <si>
    <t>하도 3</t>
  </si>
  <si>
    <t>병사 1</t>
  </si>
  <si>
    <t>병사 2</t>
  </si>
  <si>
    <t>가곡 1</t>
  </si>
  <si>
    <t>가곡 2</t>
  </si>
  <si>
    <t>장구 1</t>
  </si>
  <si>
    <t>장구 2</t>
  </si>
  <si>
    <t>효죽리</t>
  </si>
  <si>
    <t>죽림 1</t>
  </si>
  <si>
    <t>죽림 2</t>
  </si>
  <si>
    <t>죽림 3</t>
  </si>
  <si>
    <t>호암 1</t>
  </si>
  <si>
    <t>호암 2</t>
  </si>
  <si>
    <t>노티 1</t>
  </si>
  <si>
    <t>노티 2</t>
  </si>
  <si>
    <t>구암리</t>
  </si>
  <si>
    <t>화곡리</t>
  </si>
  <si>
    <t>신충 1</t>
  </si>
  <si>
    <t>신충 2</t>
  </si>
  <si>
    <t>신충 3</t>
  </si>
  <si>
    <t>산성리</t>
  </si>
  <si>
    <t>월오 1</t>
  </si>
  <si>
    <t>월오 2</t>
  </si>
  <si>
    <t>지경 1</t>
  </si>
  <si>
    <t>지경 2</t>
  </si>
  <si>
    <t>석종 1</t>
  </si>
  <si>
    <t>석종 2</t>
  </si>
  <si>
    <t>석종 3</t>
  </si>
  <si>
    <t>상도 1</t>
  </si>
  <si>
    <t>상도 2</t>
  </si>
  <si>
    <t>상도 3</t>
  </si>
  <si>
    <t>대명 1</t>
  </si>
  <si>
    <t>대명 2</t>
  </si>
  <si>
    <t>대우리</t>
  </si>
  <si>
    <t>대촌 1</t>
  </si>
  <si>
    <t>대촌 2</t>
  </si>
  <si>
    <t>학당리</t>
  </si>
  <si>
    <t>주곡리</t>
  </si>
  <si>
    <t>한천 1</t>
  </si>
  <si>
    <t>한천 2</t>
  </si>
  <si>
    <t>한천 3</t>
  </si>
  <si>
    <t>숙진 1</t>
  </si>
  <si>
    <t>숙진 2</t>
  </si>
  <si>
    <t>삼산 1</t>
  </si>
  <si>
    <t>삼산 2</t>
  </si>
  <si>
    <t>월성 1</t>
  </si>
  <si>
    <t>월성 2</t>
  </si>
  <si>
    <t>월성 3</t>
  </si>
  <si>
    <t>병촌 1</t>
  </si>
  <si>
    <t>병촌 2</t>
  </si>
  <si>
    <t>개척 1</t>
  </si>
  <si>
    <t>개척 2</t>
  </si>
  <si>
    <t>우곤 1</t>
  </si>
  <si>
    <t>우곤 2</t>
  </si>
  <si>
    <t>우곤 3</t>
  </si>
  <si>
    <t>우곤 4</t>
  </si>
  <si>
    <t>원남 1</t>
  </si>
  <si>
    <t>원남 2</t>
  </si>
  <si>
    <t>원남 3</t>
  </si>
  <si>
    <t>원북 1</t>
  </si>
  <si>
    <t>원북 2</t>
  </si>
  <si>
    <t>원북 3</t>
  </si>
  <si>
    <t>정지 1</t>
  </si>
  <si>
    <t>정지 2</t>
  </si>
  <si>
    <t>정지 3</t>
  </si>
  <si>
    <t>정지 4</t>
  </si>
  <si>
    <t>원봉 1</t>
  </si>
  <si>
    <t>원봉 2</t>
  </si>
  <si>
    <t>원봉 3</t>
  </si>
  <si>
    <t>원봉 4</t>
  </si>
  <si>
    <t>삼호리</t>
  </si>
  <si>
    <t>신당 1</t>
  </si>
  <si>
    <t>신당 2</t>
  </si>
  <si>
    <t>신당 3</t>
  </si>
  <si>
    <t>중리 1</t>
  </si>
  <si>
    <t>중리 2</t>
  </si>
  <si>
    <t>득윤 1</t>
  </si>
  <si>
    <t>득윤 2</t>
  </si>
  <si>
    <t>득윤 3</t>
  </si>
  <si>
    <t>갈산 1</t>
  </si>
  <si>
    <t>갈산 2</t>
  </si>
  <si>
    <t>광 리</t>
  </si>
  <si>
    <t>이사 1</t>
  </si>
  <si>
    <t>이사 2</t>
  </si>
  <si>
    <t>산동리</t>
  </si>
  <si>
    <t>천동 1</t>
  </si>
  <si>
    <t>천동 2</t>
  </si>
  <si>
    <t>천동 3</t>
  </si>
  <si>
    <t>천동 4</t>
  </si>
  <si>
    <t>왕전 1</t>
  </si>
  <si>
    <t>왕전 2</t>
  </si>
  <si>
    <t>왕전 3</t>
  </si>
  <si>
    <t>항월 1</t>
  </si>
  <si>
    <t>항월 2</t>
  </si>
  <si>
    <t>항월 3</t>
  </si>
  <si>
    <t>항월 4</t>
  </si>
  <si>
    <t>사월 1</t>
  </si>
  <si>
    <t>사월 2</t>
  </si>
  <si>
    <t>사월 3</t>
  </si>
  <si>
    <t>율리 1</t>
  </si>
  <si>
    <t>율리 2</t>
  </si>
  <si>
    <t>율리 3</t>
  </si>
  <si>
    <t>오강 1</t>
  </si>
  <si>
    <t>오강 2</t>
  </si>
  <si>
    <t>◎ 논산시 조성법에 의한 인구산정</t>
    <phoneticPr fontId="10" type="noConversion"/>
  </si>
  <si>
    <t>◎ 충청남도 모의 연령별 출산률(2010~2040시도별 장래인구추계,통계청,2012)</t>
    <phoneticPr fontId="10" type="noConversion"/>
  </si>
  <si>
    <t>※ 장래출생성비(2010~2040시도별 장래인구추계,통계청,2012)</t>
    <phoneticPr fontId="10" type="noConversion"/>
  </si>
  <si>
    <t>참고: 시도별장래인구추계2012, 통계청</t>
    <phoneticPr fontId="10" type="noConversion"/>
  </si>
  <si>
    <t xml:space="preserve">참고: 시도별장래인구추계2012, 통계청 </t>
    <phoneticPr fontId="10" type="noConversion"/>
  </si>
  <si>
    <t>충청남도 인구(2013년)</t>
    <phoneticPr fontId="10" type="noConversion"/>
  </si>
  <si>
    <t>2014년추정</t>
    <phoneticPr fontId="10" type="noConversion"/>
  </si>
  <si>
    <t>인구추정(2014) (P×S)</t>
    <phoneticPr fontId="10" type="noConversion"/>
  </si>
  <si>
    <t>연무읍</t>
  </si>
  <si>
    <t>은진면</t>
  </si>
  <si>
    <t>인구(2014) (P)</t>
    <phoneticPr fontId="10" type="noConversion"/>
  </si>
  <si>
    <t>외국인</t>
    <phoneticPr fontId="10" type="noConversion"/>
  </si>
  <si>
    <t>내국인</t>
    <phoneticPr fontId="10" type="noConversion"/>
  </si>
  <si>
    <t>비율</t>
    <phoneticPr fontId="10" type="noConversion"/>
  </si>
  <si>
    <t>외국인포함</t>
    <phoneticPr fontId="10" type="noConversion"/>
  </si>
  <si>
    <t>구분</t>
    <phoneticPr fontId="10" type="noConversion"/>
  </si>
  <si>
    <t>2013년</t>
    <phoneticPr fontId="10" type="noConversion"/>
  </si>
  <si>
    <t>인구비율</t>
    <phoneticPr fontId="10" type="noConversion"/>
  </si>
  <si>
    <t>2015년</t>
    <phoneticPr fontId="10" type="noConversion"/>
  </si>
  <si>
    <t>2020년</t>
    <phoneticPr fontId="10" type="noConversion"/>
  </si>
  <si>
    <t>2025년</t>
    <phoneticPr fontId="10" type="noConversion"/>
  </si>
  <si>
    <t>연무읍</t>
    <phoneticPr fontId="10" type="noConversion"/>
  </si>
  <si>
    <t>성동면</t>
    <phoneticPr fontId="10" type="noConversion"/>
  </si>
  <si>
    <t>2030년</t>
    <phoneticPr fontId="10" type="noConversion"/>
  </si>
  <si>
    <t>2035년</t>
    <phoneticPr fontId="10" type="noConversion"/>
  </si>
  <si>
    <t>2040년</t>
    <phoneticPr fontId="10" type="noConversion"/>
  </si>
  <si>
    <t>비고</t>
    <phoneticPr fontId="10" type="noConversion"/>
  </si>
  <si>
    <t>논산시</t>
    <phoneticPr fontId="10" type="noConversion"/>
  </si>
  <si>
    <t>성동면</t>
    <phoneticPr fontId="10" type="noConversion"/>
  </si>
  <si>
    <t>광석면</t>
    <phoneticPr fontId="10" type="noConversion"/>
  </si>
  <si>
    <t>노성면</t>
    <phoneticPr fontId="10" type="noConversion"/>
  </si>
  <si>
    <t>상월면</t>
    <phoneticPr fontId="10" type="noConversion"/>
  </si>
  <si>
    <t>부적면</t>
    <phoneticPr fontId="10" type="noConversion"/>
  </si>
  <si>
    <t>연산면</t>
    <phoneticPr fontId="10" type="noConversion"/>
  </si>
  <si>
    <t>벌곡면</t>
    <phoneticPr fontId="10" type="noConversion"/>
  </si>
  <si>
    <t>양촌면</t>
    <phoneticPr fontId="10" type="noConversion"/>
  </si>
  <si>
    <t>가야곡면</t>
    <phoneticPr fontId="10" type="noConversion"/>
  </si>
  <si>
    <t>은진면</t>
    <phoneticPr fontId="10" type="noConversion"/>
  </si>
  <si>
    <t>채운면</t>
    <phoneticPr fontId="10" type="noConversion"/>
  </si>
  <si>
    <t>취암동</t>
    <phoneticPr fontId="10" type="noConversion"/>
  </si>
  <si>
    <t>부창동</t>
    <phoneticPr fontId="10" type="noConversion"/>
  </si>
  <si>
    <t>▨ 급수계통별 자연적 장래인구추정 결과(단위: 인)</t>
    <phoneticPr fontId="10" type="noConversion"/>
  </si>
  <si>
    <t>부창동</t>
    <phoneticPr fontId="10" type="noConversion"/>
  </si>
  <si>
    <t>대교 5</t>
    <phoneticPr fontId="10" type="noConversion"/>
  </si>
  <si>
    <t>부창 8</t>
    <phoneticPr fontId="10" type="noConversion"/>
  </si>
  <si>
    <t>채운급수구역</t>
    <phoneticPr fontId="10" type="noConversion"/>
  </si>
  <si>
    <t>소 계</t>
    <phoneticPr fontId="10" type="noConversion"/>
  </si>
  <si>
    <t>채운면</t>
    <phoneticPr fontId="10" type="noConversion"/>
  </si>
  <si>
    <t>화산 1</t>
    <phoneticPr fontId="10" type="noConversion"/>
  </si>
  <si>
    <t>화산 2</t>
    <phoneticPr fontId="10" type="noConversion"/>
  </si>
  <si>
    <t>화산 3</t>
    <phoneticPr fontId="10" type="noConversion"/>
  </si>
  <si>
    <t>용화 1</t>
    <phoneticPr fontId="10" type="noConversion"/>
  </si>
  <si>
    <t>용화 2</t>
    <phoneticPr fontId="10" type="noConversion"/>
  </si>
  <si>
    <t>용화 3</t>
    <phoneticPr fontId="10" type="noConversion"/>
  </si>
  <si>
    <t>용화 4</t>
    <phoneticPr fontId="10" type="noConversion"/>
  </si>
  <si>
    <t>우기 1</t>
    <phoneticPr fontId="10" type="noConversion"/>
  </si>
  <si>
    <t>우기 2</t>
    <phoneticPr fontId="10" type="noConversion"/>
  </si>
  <si>
    <t>우기 3</t>
    <phoneticPr fontId="10" type="noConversion"/>
  </si>
  <si>
    <t>심암 1</t>
    <phoneticPr fontId="10" type="noConversion"/>
  </si>
  <si>
    <t>심암 2</t>
    <phoneticPr fontId="10" type="noConversion"/>
  </si>
  <si>
    <t>화정 1</t>
    <phoneticPr fontId="10" type="noConversion"/>
  </si>
  <si>
    <t>화정 2</t>
    <phoneticPr fontId="10" type="noConversion"/>
  </si>
  <si>
    <t>야화 1</t>
    <phoneticPr fontId="10" type="noConversion"/>
  </si>
  <si>
    <t>야화 3</t>
    <phoneticPr fontId="10" type="noConversion"/>
  </si>
  <si>
    <t>은진면</t>
    <phoneticPr fontId="10" type="noConversion"/>
  </si>
  <si>
    <t>남산 1</t>
    <phoneticPr fontId="10" type="noConversion"/>
  </si>
  <si>
    <t>남산 2</t>
    <phoneticPr fontId="10" type="noConversion"/>
  </si>
  <si>
    <t>남산 3</t>
    <phoneticPr fontId="10" type="noConversion"/>
  </si>
  <si>
    <t>방축 1</t>
    <phoneticPr fontId="10" type="noConversion"/>
  </si>
  <si>
    <t>방축 2</t>
    <phoneticPr fontId="10" type="noConversion"/>
  </si>
  <si>
    <t>방축 3</t>
    <phoneticPr fontId="10" type="noConversion"/>
  </si>
  <si>
    <t>방축 4</t>
    <phoneticPr fontId="10" type="noConversion"/>
  </si>
  <si>
    <t>연무읍</t>
    <phoneticPr fontId="10" type="noConversion"/>
  </si>
  <si>
    <t>신화 1</t>
    <phoneticPr fontId="10" type="noConversion"/>
  </si>
  <si>
    <t>신화 2</t>
    <phoneticPr fontId="10" type="noConversion"/>
  </si>
  <si>
    <t>신화 3</t>
    <phoneticPr fontId="10" type="noConversion"/>
  </si>
  <si>
    <t>강경급수구역</t>
    <phoneticPr fontId="10" type="noConversion"/>
  </si>
  <si>
    <t>강경읍</t>
    <phoneticPr fontId="10" type="noConversion"/>
  </si>
  <si>
    <t>채운면</t>
    <phoneticPr fontId="10" type="noConversion"/>
  </si>
  <si>
    <t>장화 1</t>
    <phoneticPr fontId="10" type="noConversion"/>
  </si>
  <si>
    <t>장화 2</t>
    <phoneticPr fontId="10" type="noConversion"/>
  </si>
  <si>
    <t>장화 3</t>
    <phoneticPr fontId="10" type="noConversion"/>
  </si>
  <si>
    <t>야화 2</t>
    <phoneticPr fontId="10" type="noConversion"/>
  </si>
  <si>
    <t>삼거 1</t>
    <phoneticPr fontId="10" type="noConversion"/>
  </si>
  <si>
    <t>삼거 2</t>
    <phoneticPr fontId="10" type="noConversion"/>
  </si>
  <si>
    <t>삼거 3</t>
    <phoneticPr fontId="10" type="noConversion"/>
  </si>
  <si>
    <t>삼거 4</t>
    <phoneticPr fontId="10" type="noConversion"/>
  </si>
  <si>
    <t>삼거 5</t>
    <phoneticPr fontId="10" type="noConversion"/>
  </si>
  <si>
    <t>개척 3</t>
    <phoneticPr fontId="10" type="noConversion"/>
  </si>
  <si>
    <t>연무급수구역</t>
    <phoneticPr fontId="10" type="noConversion"/>
  </si>
  <si>
    <t>소 계</t>
    <phoneticPr fontId="10" type="noConversion"/>
  </si>
  <si>
    <t>은진면</t>
    <phoneticPr fontId="10" type="noConversion"/>
  </si>
  <si>
    <t>가야곡면</t>
    <phoneticPr fontId="10" type="noConversion"/>
  </si>
  <si>
    <t>연산급수구역</t>
    <phoneticPr fontId="10" type="noConversion"/>
  </si>
  <si>
    <t>소 계</t>
    <phoneticPr fontId="10" type="noConversion"/>
  </si>
  <si>
    <t>연산면</t>
    <phoneticPr fontId="10" type="noConversion"/>
  </si>
  <si>
    <t>양촌면</t>
    <phoneticPr fontId="10" type="noConversion"/>
  </si>
  <si>
    <t>남산- 1</t>
    <phoneticPr fontId="10" type="noConversion"/>
  </si>
  <si>
    <t>남산- 2</t>
    <phoneticPr fontId="10" type="noConversion"/>
  </si>
  <si>
    <t>벌곡면</t>
    <phoneticPr fontId="10" type="noConversion"/>
  </si>
  <si>
    <t>신양- 1</t>
    <phoneticPr fontId="10" type="noConversion"/>
  </si>
  <si>
    <t>신양- 2</t>
    <phoneticPr fontId="10" type="noConversion"/>
  </si>
  <si>
    <t>신양- 3</t>
    <phoneticPr fontId="10" type="noConversion"/>
  </si>
  <si>
    <t>부적면</t>
    <phoneticPr fontId="10" type="noConversion"/>
  </si>
  <si>
    <t>노성급수구역</t>
    <phoneticPr fontId="10" type="noConversion"/>
  </si>
  <si>
    <t>노성면</t>
    <phoneticPr fontId="10" type="noConversion"/>
  </si>
  <si>
    <t>상월면</t>
    <phoneticPr fontId="10" type="noConversion"/>
  </si>
  <si>
    <t>성동급수구역</t>
    <phoneticPr fontId="10" type="noConversion"/>
  </si>
  <si>
    <t>성동면</t>
    <phoneticPr fontId="10" type="noConversion"/>
  </si>
  <si>
    <t>화정- 1</t>
    <phoneticPr fontId="10" type="noConversion"/>
  </si>
  <si>
    <t>화정- 2</t>
    <phoneticPr fontId="10" type="noConversion"/>
  </si>
  <si>
    <t>광석면</t>
    <phoneticPr fontId="10" type="noConversion"/>
  </si>
  <si>
    <t>신화 1</t>
  </si>
  <si>
    <t>신화 2</t>
  </si>
  <si>
    <t>신화 3</t>
  </si>
  <si>
    <t>개척 3</t>
  </si>
  <si>
    <t>화정 1</t>
  </si>
  <si>
    <t>화정 2</t>
  </si>
  <si>
    <t>남산 1</t>
  </si>
  <si>
    <t>남산 2</t>
  </si>
  <si>
    <t>방축 1</t>
  </si>
  <si>
    <t>방축 2</t>
  </si>
  <si>
    <t>방축 3</t>
  </si>
  <si>
    <t>방축 4</t>
  </si>
  <si>
    <t>남산 3</t>
  </si>
  <si>
    <t>화산 1</t>
  </si>
  <si>
    <t>화산 2</t>
  </si>
  <si>
    <t>화산 3</t>
  </si>
  <si>
    <t>용화 1</t>
  </si>
  <si>
    <t>용화 2</t>
  </si>
  <si>
    <t>용화 3</t>
  </si>
  <si>
    <t>용화 4</t>
  </si>
  <si>
    <t>우기 1</t>
  </si>
  <si>
    <t>우기 2</t>
  </si>
  <si>
    <t>우기 3</t>
  </si>
  <si>
    <t>심암 1</t>
  </si>
  <si>
    <t>심암 2</t>
  </si>
  <si>
    <t>삼거 1</t>
  </si>
  <si>
    <t>삼거 2</t>
  </si>
  <si>
    <t>삼거 3</t>
  </si>
  <si>
    <t>삼거 4</t>
  </si>
  <si>
    <t>삼거 5</t>
  </si>
  <si>
    <t>장화 1</t>
  </si>
  <si>
    <t>장화 2</t>
  </si>
  <si>
    <t>장화 3</t>
  </si>
  <si>
    <t>야화 1</t>
  </si>
  <si>
    <t>야화 2</t>
  </si>
  <si>
    <t>야화 3</t>
  </si>
  <si>
    <t>부창 8</t>
  </si>
  <si>
    <t>황산 5</t>
    <phoneticPr fontId="10" type="noConversion"/>
  </si>
  <si>
    <t>연무읍</t>
    <phoneticPr fontId="10" type="noConversion"/>
  </si>
  <si>
    <t>성동면</t>
    <phoneticPr fontId="10" type="noConversion"/>
  </si>
  <si>
    <t>삼산 1</t>
    <phoneticPr fontId="10" type="noConversion"/>
  </si>
  <si>
    <t>광석면</t>
    <phoneticPr fontId="10" type="noConversion"/>
  </si>
  <si>
    <t>노성면</t>
    <phoneticPr fontId="10" type="noConversion"/>
  </si>
  <si>
    <t>상월면</t>
    <phoneticPr fontId="10" type="noConversion"/>
  </si>
  <si>
    <t>부적면</t>
    <phoneticPr fontId="10" type="noConversion"/>
  </si>
  <si>
    <t>연산면</t>
    <phoneticPr fontId="10" type="noConversion"/>
  </si>
  <si>
    <t>임리 2</t>
    <phoneticPr fontId="10" type="noConversion"/>
  </si>
  <si>
    <t>관동 1</t>
    <phoneticPr fontId="10" type="noConversion"/>
  </si>
  <si>
    <t>관동 2</t>
    <phoneticPr fontId="10" type="noConversion"/>
  </si>
  <si>
    <t>고양리</t>
    <phoneticPr fontId="10" type="noConversion"/>
  </si>
  <si>
    <t>표정 1</t>
    <phoneticPr fontId="10" type="noConversion"/>
  </si>
  <si>
    <t>표정 2</t>
    <phoneticPr fontId="10" type="noConversion"/>
  </si>
  <si>
    <t>덕암 1</t>
    <phoneticPr fontId="10" type="noConversion"/>
  </si>
  <si>
    <t>덕암 2</t>
    <phoneticPr fontId="10" type="noConversion"/>
  </si>
  <si>
    <t>장전 1</t>
    <phoneticPr fontId="10" type="noConversion"/>
  </si>
  <si>
    <t>벌곡면</t>
    <phoneticPr fontId="10" type="noConversion"/>
  </si>
  <si>
    <t>양촌면</t>
    <phoneticPr fontId="10" type="noConversion"/>
  </si>
  <si>
    <t>가야곡면</t>
    <phoneticPr fontId="10" type="noConversion"/>
  </si>
  <si>
    <t>은진면</t>
    <phoneticPr fontId="10" type="noConversion"/>
  </si>
  <si>
    <t>채운면</t>
    <phoneticPr fontId="10" type="noConversion"/>
  </si>
  <si>
    <t>취암동</t>
    <phoneticPr fontId="10" type="noConversion"/>
  </si>
  <si>
    <t>취암12</t>
    <phoneticPr fontId="10" type="noConversion"/>
  </si>
  <si>
    <t>부창동</t>
    <phoneticPr fontId="10" type="noConversion"/>
  </si>
  <si>
    <t>소계</t>
    <phoneticPr fontId="10" type="noConversion"/>
  </si>
  <si>
    <t>대교동</t>
    <phoneticPr fontId="10" type="noConversion"/>
  </si>
  <si>
    <t>강경읍</t>
    <phoneticPr fontId="10" type="noConversion"/>
  </si>
  <si>
    <t>동흥리</t>
    <phoneticPr fontId="62" type="noConversion"/>
  </si>
  <si>
    <t>북옥리</t>
    <phoneticPr fontId="62" type="noConversion"/>
  </si>
  <si>
    <t>서창리</t>
    <phoneticPr fontId="62" type="noConversion"/>
  </si>
  <si>
    <t>홍교리</t>
    <phoneticPr fontId="62" type="noConversion"/>
  </si>
  <si>
    <t>중앙리</t>
    <phoneticPr fontId="62" type="noConversion"/>
  </si>
  <si>
    <t>염천리</t>
    <phoneticPr fontId="62" type="noConversion"/>
  </si>
  <si>
    <t>태평리</t>
    <phoneticPr fontId="62" type="noConversion"/>
  </si>
  <si>
    <t>대흥리</t>
    <phoneticPr fontId="62" type="noConversion"/>
  </si>
  <si>
    <t>황산리</t>
    <phoneticPr fontId="62" type="noConversion"/>
  </si>
  <si>
    <t>채산리</t>
    <phoneticPr fontId="62" type="noConversion"/>
  </si>
  <si>
    <t>산양리</t>
    <phoneticPr fontId="62" type="noConversion"/>
  </si>
  <si>
    <t>채운리</t>
    <phoneticPr fontId="62" type="noConversion"/>
  </si>
  <si>
    <t>마산리</t>
    <phoneticPr fontId="62" type="noConversion"/>
  </si>
  <si>
    <t>죽평리</t>
    <phoneticPr fontId="62" type="noConversion"/>
  </si>
  <si>
    <t>금곡리</t>
    <phoneticPr fontId="62" type="noConversion"/>
  </si>
  <si>
    <t>동산리</t>
    <phoneticPr fontId="62" type="noConversion"/>
  </si>
  <si>
    <t>죽본리</t>
    <phoneticPr fontId="62" type="noConversion"/>
  </si>
  <si>
    <t>소룡리</t>
    <phoneticPr fontId="62" type="noConversion"/>
  </si>
  <si>
    <t>양지리</t>
    <phoneticPr fontId="62" type="noConversion"/>
  </si>
  <si>
    <t>마전리</t>
    <phoneticPr fontId="62" type="noConversion"/>
  </si>
  <si>
    <t>고내리</t>
    <phoneticPr fontId="62" type="noConversion"/>
  </si>
  <si>
    <t>황화정리</t>
    <phoneticPr fontId="62" type="noConversion"/>
  </si>
  <si>
    <t>안심리</t>
    <phoneticPr fontId="62" type="noConversion"/>
  </si>
  <si>
    <t>신화리</t>
    <phoneticPr fontId="62" type="noConversion"/>
  </si>
  <si>
    <t>봉동리</t>
    <phoneticPr fontId="62" type="noConversion"/>
  </si>
  <si>
    <t>삼산리</t>
    <phoneticPr fontId="62" type="noConversion"/>
  </si>
  <si>
    <t>월성리</t>
    <phoneticPr fontId="62" type="noConversion"/>
  </si>
  <si>
    <t>병촌리</t>
    <phoneticPr fontId="62" type="noConversion"/>
  </si>
  <si>
    <t>개척리</t>
    <phoneticPr fontId="62" type="noConversion"/>
  </si>
  <si>
    <t>우곤리</t>
    <phoneticPr fontId="62" type="noConversion"/>
  </si>
  <si>
    <t>원남리</t>
    <phoneticPr fontId="62" type="noConversion"/>
  </si>
  <si>
    <t>원북리</t>
    <phoneticPr fontId="62" type="noConversion"/>
  </si>
  <si>
    <t>정지리</t>
    <phoneticPr fontId="62" type="noConversion"/>
  </si>
  <si>
    <t>원봉리</t>
    <phoneticPr fontId="62" type="noConversion"/>
  </si>
  <si>
    <t>화정리</t>
    <phoneticPr fontId="62" type="noConversion"/>
  </si>
  <si>
    <t>화정- 1</t>
    <phoneticPr fontId="10" type="noConversion"/>
  </si>
  <si>
    <t>화정- 2</t>
    <phoneticPr fontId="10" type="noConversion"/>
  </si>
  <si>
    <t>삼호리</t>
    <phoneticPr fontId="62" type="noConversion"/>
  </si>
  <si>
    <t>신당리</t>
    <phoneticPr fontId="62" type="noConversion"/>
  </si>
  <si>
    <t>중리</t>
    <phoneticPr fontId="62" type="noConversion"/>
  </si>
  <si>
    <t>득윤리</t>
    <phoneticPr fontId="62" type="noConversion"/>
  </si>
  <si>
    <t>갈산리</t>
    <phoneticPr fontId="62" type="noConversion"/>
  </si>
  <si>
    <t>광리</t>
    <phoneticPr fontId="62" type="noConversion"/>
  </si>
  <si>
    <t>이사리</t>
    <phoneticPr fontId="62" type="noConversion"/>
  </si>
  <si>
    <t>산동리</t>
    <phoneticPr fontId="62" type="noConversion"/>
  </si>
  <si>
    <t>천동리</t>
    <phoneticPr fontId="62" type="noConversion"/>
  </si>
  <si>
    <t>왕전리</t>
    <phoneticPr fontId="62" type="noConversion"/>
  </si>
  <si>
    <t>항월리</t>
    <phoneticPr fontId="62" type="noConversion"/>
  </si>
  <si>
    <t>사월리</t>
    <phoneticPr fontId="62" type="noConversion"/>
  </si>
  <si>
    <t>율리</t>
    <phoneticPr fontId="62" type="noConversion"/>
  </si>
  <si>
    <t>오강리</t>
    <phoneticPr fontId="62" type="noConversion"/>
  </si>
  <si>
    <t>읍내리</t>
    <phoneticPr fontId="62" type="noConversion"/>
  </si>
  <si>
    <t>두사리</t>
    <phoneticPr fontId="62" type="noConversion"/>
  </si>
  <si>
    <t>송당리</t>
    <phoneticPr fontId="62" type="noConversion"/>
  </si>
  <si>
    <t>교촌리</t>
    <phoneticPr fontId="62" type="noConversion"/>
  </si>
  <si>
    <t>하도리</t>
    <phoneticPr fontId="62" type="noConversion"/>
  </si>
  <si>
    <t>병사리</t>
    <phoneticPr fontId="62" type="noConversion"/>
  </si>
  <si>
    <t>가곡리</t>
    <phoneticPr fontId="62" type="noConversion"/>
  </si>
  <si>
    <t>장구리</t>
    <phoneticPr fontId="62" type="noConversion"/>
  </si>
  <si>
    <t>효죽리</t>
    <phoneticPr fontId="62" type="noConversion"/>
  </si>
  <si>
    <t>죽림리</t>
    <phoneticPr fontId="62" type="noConversion"/>
  </si>
  <si>
    <t>호암리</t>
    <phoneticPr fontId="62" type="noConversion"/>
  </si>
  <si>
    <t>노티리</t>
    <phoneticPr fontId="62" type="noConversion"/>
  </si>
  <si>
    <t>구암리</t>
    <phoneticPr fontId="62" type="noConversion"/>
  </si>
  <si>
    <t>화곡리</t>
    <phoneticPr fontId="62" type="noConversion"/>
  </si>
  <si>
    <t>신충리</t>
    <phoneticPr fontId="62" type="noConversion"/>
  </si>
  <si>
    <t>산성리</t>
    <phoneticPr fontId="62" type="noConversion"/>
  </si>
  <si>
    <t>월오리</t>
    <phoneticPr fontId="62" type="noConversion"/>
  </si>
  <si>
    <t>지경리</t>
    <phoneticPr fontId="62" type="noConversion"/>
  </si>
  <si>
    <t>석종리</t>
    <phoneticPr fontId="62" type="noConversion"/>
  </si>
  <si>
    <t>상도리</t>
    <phoneticPr fontId="62" type="noConversion"/>
  </si>
  <si>
    <t>대명리</t>
    <phoneticPr fontId="62" type="noConversion"/>
  </si>
  <si>
    <t>대우리</t>
    <phoneticPr fontId="62" type="noConversion"/>
  </si>
  <si>
    <t>대촌리</t>
    <phoneticPr fontId="62" type="noConversion"/>
  </si>
  <si>
    <t>학당리</t>
    <phoneticPr fontId="62" type="noConversion"/>
  </si>
  <si>
    <t>주곡리</t>
    <phoneticPr fontId="62" type="noConversion"/>
  </si>
  <si>
    <t>한천리</t>
    <phoneticPr fontId="62" type="noConversion"/>
  </si>
  <si>
    <t>숙진리</t>
    <phoneticPr fontId="62" type="noConversion"/>
  </si>
  <si>
    <t>마구평리</t>
    <phoneticPr fontId="62" type="noConversion"/>
  </si>
  <si>
    <t>덕평리</t>
    <phoneticPr fontId="62" type="noConversion"/>
  </si>
  <si>
    <t>부황리</t>
    <phoneticPr fontId="62" type="noConversion"/>
  </si>
  <si>
    <t>외성리</t>
    <phoneticPr fontId="62" type="noConversion"/>
  </si>
  <si>
    <t>감곡리</t>
    <phoneticPr fontId="62" type="noConversion"/>
  </si>
  <si>
    <t>충곡리</t>
    <phoneticPr fontId="62" type="noConversion"/>
  </si>
  <si>
    <t>신풍리</t>
    <phoneticPr fontId="62" type="noConversion"/>
  </si>
  <si>
    <t>탑정리</t>
    <phoneticPr fontId="62" type="noConversion"/>
  </si>
  <si>
    <t>신교리</t>
    <phoneticPr fontId="62" type="noConversion"/>
  </si>
  <si>
    <t>반송리</t>
    <phoneticPr fontId="62" type="noConversion"/>
  </si>
  <si>
    <t>아호리</t>
    <phoneticPr fontId="62" type="noConversion"/>
  </si>
  <si>
    <t>부인리</t>
    <phoneticPr fontId="62" type="noConversion"/>
  </si>
  <si>
    <t>송정리</t>
    <phoneticPr fontId="62" type="noConversion"/>
  </si>
  <si>
    <t>신암리</t>
    <phoneticPr fontId="62" type="noConversion"/>
  </si>
  <si>
    <t>연산리</t>
    <phoneticPr fontId="62" type="noConversion"/>
  </si>
  <si>
    <t>청동리</t>
    <phoneticPr fontId="62" type="noConversion"/>
  </si>
  <si>
    <t>고정리</t>
    <phoneticPr fontId="62" type="noConversion"/>
  </si>
  <si>
    <t>한전리</t>
    <phoneticPr fontId="62" type="noConversion"/>
  </si>
  <si>
    <t>임리</t>
    <phoneticPr fontId="62" type="noConversion"/>
  </si>
  <si>
    <t>관동리</t>
    <phoneticPr fontId="62" type="noConversion"/>
  </si>
  <si>
    <t>표정리</t>
    <phoneticPr fontId="62" type="noConversion"/>
  </si>
  <si>
    <t>덕암리</t>
    <phoneticPr fontId="62" type="noConversion"/>
  </si>
  <si>
    <t>장전리</t>
    <phoneticPr fontId="62" type="noConversion"/>
  </si>
  <si>
    <t>백석리</t>
    <phoneticPr fontId="62" type="noConversion"/>
  </si>
  <si>
    <t>어은리</t>
    <phoneticPr fontId="62" type="noConversion"/>
  </si>
  <si>
    <t>사포리</t>
    <phoneticPr fontId="62" type="noConversion"/>
  </si>
  <si>
    <t>송산리</t>
    <phoneticPr fontId="62" type="noConversion"/>
  </si>
  <si>
    <t>오산리</t>
    <phoneticPr fontId="62" type="noConversion"/>
  </si>
  <si>
    <t>신양리</t>
    <phoneticPr fontId="62" type="noConversion"/>
  </si>
  <si>
    <t>한삼천리</t>
    <phoneticPr fontId="62" type="noConversion"/>
  </si>
  <si>
    <t>덕목리</t>
    <phoneticPr fontId="62" type="noConversion"/>
  </si>
  <si>
    <t>사정리</t>
    <phoneticPr fontId="62" type="noConversion"/>
  </si>
  <si>
    <t>대덕리</t>
    <phoneticPr fontId="62" type="noConversion"/>
  </si>
  <si>
    <t>검천리</t>
    <phoneticPr fontId="62" type="noConversion"/>
  </si>
  <si>
    <t>덕곡리</t>
    <phoneticPr fontId="62" type="noConversion"/>
  </si>
  <si>
    <t>덕곡리</t>
    <phoneticPr fontId="10" type="noConversion"/>
  </si>
  <si>
    <t>수락리</t>
    <phoneticPr fontId="62" type="noConversion"/>
  </si>
  <si>
    <t>도산리</t>
    <phoneticPr fontId="62" type="noConversion"/>
  </si>
  <si>
    <t>만목리</t>
    <phoneticPr fontId="62" type="noConversion"/>
  </si>
  <si>
    <t>어곡리</t>
    <phoneticPr fontId="62" type="noConversion"/>
  </si>
  <si>
    <t>조동리</t>
    <phoneticPr fontId="62" type="noConversion"/>
  </si>
  <si>
    <t>조령리</t>
    <phoneticPr fontId="62" type="noConversion"/>
  </si>
  <si>
    <t>양산리</t>
    <phoneticPr fontId="62" type="noConversion"/>
  </si>
  <si>
    <t>인천리</t>
    <phoneticPr fontId="62" type="noConversion"/>
  </si>
  <si>
    <t>도평리</t>
    <phoneticPr fontId="62" type="noConversion"/>
  </si>
  <si>
    <t>임화리</t>
    <phoneticPr fontId="62" type="noConversion"/>
  </si>
  <si>
    <t>신기리</t>
    <phoneticPr fontId="62" type="noConversion"/>
  </si>
  <si>
    <t>채광리</t>
    <phoneticPr fontId="62" type="noConversion"/>
  </si>
  <si>
    <t>남산리</t>
    <phoneticPr fontId="62" type="noConversion"/>
  </si>
  <si>
    <t>반암리</t>
    <phoneticPr fontId="62" type="noConversion"/>
  </si>
  <si>
    <t>산직리</t>
    <phoneticPr fontId="62" type="noConversion"/>
  </si>
  <si>
    <t>모촌리</t>
    <phoneticPr fontId="62" type="noConversion"/>
  </si>
  <si>
    <t>신흥리</t>
    <phoneticPr fontId="62" type="noConversion"/>
  </si>
  <si>
    <t>거사리</t>
    <phoneticPr fontId="62" type="noConversion"/>
  </si>
  <si>
    <t>반곡리</t>
    <phoneticPr fontId="62" type="noConversion"/>
  </si>
  <si>
    <t>명암리</t>
    <phoneticPr fontId="62" type="noConversion"/>
  </si>
  <si>
    <t>석서리</t>
    <phoneticPr fontId="62" type="noConversion"/>
  </si>
  <si>
    <t>중산리</t>
    <phoneticPr fontId="62" type="noConversion"/>
  </si>
  <si>
    <t>육곡리</t>
    <phoneticPr fontId="62" type="noConversion"/>
  </si>
  <si>
    <t>강청리</t>
    <phoneticPr fontId="62" type="noConversion"/>
  </si>
  <si>
    <t>목곡리</t>
    <phoneticPr fontId="62" type="noConversion"/>
  </si>
  <si>
    <t>함적리</t>
    <phoneticPr fontId="62" type="noConversion"/>
  </si>
  <si>
    <t>산노리</t>
    <phoneticPr fontId="62" type="noConversion"/>
  </si>
  <si>
    <t>병암리</t>
    <phoneticPr fontId="62" type="noConversion"/>
  </si>
  <si>
    <t>조정리</t>
    <phoneticPr fontId="62" type="noConversion"/>
  </si>
  <si>
    <t>등리</t>
    <phoneticPr fontId="62" type="noConversion"/>
  </si>
  <si>
    <t>가야곡면</t>
    <phoneticPr fontId="10" type="noConversion"/>
  </si>
  <si>
    <t>등리</t>
    <phoneticPr fontId="62" type="noConversion"/>
  </si>
  <si>
    <t>가야곡면</t>
    <phoneticPr fontId="10" type="noConversion"/>
  </si>
  <si>
    <t>종연리</t>
    <phoneticPr fontId="62" type="noConversion"/>
  </si>
  <si>
    <t>두월리</t>
    <phoneticPr fontId="62" type="noConversion"/>
  </si>
  <si>
    <t>야촌리</t>
    <phoneticPr fontId="62" type="noConversion"/>
  </si>
  <si>
    <t>왕암리</t>
    <phoneticPr fontId="62" type="noConversion"/>
  </si>
  <si>
    <t>삼전리</t>
    <phoneticPr fontId="62" type="noConversion"/>
  </si>
  <si>
    <t>연서리</t>
    <phoneticPr fontId="62" type="noConversion"/>
  </si>
  <si>
    <t>방축리</t>
    <phoneticPr fontId="62" type="noConversion"/>
  </si>
  <si>
    <t>토양리</t>
    <phoneticPr fontId="62" type="noConversion"/>
  </si>
  <si>
    <t>시묘리</t>
    <phoneticPr fontId="62" type="noConversion"/>
  </si>
  <si>
    <t>용산리</t>
    <phoneticPr fontId="62" type="noConversion"/>
  </si>
  <si>
    <t>와야리</t>
    <phoneticPr fontId="62" type="noConversion"/>
  </si>
  <si>
    <t>성평리</t>
    <phoneticPr fontId="62" type="noConversion"/>
  </si>
  <si>
    <t>화산리</t>
    <phoneticPr fontId="62" type="noConversion"/>
  </si>
  <si>
    <t>용화리</t>
    <phoneticPr fontId="62" type="noConversion"/>
  </si>
  <si>
    <t>우기리</t>
    <phoneticPr fontId="62" type="noConversion"/>
  </si>
  <si>
    <t>심암리</t>
    <phoneticPr fontId="62" type="noConversion"/>
  </si>
  <si>
    <t>삼거리</t>
    <phoneticPr fontId="62" type="noConversion"/>
  </si>
  <si>
    <t>장화리</t>
    <phoneticPr fontId="62" type="noConversion"/>
  </si>
  <si>
    <t>야화리</t>
    <phoneticPr fontId="62" type="noConversion"/>
  </si>
  <si>
    <t>화지동</t>
    <phoneticPr fontId="62" type="noConversion"/>
  </si>
  <si>
    <t>반월동</t>
    <phoneticPr fontId="62" type="noConversion"/>
  </si>
  <si>
    <t>취암동</t>
    <phoneticPr fontId="62" type="noConversion"/>
  </si>
  <si>
    <t>지산동</t>
    <phoneticPr fontId="62" type="noConversion"/>
  </si>
  <si>
    <t>덕지동</t>
    <phoneticPr fontId="62" type="noConversion"/>
  </si>
  <si>
    <t>내동</t>
    <phoneticPr fontId="62" type="noConversion"/>
  </si>
  <si>
    <t>관촉동</t>
    <phoneticPr fontId="62" type="noConversion"/>
  </si>
  <si>
    <t>등화동</t>
    <phoneticPr fontId="10" type="noConversion"/>
  </si>
  <si>
    <t>강산동</t>
    <phoneticPr fontId="10" type="noConversion"/>
  </si>
  <si>
    <t>남교리</t>
    <phoneticPr fontId="62" type="noConversion"/>
  </si>
  <si>
    <t>소계</t>
    <phoneticPr fontId="10" type="noConversion"/>
  </si>
  <si>
    <t>학당리</t>
    <phoneticPr fontId="10" type="noConversion"/>
  </si>
  <si>
    <t>양촌리</t>
    <phoneticPr fontId="10" type="noConversion"/>
  </si>
  <si>
    <t>양촌리-</t>
    <phoneticPr fontId="62" type="noConversion"/>
  </si>
  <si>
    <t>양촌리-</t>
    <phoneticPr fontId="62" type="noConversion"/>
  </si>
  <si>
    <t>1. 생잔모형 조성법에 의한 인구추정 결과 (단위: 인)</t>
    <phoneticPr fontId="10" type="noConversion"/>
  </si>
  <si>
    <t>2. 충청남도 추계인구에 따른 인구보정(단위: 인)</t>
    <phoneticPr fontId="10" type="noConversion"/>
  </si>
  <si>
    <t>3. 논산시 행정구역별 생잔모형인구</t>
    <phoneticPr fontId="10" type="noConversion"/>
  </si>
  <si>
    <t>2014년</t>
    <phoneticPr fontId="10" type="noConversion"/>
  </si>
  <si>
    <t>논산시
추계인구
(보정)</t>
    <phoneticPr fontId="10" type="noConversion"/>
  </si>
  <si>
    <t>충청남도 인구추정
(조성법)</t>
    <phoneticPr fontId="10" type="noConversion"/>
  </si>
  <si>
    <t>논산시 인구추정
(조성법)</t>
    <phoneticPr fontId="10" type="noConversion"/>
  </si>
  <si>
    <t>외국인제외</t>
    <phoneticPr fontId="10" type="noConversion"/>
  </si>
  <si>
    <t>합계</t>
    <phoneticPr fontId="10" type="noConversion"/>
  </si>
  <si>
    <t>외국인</t>
    <phoneticPr fontId="10" type="noConversion"/>
  </si>
</sst>
</file>

<file path=xl/styles.xml><?xml version="1.0" encoding="utf-8"?>
<styleSheet xmlns="http://schemas.openxmlformats.org/spreadsheetml/2006/main">
  <numFmts count="46">
    <numFmt numFmtId="5" formatCode="&quot;₩&quot;#,##0;\-&quot;₩&quot;#,##0"/>
    <numFmt numFmtId="7" formatCode="&quot;₩&quot;#,##0.00;\-&quot;₩&quot;#,##0.00"/>
    <numFmt numFmtId="41" formatCode="_-* #,##0_-;\-* #,##0_-;_-* &quot;-&quot;_-;_-@_-"/>
    <numFmt numFmtId="43" formatCode="_-* #,##0.00_-;\-* #,##0.00_-;_-* &quot;-&quot;??_-;_-@_-"/>
    <numFmt numFmtId="176" formatCode="#,##0_ "/>
    <numFmt numFmtId="177" formatCode="_ * #,##0_ ;_ * \-#,##0_ ;_ * &quot;-&quot;_ ;_ @_ "/>
    <numFmt numFmtId="178" formatCode="_ * #,##0.00_ ;_ * \-#,##0.00_ ;_ * &quot;-&quot;??_ ;_ @_ "/>
    <numFmt numFmtId="179" formatCode="&quot;₩&quot;#,##0;&quot;₩&quot;&quot;₩&quot;&quot;₩&quot;&quot;₩&quot;&quot;₩&quot;&quot;₩&quot;&quot;₩&quot;&quot;₩&quot;\-#,##0"/>
    <numFmt numFmtId="180" formatCode="&quot;₩&quot;#,##0.00;&quot;₩&quot;&quot;₩&quot;&quot;₩&quot;&quot;₩&quot;&quot;₩&quot;&quot;₩&quot;&quot;₩&quot;&quot;₩&quot;\-#,##0.00"/>
    <numFmt numFmtId="181" formatCode="0.0_ "/>
    <numFmt numFmtId="182" formatCode="0.0%"/>
    <numFmt numFmtId="183" formatCode="&quot;₩&quot;#,##0;&quot;₩&quot;\-#,##0"/>
    <numFmt numFmtId="184" formatCode="#,##0.00\ \ \ "/>
    <numFmt numFmtId="185" formatCode="_(&quot;$&quot;* #,##0_);_(&quot;$&quot;* \(#,##0\);_(&quot;$&quot;* &quot;-&quot;_);_(@_)"/>
    <numFmt numFmtId="186" formatCode="#,##0.000;\-#,##0.000"/>
    <numFmt numFmtId="187" formatCode="\(#,##0.0\)\ \ "/>
    <numFmt numFmtId="188" formatCode="&quot;△&quot;#,##0\ &quot;억&quot;&quot;원&quot;"/>
    <numFmt numFmtId="189" formatCode="&quot;$&quot;#,##0.00_);[Red]\(&quot;$&quot;#,##0.00\)"/>
    <numFmt numFmtId="190" formatCode="_(&quot;$&quot;* #,##0.00_);_(&quot;$&quot;* \(#,##0.00\);_(&quot;$&quot;* &quot;-&quot;??_);_(@_)"/>
    <numFmt numFmtId="191" formatCode="0.000"/>
    <numFmt numFmtId="192" formatCode="_-* #,##0.000_-;\-* #,##0.000_-;_-* &quot;-&quot;_-;_-@_-"/>
    <numFmt numFmtId="193" formatCode="0.0"/>
    <numFmt numFmtId="194" formatCode="_-* #,##0.0000_-;\-* #,##0.0000_-;_-* &quot;-&quot;_-;_-@_-"/>
    <numFmt numFmtId="195" formatCode="_-* #,##0.00000_-;\-* #,##0.00000_-;_-* &quot;-&quot;_-;_-@_-"/>
    <numFmt numFmtId="196" formatCode="0.00000"/>
    <numFmt numFmtId="197" formatCode="0.000000"/>
    <numFmt numFmtId="198" formatCode="#,##0.0000_ "/>
    <numFmt numFmtId="199" formatCode="#,##0.00000_ "/>
    <numFmt numFmtId="200" formatCode="0.0000000000_);[Red]\(0.0000000000\)"/>
    <numFmt numFmtId="201" formatCode="0_ "/>
    <numFmt numFmtId="202" formatCode="_-* #,##0.00000_-;\-* #,##0.00000_-;_-* &quot;-&quot;?????_-;_-@_-"/>
    <numFmt numFmtId="203" formatCode="&quot;총면적 : &quot;0&quot; ㎥&quot;"/>
    <numFmt numFmtId="204" formatCode="&quot;원단위 : &quot;0.00"/>
    <numFmt numFmtId="205" formatCode="#,##0_);[Red]\(#,##0\)"/>
    <numFmt numFmtId="206" formatCode="#,##0.00000_);[Red]\(#,##0.00000\)"/>
    <numFmt numFmtId="207" formatCode="0.00000_ "/>
    <numFmt numFmtId="208" formatCode="0_);[Red]\(0\)"/>
    <numFmt numFmtId="209" formatCode="0.0_);[Red]\(0.0\)"/>
    <numFmt numFmtId="210" formatCode="0.000_ "/>
    <numFmt numFmtId="211" formatCode="0.0000000000000000_);[Red]\(0.0000000000000000\)"/>
    <numFmt numFmtId="212" formatCode="0.00000000000000000_);[Red]\(0.00000000000000000\)"/>
    <numFmt numFmtId="213" formatCode="#\ ###\ ##0;"/>
    <numFmt numFmtId="214" formatCode="\ \ 0_ "/>
    <numFmt numFmtId="215" formatCode="##\ ###\ ##0\ ;&quot;-&quot;#\ ##0;&quot;-&quot;"/>
    <numFmt numFmtId="216" formatCode="_-* #,##0.00_-;\-* #,##0.00_-;_-* &quot;-&quot;_-;_-@_-"/>
    <numFmt numFmtId="217" formatCode="_-* #,##0_-;\-* #,##0_-;_-* &quot;-&quot;??_-;_-@_-"/>
  </numFmts>
  <fonts count="74">
    <font>
      <sz val="11"/>
      <name val="돋움"/>
      <family val="3"/>
      <charset val="129"/>
    </font>
    <font>
      <sz val="10"/>
      <name val="Arial"/>
      <family val="2"/>
    </font>
    <font>
      <sz val="12"/>
      <color indexed="24"/>
      <name val="바탕체"/>
      <family val="1"/>
      <charset val="129"/>
    </font>
    <font>
      <b/>
      <sz val="18"/>
      <color indexed="24"/>
      <name val="바탕체"/>
      <family val="1"/>
      <charset val="129"/>
    </font>
    <font>
      <b/>
      <sz val="15"/>
      <color indexed="24"/>
      <name val="바탕체"/>
      <family val="1"/>
      <charset val="129"/>
    </font>
    <font>
      <u/>
      <sz val="11"/>
      <color indexed="36"/>
      <name val="돋움"/>
      <family val="3"/>
      <charset val="129"/>
    </font>
    <font>
      <sz val="11"/>
      <name val="돋움"/>
      <family val="3"/>
      <charset val="129"/>
    </font>
    <font>
      <sz val="12"/>
      <name val="뼻뮝"/>
      <family val="1"/>
      <charset val="129"/>
    </font>
    <font>
      <sz val="10"/>
      <name val="돋움체"/>
      <family val="3"/>
      <charset val="129"/>
    </font>
    <font>
      <sz val="12"/>
      <name val="¹UAAA¼"/>
      <family val="3"/>
      <charset val="129"/>
    </font>
    <font>
      <sz val="8"/>
      <name val="돋움"/>
      <family val="3"/>
      <charset val="129"/>
    </font>
    <font>
      <sz val="10"/>
      <name val="굴림"/>
      <family val="3"/>
      <charset val="129"/>
    </font>
    <font>
      <b/>
      <sz val="10"/>
      <name val="돋움"/>
      <family val="3"/>
      <charset val="129"/>
    </font>
    <font>
      <sz val="9"/>
      <name val="돋움"/>
      <family val="3"/>
      <charset val="129"/>
    </font>
    <font>
      <b/>
      <sz val="11"/>
      <name val="돋움"/>
      <family val="3"/>
      <charset val="129"/>
    </font>
    <font>
      <sz val="10"/>
      <name val="돋움"/>
      <family val="3"/>
      <charset val="129"/>
    </font>
    <font>
      <sz val="9"/>
      <name val="굴림체"/>
      <family val="3"/>
      <charset val="129"/>
    </font>
    <font>
      <b/>
      <sz val="10"/>
      <name val="굴림"/>
      <family val="3"/>
      <charset val="129"/>
    </font>
    <font>
      <sz val="8"/>
      <color indexed="9"/>
      <name val="돋움"/>
      <family val="3"/>
      <charset val="129"/>
    </font>
    <font>
      <sz val="11"/>
      <color indexed="8"/>
      <name val="맑은 고딕"/>
      <family val="3"/>
      <charset val="129"/>
    </font>
    <font>
      <sz val="11"/>
      <color indexed="9"/>
      <name val="맑은 고딕"/>
      <family val="3"/>
      <charset val="129"/>
    </font>
    <font>
      <sz val="11"/>
      <color indexed="10"/>
      <name val="맑은 고딕"/>
      <family val="3"/>
      <charset val="129"/>
    </font>
    <font>
      <b/>
      <sz val="11"/>
      <color indexed="52"/>
      <name val="맑은 고딕"/>
      <family val="3"/>
      <charset val="129"/>
    </font>
    <font>
      <sz val="11"/>
      <color indexed="20"/>
      <name val="맑은 고딕"/>
      <family val="3"/>
      <charset val="129"/>
    </font>
    <font>
      <sz val="14"/>
      <name val="뼻뮝"/>
      <family val="1"/>
      <charset val="129"/>
    </font>
    <font>
      <sz val="11"/>
      <color indexed="60"/>
      <name val="맑은 고딕"/>
      <family val="3"/>
      <charset val="129"/>
    </font>
    <font>
      <i/>
      <sz val="11"/>
      <color indexed="23"/>
      <name val="맑은 고딕"/>
      <family val="3"/>
      <charset val="129"/>
    </font>
    <font>
      <b/>
      <sz val="11"/>
      <color indexed="9"/>
      <name val="맑은 고딕"/>
      <family val="3"/>
      <charset val="129"/>
    </font>
    <font>
      <sz val="12"/>
      <name val="바탕체"/>
      <family val="1"/>
      <charset val="129"/>
    </font>
    <font>
      <sz val="11"/>
      <color indexed="52"/>
      <name val="맑은 고딕"/>
      <family val="3"/>
      <charset val="129"/>
    </font>
    <font>
      <b/>
      <sz val="11"/>
      <color indexed="8"/>
      <name val="맑은 고딕"/>
      <family val="3"/>
      <charset val="129"/>
    </font>
    <font>
      <sz val="11"/>
      <color indexed="62"/>
      <name val="맑은 고딕"/>
      <family val="3"/>
      <charset val="129"/>
    </font>
    <font>
      <b/>
      <sz val="18"/>
      <color indexed="56"/>
      <name val="맑은 고딕"/>
      <family val="3"/>
      <charset val="129"/>
    </font>
    <font>
      <b/>
      <sz val="15"/>
      <color indexed="56"/>
      <name val="맑은 고딕"/>
      <family val="3"/>
      <charset val="129"/>
    </font>
    <font>
      <b/>
      <sz val="13"/>
      <color indexed="56"/>
      <name val="맑은 고딕"/>
      <family val="3"/>
      <charset val="129"/>
    </font>
    <font>
      <b/>
      <sz val="11"/>
      <color indexed="56"/>
      <name val="맑은 고딕"/>
      <family val="3"/>
      <charset val="129"/>
    </font>
    <font>
      <sz val="11"/>
      <color indexed="17"/>
      <name val="맑은 고딕"/>
      <family val="3"/>
      <charset val="129"/>
    </font>
    <font>
      <b/>
      <sz val="11"/>
      <color indexed="63"/>
      <name val="맑은 고딕"/>
      <family val="3"/>
      <charset val="129"/>
    </font>
    <font>
      <b/>
      <sz val="10"/>
      <name val="Helv"/>
      <family val="2"/>
    </font>
    <font>
      <sz val="12"/>
      <color indexed="24"/>
      <name val="Arial"/>
      <family val="2"/>
    </font>
    <font>
      <sz val="10"/>
      <name val="Times New Roman"/>
      <family val="1"/>
    </font>
    <font>
      <sz val="8"/>
      <name val="Arial"/>
      <family val="2"/>
    </font>
    <font>
      <b/>
      <sz val="12"/>
      <name val="Helv"/>
      <family val="2"/>
    </font>
    <font>
      <b/>
      <sz val="12"/>
      <name val="Arial"/>
      <family val="2"/>
    </font>
    <font>
      <b/>
      <sz val="11"/>
      <name val="Helv"/>
      <family val="2"/>
    </font>
    <font>
      <b/>
      <sz val="13"/>
      <name val="HY헤드라인M"/>
      <family val="1"/>
      <charset val="129"/>
    </font>
    <font>
      <b/>
      <sz val="8"/>
      <name val="돋움"/>
      <family val="3"/>
      <charset val="129"/>
    </font>
    <font>
      <b/>
      <sz val="11"/>
      <name val="HY헤드라인M"/>
      <family val="1"/>
      <charset val="129"/>
    </font>
    <font>
      <b/>
      <sz val="10"/>
      <name val="HY헤드라인M"/>
      <family val="1"/>
      <charset val="129"/>
    </font>
    <font>
      <b/>
      <sz val="9"/>
      <name val="돋움"/>
      <family val="3"/>
      <charset val="129"/>
    </font>
    <font>
      <sz val="10"/>
      <name val="굴림체"/>
      <family val="3"/>
      <charset val="129"/>
    </font>
    <font>
      <b/>
      <sz val="12"/>
      <name val="굴림"/>
      <family val="3"/>
      <charset val="129"/>
    </font>
    <font>
      <sz val="11"/>
      <name val="굴림"/>
      <family val="3"/>
      <charset val="129"/>
    </font>
    <font>
      <vertAlign val="superscript"/>
      <sz val="10"/>
      <color indexed="10"/>
      <name val="굴림"/>
      <family val="3"/>
      <charset val="129"/>
    </font>
    <font>
      <sz val="10"/>
      <color indexed="10"/>
      <name val="굴림"/>
      <family val="3"/>
      <charset val="129"/>
    </font>
    <font>
      <sz val="10"/>
      <color indexed="14"/>
      <name val="굴림"/>
      <family val="3"/>
      <charset val="129"/>
    </font>
    <font>
      <sz val="9"/>
      <name val="돋움체"/>
      <family val="3"/>
      <charset val="129"/>
    </font>
    <font>
      <b/>
      <sz val="8"/>
      <color indexed="63"/>
      <name val="돋움"/>
      <family val="3"/>
      <charset val="129"/>
    </font>
    <font>
      <sz val="11"/>
      <name val="굴림체"/>
      <family val="3"/>
      <charset val="129"/>
    </font>
    <font>
      <b/>
      <sz val="12"/>
      <name val="굴림체"/>
      <family val="3"/>
      <charset val="129"/>
    </font>
    <font>
      <b/>
      <sz val="10"/>
      <name val="굴림체"/>
      <family val="3"/>
      <charset val="129"/>
    </font>
    <font>
      <sz val="10"/>
      <color indexed="8"/>
      <name val="굴림체"/>
      <family val="3"/>
      <charset val="129"/>
    </font>
    <font>
      <sz val="8"/>
      <name val="굴림체"/>
      <family val="3"/>
      <charset val="129"/>
    </font>
    <font>
      <sz val="11"/>
      <name val="새굴림"/>
      <family val="1"/>
      <charset val="129"/>
    </font>
    <font>
      <sz val="11"/>
      <name val="가는각진제목체"/>
      <family val="1"/>
      <charset val="129"/>
    </font>
    <font>
      <b/>
      <sz val="10"/>
      <name val="바탕체"/>
      <family val="1"/>
      <charset val="129"/>
    </font>
    <font>
      <b/>
      <sz val="9"/>
      <name val="굴림체"/>
      <family val="3"/>
      <charset val="129"/>
    </font>
    <font>
      <sz val="9"/>
      <color indexed="81"/>
      <name val="굴림"/>
      <family val="3"/>
      <charset val="129"/>
    </font>
    <font>
      <sz val="12"/>
      <name val="HY울릉도M"/>
      <family val="1"/>
      <charset val="129"/>
    </font>
    <font>
      <b/>
      <sz val="12"/>
      <name val="돋움"/>
      <family val="3"/>
      <charset val="129"/>
    </font>
    <font>
      <sz val="12"/>
      <name val="돋움"/>
      <family val="3"/>
      <charset val="129"/>
    </font>
    <font>
      <sz val="10"/>
      <color rgb="FFFF0000"/>
      <name val="굴림체"/>
      <family val="3"/>
      <charset val="129"/>
    </font>
    <font>
      <sz val="9"/>
      <color rgb="FF000000"/>
      <name val="굴림체"/>
      <family val="3"/>
      <charset val="129"/>
    </font>
    <font>
      <sz val="9"/>
      <color indexed="8"/>
      <name val="굴림체"/>
      <family val="3"/>
      <charset val="129"/>
    </font>
  </fonts>
  <fills count="31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26"/>
      </patternFill>
    </fill>
    <fill>
      <patternFill patternType="solid">
        <fgColor indexed="43"/>
      </patternFill>
    </fill>
    <fill>
      <patternFill patternType="solid">
        <fgColor indexed="55"/>
      </patternFill>
    </fill>
    <fill>
      <patternFill patternType="solid">
        <fgColor indexed="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 tint="-9.9978637043366805E-2"/>
        <bgColor indexed="64"/>
      </patternFill>
    </fill>
  </fills>
  <borders count="148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uble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double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double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hair">
        <color indexed="64"/>
      </left>
      <right style="hair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/>
      <bottom style="double">
        <color indexed="64"/>
      </bottom>
      <diagonal/>
    </border>
    <border>
      <left style="hair">
        <color indexed="64"/>
      </left>
      <right style="hair">
        <color indexed="64"/>
      </right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hair">
        <color indexed="64"/>
      </left>
      <right/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double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double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double">
        <color indexed="64"/>
      </top>
      <bottom/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hair">
        <color indexed="64"/>
      </right>
      <top/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/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double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double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hair">
        <color indexed="64"/>
      </left>
      <right/>
      <top style="double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/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double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double">
        <color indexed="64"/>
      </bottom>
      <diagonal/>
    </border>
    <border>
      <left style="hair">
        <color indexed="64"/>
      </left>
      <right/>
      <top style="medium">
        <color indexed="64"/>
      </top>
      <bottom style="double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hair">
        <color indexed="64"/>
      </left>
      <right/>
      <top style="hair">
        <color indexed="64"/>
      </top>
      <bottom style="double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double">
        <color indexed="64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double">
        <color indexed="64"/>
      </bottom>
      <diagonal/>
    </border>
    <border>
      <left/>
      <right style="hair">
        <color indexed="64"/>
      </right>
      <top style="double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hair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/>
      <bottom style="double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 diagonalDown="1">
      <left style="thin">
        <color indexed="64"/>
      </left>
      <right style="hair">
        <color indexed="64"/>
      </right>
      <top style="thin">
        <color indexed="64"/>
      </top>
      <bottom/>
      <diagonal style="thin">
        <color indexed="64"/>
      </diagonal>
    </border>
    <border diagonalDown="1">
      <left style="thin">
        <color indexed="64"/>
      </left>
      <right style="hair">
        <color indexed="64"/>
      </right>
      <top/>
      <bottom style="double">
        <color indexed="64"/>
      </bottom>
      <diagonal style="thin">
        <color indexed="64"/>
      </diagonal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 diagonalDown="1">
      <left style="thin">
        <color indexed="64"/>
      </left>
      <right style="hair">
        <color indexed="64"/>
      </right>
      <top style="thin">
        <color indexed="64"/>
      </top>
      <bottom/>
      <diagonal style="hair">
        <color indexed="64"/>
      </diagonal>
    </border>
    <border diagonalDown="1">
      <left style="thin">
        <color indexed="64"/>
      </left>
      <right style="hair">
        <color indexed="64"/>
      </right>
      <top/>
      <bottom style="double">
        <color indexed="64"/>
      </bottom>
      <diagonal style="hair">
        <color indexed="64"/>
      </diagonal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double">
        <color indexed="64"/>
      </bottom>
      <diagonal/>
    </border>
    <border>
      <left style="hair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double">
        <color indexed="64"/>
      </bottom>
      <diagonal/>
    </border>
  </borders>
  <cellStyleXfs count="123">
    <xf numFmtId="0" fontId="0" fillId="0" borderId="0">
      <alignment vertical="center"/>
    </xf>
    <xf numFmtId="0" fontId="6" fillId="0" borderId="0"/>
    <xf numFmtId="0" fontId="19" fillId="2" borderId="0" applyNumberFormat="0" applyBorder="0" applyAlignment="0" applyProtection="0">
      <alignment vertical="center"/>
    </xf>
    <xf numFmtId="0" fontId="19" fillId="3" borderId="0" applyNumberFormat="0" applyBorder="0" applyAlignment="0" applyProtection="0">
      <alignment vertical="center"/>
    </xf>
    <xf numFmtId="0" fontId="19" fillId="4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6" borderId="0" applyNumberFormat="0" applyBorder="0" applyAlignment="0" applyProtection="0">
      <alignment vertical="center"/>
    </xf>
    <xf numFmtId="0" fontId="19" fillId="7" borderId="0" applyNumberFormat="0" applyBorder="0" applyAlignment="0" applyProtection="0">
      <alignment vertical="center"/>
    </xf>
    <xf numFmtId="0" fontId="19" fillId="8" borderId="0" applyNumberFormat="0" applyBorder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8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20" borderId="1" applyNumberFormat="0" applyAlignment="0" applyProtection="0">
      <alignment vertical="center"/>
    </xf>
    <xf numFmtId="2" fontId="2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23" fillId="3" borderId="0" applyNumberFormat="0" applyBorder="0" applyAlignment="0" applyProtection="0">
      <alignment vertical="center"/>
    </xf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5" fillId="0" borderId="0" applyNumberFormat="0" applyFill="0" applyBorder="0" applyAlignment="0" applyProtection="0">
      <alignment vertical="top"/>
      <protection locked="0"/>
    </xf>
    <xf numFmtId="40" fontId="24" fillId="0" borderId="0" applyFont="0" applyFill="0" applyBorder="0" applyAlignment="0" applyProtection="0"/>
    <xf numFmtId="38" fontId="24" fillId="0" borderId="0" applyFont="0" applyFill="0" applyBorder="0" applyAlignment="0" applyProtection="0"/>
    <xf numFmtId="0" fontId="19" fillId="21" borderId="2" applyNumberFormat="0" applyFont="0" applyAlignment="0" applyProtection="0">
      <alignment vertical="center"/>
    </xf>
    <xf numFmtId="0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25" fillId="22" borderId="0" applyNumberFormat="0" applyBorder="0" applyAlignment="0" applyProtection="0">
      <alignment vertical="center"/>
    </xf>
    <xf numFmtId="0" fontId="7" fillId="0" borderId="0"/>
    <xf numFmtId="0" fontId="26" fillId="0" borderId="0" applyNumberFormat="0" applyFill="0" applyBorder="0" applyAlignment="0" applyProtection="0">
      <alignment vertical="center"/>
    </xf>
    <xf numFmtId="0" fontId="27" fillId="23" borderId="3" applyNumberFormat="0" applyAlignment="0" applyProtection="0">
      <alignment vertical="center"/>
    </xf>
    <xf numFmtId="182" fontId="28" fillId="0" borderId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19" fillId="0" borderId="0" applyFont="0" applyFill="0" applyBorder="0" applyAlignment="0" applyProtection="0">
      <alignment vertical="center"/>
    </xf>
    <xf numFmtId="0" fontId="1" fillId="0" borderId="0"/>
    <xf numFmtId="0" fontId="29" fillId="0" borderId="4" applyNumberFormat="0" applyFill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31" fillId="7" borderId="1" applyNumberFormat="0" applyAlignment="0" applyProtection="0">
      <alignment vertical="center"/>
    </xf>
    <xf numFmtId="4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0" fontId="32" fillId="0" borderId="0" applyNumberFormat="0" applyFill="0" applyBorder="0" applyAlignment="0" applyProtection="0">
      <alignment vertical="center"/>
    </xf>
    <xf numFmtId="0" fontId="33" fillId="0" borderId="6" applyNumberFormat="0" applyFill="0" applyAlignment="0" applyProtection="0">
      <alignment vertical="center"/>
    </xf>
    <xf numFmtId="0" fontId="34" fillId="0" borderId="7" applyNumberFormat="0" applyFill="0" applyAlignment="0" applyProtection="0">
      <alignment vertical="center"/>
    </xf>
    <xf numFmtId="0" fontId="35" fillId="0" borderId="8" applyNumberFormat="0" applyFill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7" fillId="20" borderId="9" applyNumberFormat="0" applyAlignment="0" applyProtection="0">
      <alignment vertical="center"/>
    </xf>
    <xf numFmtId="41" fontId="6" fillId="0" borderId="0" applyFont="0" applyFill="0" applyBorder="0" applyAlignment="0" applyProtection="0"/>
    <xf numFmtId="183" fontId="28" fillId="0" borderId="0" applyFont="0" applyFill="0" applyBorder="0" applyAlignment="0" applyProtection="0"/>
    <xf numFmtId="10" fontId="2" fillId="0" borderId="0" applyFont="0" applyFill="0" applyBorder="0" applyAlignment="0" applyProtection="0"/>
    <xf numFmtId="0" fontId="6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9" fillId="0" borderId="0">
      <alignment vertical="center"/>
    </xf>
    <xf numFmtId="0" fontId="6" fillId="0" borderId="0"/>
    <xf numFmtId="0" fontId="6" fillId="0" borderId="0">
      <alignment vertical="center"/>
    </xf>
    <xf numFmtId="0" fontId="50" fillId="0" borderId="0"/>
    <xf numFmtId="0" fontId="58" fillId="0" borderId="0"/>
    <xf numFmtId="0" fontId="6" fillId="0" borderId="0"/>
    <xf numFmtId="0" fontId="6" fillId="0" borderId="0"/>
    <xf numFmtId="0" fontId="16" fillId="0" borderId="0"/>
    <xf numFmtId="0" fontId="6" fillId="0" borderId="0">
      <alignment vertical="center"/>
    </xf>
    <xf numFmtId="49" fontId="8" fillId="0" borderId="0">
      <alignment horizontal="left"/>
    </xf>
    <xf numFmtId="0" fontId="2" fillId="0" borderId="10" applyNumberFormat="0" applyFont="0" applyFill="0" applyAlignment="0" applyProtection="0"/>
    <xf numFmtId="7" fontId="2" fillId="0" borderId="0" applyFont="0" applyFill="0" applyBorder="0" applyAlignment="0" applyProtection="0"/>
    <xf numFmtId="5" fontId="2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/>
    <xf numFmtId="0" fontId="38" fillId="0" borderId="0"/>
    <xf numFmtId="177" fontId="1" fillId="0" borderId="0" applyFont="0" applyFill="0" applyBorder="0" applyAlignment="0" applyProtection="0"/>
    <xf numFmtId="184" fontId="39" fillId="0" borderId="0"/>
    <xf numFmtId="178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0" fontId="40" fillId="0" borderId="0"/>
    <xf numFmtId="185" fontId="39" fillId="0" borderId="0" applyFont="0" applyFill="0" applyBorder="0" applyAlignment="0" applyProtection="0"/>
    <xf numFmtId="186" fontId="39" fillId="0" borderId="0" applyFont="0" applyFill="0" applyBorder="0" applyAlignment="0" applyProtection="0"/>
    <xf numFmtId="187" fontId="39" fillId="0" borderId="0"/>
    <xf numFmtId="38" fontId="41" fillId="24" borderId="0" applyNumberFormat="0" applyBorder="0" applyAlignment="0" applyProtection="0"/>
    <xf numFmtId="0" fontId="42" fillId="0" borderId="0">
      <alignment horizontal="left"/>
    </xf>
    <xf numFmtId="0" fontId="43" fillId="0" borderId="11" applyNumberFormat="0" applyAlignment="0" applyProtection="0">
      <alignment horizontal="left" vertical="center"/>
    </xf>
    <xf numFmtId="0" fontId="43" fillId="0" borderId="12">
      <alignment horizontal="left" vertical="center"/>
    </xf>
    <xf numFmtId="10" fontId="41" fillId="24" borderId="13" applyNumberFormat="0" applyBorder="0" applyAlignment="0" applyProtection="0"/>
    <xf numFmtId="177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0" fontId="44" fillId="0" borderId="14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188" fontId="28" fillId="0" borderId="0"/>
    <xf numFmtId="0" fontId="1" fillId="0" borderId="0"/>
    <xf numFmtId="10" fontId="1" fillId="0" borderId="0" applyFont="0" applyFill="0" applyBorder="0" applyAlignment="0" applyProtection="0"/>
    <xf numFmtId="0" fontId="1" fillId="0" borderId="0"/>
    <xf numFmtId="0" fontId="44" fillId="0" borderId="0"/>
    <xf numFmtId="189" fontId="39" fillId="0" borderId="0" applyFont="0" applyFill="0" applyBorder="0" applyAlignment="0" applyProtection="0"/>
    <xf numFmtId="190" fontId="39" fillId="0" borderId="0" applyFont="0" applyFill="0" applyBorder="0" applyAlignment="0" applyProtection="0"/>
    <xf numFmtId="41" fontId="6" fillId="0" borderId="0" applyFont="0" applyFill="0" applyBorder="0" applyAlignment="0" applyProtection="0">
      <alignment vertical="center"/>
    </xf>
  </cellStyleXfs>
  <cellXfs count="669">
    <xf numFmtId="0" fontId="0" fillId="0" borderId="0" xfId="0">
      <alignment vertical="center"/>
    </xf>
    <xf numFmtId="41" fontId="11" fillId="0" borderId="0" xfId="82" applyNumberFormat="1" applyFont="1" applyAlignment="1">
      <alignment horizontal="center" vertical="center"/>
    </xf>
    <xf numFmtId="41" fontId="11" fillId="0" borderId="0" xfId="82" applyNumberFormat="1" applyFont="1" applyFill="1" applyAlignment="1">
      <alignment horizontal="center" vertical="center"/>
    </xf>
    <xf numFmtId="0" fontId="11" fillId="0" borderId="0" xfId="82" applyNumberFormat="1" applyFont="1" applyFill="1" applyAlignment="1">
      <alignment horizontal="center" vertical="center"/>
    </xf>
    <xf numFmtId="0" fontId="11" fillId="0" borderId="0" xfId="82" applyNumberFormat="1" applyFont="1" applyAlignment="1">
      <alignment horizontal="center" vertical="center"/>
    </xf>
    <xf numFmtId="0" fontId="13" fillId="0" borderId="0" xfId="0" applyFont="1" applyAlignment="1">
      <alignment horizontal="center" vertical="center"/>
    </xf>
    <xf numFmtId="0" fontId="10" fillId="0" borderId="15" xfId="0" applyFont="1" applyBorder="1" applyAlignment="1">
      <alignment horizontal="center" vertical="center"/>
    </xf>
    <xf numFmtId="41" fontId="10" fillId="0" borderId="16" xfId="0" applyNumberFormat="1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10" fontId="10" fillId="0" borderId="17" xfId="40" applyNumberFormat="1" applyFont="1" applyBorder="1" applyAlignment="1">
      <alignment horizontal="center" vertical="center"/>
    </xf>
    <xf numFmtId="10" fontId="10" fillId="0" borderId="18" xfId="40" applyNumberFormat="1" applyFont="1" applyBorder="1" applyAlignment="1">
      <alignment horizontal="center" vertical="center"/>
    </xf>
    <xf numFmtId="0" fontId="10" fillId="0" borderId="19" xfId="0" applyFont="1" applyBorder="1" applyAlignment="1">
      <alignment horizontal="distributed" vertical="center" wrapText="1" justifyLastLine="1"/>
    </xf>
    <xf numFmtId="0" fontId="13" fillId="0" borderId="16" xfId="0" applyFont="1" applyBorder="1" applyAlignment="1">
      <alignment horizontal="center" vertical="center"/>
    </xf>
    <xf numFmtId="0" fontId="10" fillId="0" borderId="20" xfId="0" applyFont="1" applyBorder="1" applyAlignment="1">
      <alignment horizontal="distributed" vertical="center" wrapText="1" justifyLastLine="1"/>
    </xf>
    <xf numFmtId="181" fontId="10" fillId="0" borderId="21" xfId="0" applyNumberFormat="1" applyFont="1" applyBorder="1" applyAlignment="1">
      <alignment horizontal="center" vertical="center"/>
    </xf>
    <xf numFmtId="10" fontId="10" fillId="0" borderId="21" xfId="40" applyNumberFormat="1" applyFont="1" applyBorder="1" applyAlignment="1">
      <alignment horizontal="center" vertical="center"/>
    </xf>
    <xf numFmtId="0" fontId="13" fillId="0" borderId="21" xfId="0" applyFont="1" applyBorder="1" applyAlignment="1">
      <alignment horizontal="center" vertical="center"/>
    </xf>
    <xf numFmtId="0" fontId="10" fillId="0" borderId="15" xfId="0" applyFont="1" applyFill="1" applyBorder="1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6" fillId="0" borderId="0" xfId="85" applyFill="1">
      <alignment vertical="center"/>
    </xf>
    <xf numFmtId="0" fontId="6" fillId="0" borderId="0" xfId="85">
      <alignment vertical="center"/>
    </xf>
    <xf numFmtId="0" fontId="14" fillId="0" borderId="0" xfId="85" applyFont="1" applyFill="1">
      <alignment vertical="center"/>
    </xf>
    <xf numFmtId="41" fontId="15" fillId="0" borderId="0" xfId="82" applyNumberFormat="1" applyFont="1" applyBorder="1" applyAlignment="1">
      <alignment horizontal="center" vertical="center"/>
    </xf>
    <xf numFmtId="41" fontId="15" fillId="0" borderId="0" xfId="82" applyNumberFormat="1" applyFont="1" applyAlignment="1">
      <alignment horizontal="center" vertical="center"/>
    </xf>
    <xf numFmtId="0" fontId="10" fillId="0" borderId="19" xfId="0" applyFont="1" applyBorder="1" applyAlignment="1">
      <alignment horizontal="center" vertical="center"/>
    </xf>
    <xf numFmtId="41" fontId="15" fillId="0" borderId="17" xfId="82" applyNumberFormat="1" applyFont="1" applyBorder="1" applyAlignment="1">
      <alignment horizontal="center" vertical="center"/>
    </xf>
    <xf numFmtId="41" fontId="15" fillId="0" borderId="18" xfId="82" applyNumberFormat="1" applyFont="1" applyBorder="1" applyAlignment="1">
      <alignment horizontal="center" vertical="center"/>
    </xf>
    <xf numFmtId="41" fontId="12" fillId="25" borderId="22" xfId="82" applyNumberFormat="1" applyFont="1" applyFill="1" applyBorder="1" applyAlignment="1">
      <alignment horizontal="center" vertical="center" wrapText="1"/>
    </xf>
    <xf numFmtId="41" fontId="12" fillId="25" borderId="23" xfId="82" applyNumberFormat="1" applyFont="1" applyFill="1" applyBorder="1" applyAlignment="1">
      <alignment horizontal="center" vertical="center" wrapText="1"/>
    </xf>
    <xf numFmtId="0" fontId="45" fillId="0" borderId="0" xfId="84" applyFont="1" applyAlignment="1">
      <alignment vertical="center"/>
    </xf>
    <xf numFmtId="0" fontId="47" fillId="0" borderId="0" xfId="84" applyFont="1" applyAlignment="1">
      <alignment vertical="center"/>
    </xf>
    <xf numFmtId="41" fontId="15" fillId="0" borderId="24" xfId="47" applyFont="1" applyBorder="1" applyAlignment="1">
      <alignment horizontal="center" vertical="center"/>
    </xf>
    <xf numFmtId="41" fontId="15" fillId="0" borderId="17" xfId="47" applyFont="1" applyBorder="1" applyAlignment="1">
      <alignment horizontal="center" vertical="center"/>
    </xf>
    <xf numFmtId="41" fontId="15" fillId="0" borderId="18" xfId="47" applyFont="1" applyBorder="1" applyAlignment="1">
      <alignment horizontal="center" vertical="center"/>
    </xf>
    <xf numFmtId="41" fontId="15" fillId="0" borderId="25" xfId="47" applyFont="1" applyBorder="1" applyAlignment="1">
      <alignment horizontal="center" vertical="center"/>
    </xf>
    <xf numFmtId="41" fontId="45" fillId="0" borderId="0" xfId="82" applyNumberFormat="1" applyFont="1" applyBorder="1" applyAlignment="1">
      <alignment horizontal="left" vertical="center"/>
    </xf>
    <xf numFmtId="0" fontId="47" fillId="0" borderId="0" xfId="0" applyFont="1">
      <alignment vertical="center"/>
    </xf>
    <xf numFmtId="41" fontId="13" fillId="0" borderId="17" xfId="82" applyNumberFormat="1" applyFont="1" applyBorder="1" applyAlignment="1">
      <alignment horizontal="center" vertical="center" wrapText="1"/>
    </xf>
    <xf numFmtId="41" fontId="15" fillId="0" borderId="17" xfId="82" applyNumberFormat="1" applyFont="1" applyBorder="1" applyAlignment="1">
      <alignment horizontal="center" vertical="center" wrapText="1"/>
    </xf>
    <xf numFmtId="41" fontId="13" fillId="0" borderId="24" xfId="82" applyNumberFormat="1" applyFont="1" applyBorder="1" applyAlignment="1">
      <alignment horizontal="center" vertical="center" wrapText="1"/>
    </xf>
    <xf numFmtId="0" fontId="15" fillId="0" borderId="17" xfId="82" applyNumberFormat="1" applyFont="1" applyBorder="1" applyAlignment="1">
      <alignment horizontal="center" vertical="center"/>
    </xf>
    <xf numFmtId="0" fontId="15" fillId="0" borderId="17" xfId="82" applyNumberFormat="1" applyFont="1" applyBorder="1" applyAlignment="1">
      <alignment horizontal="center" vertical="center" wrapText="1"/>
    </xf>
    <xf numFmtId="0" fontId="10" fillId="0" borderId="26" xfId="0" applyFont="1" applyBorder="1" applyAlignment="1">
      <alignment horizontal="center" vertical="center"/>
    </xf>
    <xf numFmtId="41" fontId="10" fillId="0" borderId="24" xfId="0" applyNumberFormat="1" applyFont="1" applyBorder="1" applyAlignment="1">
      <alignment horizontal="center" vertical="center"/>
    </xf>
    <xf numFmtId="10" fontId="18" fillId="0" borderId="24" xfId="40" applyNumberFormat="1" applyFont="1" applyBorder="1" applyAlignment="1">
      <alignment horizontal="center" vertical="center"/>
    </xf>
    <xf numFmtId="10" fontId="18" fillId="0" borderId="25" xfId="40" applyNumberFormat="1" applyFont="1" applyBorder="1" applyAlignment="1">
      <alignment horizontal="center" vertical="center"/>
    </xf>
    <xf numFmtId="0" fontId="46" fillId="25" borderId="27" xfId="0" applyFont="1" applyFill="1" applyBorder="1" applyAlignment="1">
      <alignment horizontal="center" vertical="center"/>
    </xf>
    <xf numFmtId="0" fontId="46" fillId="25" borderId="27" xfId="0" applyFont="1" applyFill="1" applyBorder="1" applyAlignment="1">
      <alignment horizontal="center" vertical="center" wrapText="1"/>
    </xf>
    <xf numFmtId="0" fontId="46" fillId="25" borderId="28" xfId="0" applyFont="1" applyFill="1" applyBorder="1" applyAlignment="1">
      <alignment horizontal="center" vertical="center" wrapText="1"/>
    </xf>
    <xf numFmtId="12" fontId="11" fillId="0" borderId="0" xfId="82" applyNumberFormat="1" applyFont="1" applyAlignment="1">
      <alignment horizontal="center" vertical="center"/>
    </xf>
    <xf numFmtId="41" fontId="0" fillId="0" borderId="0" xfId="0" applyNumberFormat="1">
      <alignment vertical="center"/>
    </xf>
    <xf numFmtId="192" fontId="11" fillId="0" borderId="0" xfId="82" applyNumberFormat="1" applyFont="1" applyAlignment="1">
      <alignment horizontal="center" vertical="center"/>
    </xf>
    <xf numFmtId="10" fontId="13" fillId="0" borderId="17" xfId="40" applyNumberFormat="1" applyFont="1" applyBorder="1" applyAlignment="1">
      <alignment horizontal="center" vertical="center"/>
    </xf>
    <xf numFmtId="0" fontId="11" fillId="0" borderId="0" xfId="83" applyFont="1" applyBorder="1" applyAlignment="1">
      <alignment horizontal="center" vertical="center"/>
    </xf>
    <xf numFmtId="0" fontId="51" fillId="0" borderId="0" xfId="83" applyFont="1" applyAlignment="1">
      <alignment vertical="center"/>
    </xf>
    <xf numFmtId="0" fontId="11" fillId="0" borderId="0" xfId="83" applyFont="1" applyAlignment="1">
      <alignment vertical="center"/>
    </xf>
    <xf numFmtId="0" fontId="52" fillId="0" borderId="0" xfId="83" applyFont="1" applyFill="1" applyAlignment="1">
      <alignment vertical="center"/>
    </xf>
    <xf numFmtId="0" fontId="11" fillId="0" borderId="0" xfId="83" applyFont="1" applyFill="1" applyAlignment="1">
      <alignment vertical="center"/>
    </xf>
    <xf numFmtId="0" fontId="11" fillId="0" borderId="29" xfId="83" applyFont="1" applyBorder="1" applyAlignment="1">
      <alignment horizontal="center" vertical="center"/>
    </xf>
    <xf numFmtId="0" fontId="11" fillId="0" borderId="30" xfId="83" applyFont="1" applyBorder="1" applyAlignment="1">
      <alignment horizontal="center" vertical="center"/>
    </xf>
    <xf numFmtId="0" fontId="11" fillId="0" borderId="12" xfId="83" applyFont="1" applyBorder="1" applyAlignment="1">
      <alignment horizontal="center" vertical="center"/>
    </xf>
    <xf numFmtId="0" fontId="11" fillId="0" borderId="12" xfId="83" applyFont="1" applyBorder="1" applyAlignment="1">
      <alignment vertical="center"/>
    </xf>
    <xf numFmtId="0" fontId="11" fillId="0" borderId="12" xfId="83" applyFont="1" applyBorder="1" applyAlignment="1">
      <alignment horizontal="right" vertical="center"/>
    </xf>
    <xf numFmtId="0" fontId="54" fillId="0" borderId="12" xfId="83" applyFont="1" applyBorder="1" applyAlignment="1">
      <alignment horizontal="right" vertical="center"/>
    </xf>
    <xf numFmtId="196" fontId="54" fillId="0" borderId="31" xfId="83" applyNumberFormat="1" applyFont="1" applyBorder="1" applyAlignment="1">
      <alignment horizontal="left" vertical="center"/>
    </xf>
    <xf numFmtId="0" fontId="11" fillId="0" borderId="32" xfId="83" applyFont="1" applyBorder="1" applyAlignment="1">
      <alignment horizontal="center" vertical="center"/>
    </xf>
    <xf numFmtId="41" fontId="11" fillId="0" borderId="0" xfId="47" applyFont="1" applyAlignment="1">
      <alignment vertical="center"/>
    </xf>
    <xf numFmtId="0" fontId="11" fillId="0" borderId="33" xfId="83" applyFont="1" applyBorder="1" applyAlignment="1">
      <alignment horizontal="center" vertical="center"/>
    </xf>
    <xf numFmtId="191" fontId="11" fillId="0" borderId="0" xfId="83" applyNumberFormat="1" applyFont="1" applyBorder="1" applyAlignment="1">
      <alignment horizontal="center" vertical="center"/>
    </xf>
    <xf numFmtId="0" fontId="11" fillId="0" borderId="0" xfId="83" applyFont="1" applyBorder="1" applyAlignment="1">
      <alignment vertical="center"/>
    </xf>
    <xf numFmtId="41" fontId="11" fillId="0" borderId="34" xfId="47" applyFont="1" applyFill="1" applyBorder="1" applyAlignment="1">
      <alignment horizontal="center" vertical="center"/>
    </xf>
    <xf numFmtId="176" fontId="6" fillId="0" borderId="13" xfId="79" applyNumberFormat="1" applyBorder="1">
      <alignment vertical="center"/>
    </xf>
    <xf numFmtId="193" fontId="11" fillId="0" borderId="0" xfId="83" applyNumberFormat="1" applyFont="1" applyBorder="1" applyAlignment="1">
      <alignment horizontal="center" vertical="center"/>
    </xf>
    <xf numFmtId="196" fontId="11" fillId="0" borderId="0" xfId="83" applyNumberFormat="1" applyFont="1" applyBorder="1" applyAlignment="1">
      <alignment horizontal="center" vertical="center"/>
    </xf>
    <xf numFmtId="176" fontId="6" fillId="0" borderId="13" xfId="79" applyNumberFormat="1" applyFill="1" applyBorder="1">
      <alignment vertical="center"/>
    </xf>
    <xf numFmtId="176" fontId="11" fillId="0" borderId="0" xfId="83" applyNumberFormat="1" applyFont="1" applyAlignment="1">
      <alignment vertical="center"/>
    </xf>
    <xf numFmtId="41" fontId="11" fillId="26" borderId="35" xfId="47" applyFont="1" applyFill="1" applyBorder="1" applyAlignment="1">
      <alignment horizontal="right" vertical="center"/>
    </xf>
    <xf numFmtId="0" fontId="11" fillId="0" borderId="35" xfId="83" applyFont="1" applyBorder="1" applyAlignment="1">
      <alignment horizontal="center" vertical="center"/>
    </xf>
    <xf numFmtId="0" fontId="11" fillId="0" borderId="10" xfId="83" applyFont="1" applyBorder="1" applyAlignment="1">
      <alignment vertical="center"/>
    </xf>
    <xf numFmtId="41" fontId="11" fillId="0" borderId="36" xfId="47" applyFont="1" applyFill="1" applyBorder="1" applyAlignment="1">
      <alignment horizontal="center" vertical="center"/>
    </xf>
    <xf numFmtId="0" fontId="11" fillId="26" borderId="32" xfId="83" applyFont="1" applyFill="1" applyBorder="1" applyAlignment="1">
      <alignment horizontal="center" vertical="center"/>
    </xf>
    <xf numFmtId="41" fontId="11" fillId="26" borderId="33" xfId="47" applyFont="1" applyFill="1" applyBorder="1" applyAlignment="1">
      <alignment horizontal="right" vertical="center"/>
    </xf>
    <xf numFmtId="0" fontId="11" fillId="0" borderId="37" xfId="83" applyFont="1" applyBorder="1" applyAlignment="1">
      <alignment horizontal="center" vertical="center"/>
    </xf>
    <xf numFmtId="0" fontId="11" fillId="0" borderId="38" xfId="83" applyFont="1" applyBorder="1" applyAlignment="1">
      <alignment vertical="center"/>
    </xf>
    <xf numFmtId="0" fontId="11" fillId="0" borderId="39" xfId="83" applyFont="1" applyBorder="1" applyAlignment="1">
      <alignment vertical="center"/>
    </xf>
    <xf numFmtId="0" fontId="11" fillId="26" borderId="40" xfId="83" applyFont="1" applyFill="1" applyBorder="1" applyAlignment="1">
      <alignment horizontal="center" vertical="center"/>
    </xf>
    <xf numFmtId="41" fontId="11" fillId="26" borderId="41" xfId="47" applyFont="1" applyFill="1" applyBorder="1" applyAlignment="1">
      <alignment horizontal="right" vertical="center"/>
    </xf>
    <xf numFmtId="0" fontId="11" fillId="0" borderId="41" xfId="83" applyFont="1" applyBorder="1" applyAlignment="1">
      <alignment horizontal="center" vertical="center"/>
    </xf>
    <xf numFmtId="0" fontId="11" fillId="0" borderId="42" xfId="83" applyFont="1" applyBorder="1" applyAlignment="1">
      <alignment vertical="center"/>
    </xf>
    <xf numFmtId="0" fontId="11" fillId="0" borderId="43" xfId="83" applyFont="1" applyBorder="1" applyAlignment="1">
      <alignment vertical="center"/>
    </xf>
    <xf numFmtId="0" fontId="11" fillId="0" borderId="44" xfId="83" applyFont="1" applyBorder="1" applyAlignment="1">
      <alignment vertical="center"/>
    </xf>
    <xf numFmtId="41" fontId="11" fillId="0" borderId="45" xfId="47" applyFont="1" applyFill="1" applyBorder="1" applyAlignment="1">
      <alignment horizontal="center" vertical="center"/>
    </xf>
    <xf numFmtId="0" fontId="11" fillId="0" borderId="43" xfId="83" applyFont="1" applyFill="1" applyBorder="1" applyAlignment="1">
      <alignment vertical="center"/>
    </xf>
    <xf numFmtId="41" fontId="11" fillId="0" borderId="33" xfId="47" applyNumberFormat="1" applyFont="1" applyBorder="1" applyAlignment="1">
      <alignment vertical="center"/>
    </xf>
    <xf numFmtId="41" fontId="11" fillId="0" borderId="46" xfId="47" applyFont="1" applyFill="1" applyBorder="1" applyAlignment="1">
      <alignment horizontal="center" vertical="center"/>
    </xf>
    <xf numFmtId="200" fontId="11" fillId="0" borderId="0" xfId="83" applyNumberFormat="1" applyFont="1" applyBorder="1" applyAlignment="1">
      <alignment horizontal="center" vertical="center"/>
    </xf>
    <xf numFmtId="193" fontId="11" fillId="0" borderId="0" xfId="83" applyNumberFormat="1" applyFont="1" applyBorder="1" applyAlignment="1">
      <alignment vertical="center"/>
    </xf>
    <xf numFmtId="0" fontId="11" fillId="0" borderId="47" xfId="83" applyFont="1" applyBorder="1" applyAlignment="1">
      <alignment horizontal="center" vertical="center"/>
    </xf>
    <xf numFmtId="41" fontId="11" fillId="0" borderId="48" xfId="47" applyNumberFormat="1" applyFont="1" applyBorder="1" applyAlignment="1">
      <alignment vertical="center"/>
    </xf>
    <xf numFmtId="0" fontId="11" fillId="0" borderId="48" xfId="83" applyFont="1" applyBorder="1" applyAlignment="1">
      <alignment horizontal="center" vertical="center"/>
    </xf>
    <xf numFmtId="0" fontId="11" fillId="0" borderId="49" xfId="83" applyFont="1" applyBorder="1" applyAlignment="1">
      <alignment vertical="center"/>
    </xf>
    <xf numFmtId="0" fontId="11" fillId="0" borderId="49" xfId="83" applyFont="1" applyBorder="1" applyAlignment="1">
      <alignment horizontal="center" vertical="center"/>
    </xf>
    <xf numFmtId="41" fontId="11" fillId="0" borderId="50" xfId="47" applyFont="1" applyFill="1" applyBorder="1" applyAlignment="1">
      <alignment horizontal="center" vertical="center"/>
    </xf>
    <xf numFmtId="0" fontId="11" fillId="0" borderId="51" xfId="83" applyFont="1" applyBorder="1" applyAlignment="1">
      <alignment horizontal="center" vertical="center"/>
    </xf>
    <xf numFmtId="41" fontId="11" fillId="0" borderId="33" xfId="47" applyFont="1" applyBorder="1" applyAlignment="1">
      <alignment horizontal="center" vertical="center"/>
    </xf>
    <xf numFmtId="194" fontId="11" fillId="0" borderId="33" xfId="47" applyNumberFormat="1" applyFont="1" applyBorder="1" applyAlignment="1">
      <alignment horizontal="center" vertical="center"/>
    </xf>
    <xf numFmtId="0" fontId="11" fillId="0" borderId="38" xfId="83" applyFont="1" applyBorder="1" applyAlignment="1">
      <alignment horizontal="center" vertical="center"/>
    </xf>
    <xf numFmtId="0" fontId="15" fillId="0" borderId="0" xfId="83" quotePrefix="1" applyFont="1" applyBorder="1" applyAlignment="1">
      <alignment vertical="center"/>
    </xf>
    <xf numFmtId="0" fontId="15" fillId="0" borderId="0" xfId="83" applyFont="1" applyBorder="1" applyAlignment="1">
      <alignment vertical="center"/>
    </xf>
    <xf numFmtId="1" fontId="11" fillId="0" borderId="34" xfId="83" applyNumberFormat="1" applyFont="1" applyBorder="1" applyAlignment="1">
      <alignment horizontal="right" vertical="center"/>
    </xf>
    <xf numFmtId="1" fontId="11" fillId="0" borderId="0" xfId="83" applyNumberFormat="1" applyFont="1" applyBorder="1" applyAlignment="1">
      <alignment horizontal="center" vertical="center"/>
    </xf>
    <xf numFmtId="43" fontId="11" fillId="0" borderId="0" xfId="83" applyNumberFormat="1" applyFont="1" applyAlignment="1">
      <alignment vertical="center"/>
    </xf>
    <xf numFmtId="0" fontId="15" fillId="0" borderId="38" xfId="83" applyFont="1" applyBorder="1" applyAlignment="1">
      <alignment horizontal="center" vertical="center"/>
    </xf>
    <xf numFmtId="0" fontId="15" fillId="0" borderId="0" xfId="83" applyFont="1" applyBorder="1" applyAlignment="1">
      <alignment horizontal="center" vertical="center"/>
    </xf>
    <xf numFmtId="0" fontId="15" fillId="0" borderId="38" xfId="83" applyFont="1" applyBorder="1" applyAlignment="1">
      <alignment horizontal="left" vertical="center"/>
    </xf>
    <xf numFmtId="196" fontId="15" fillId="0" borderId="0" xfId="83" applyNumberFormat="1" applyFont="1" applyBorder="1" applyAlignment="1">
      <alignment vertical="center"/>
    </xf>
    <xf numFmtId="41" fontId="11" fillId="0" borderId="48" xfId="47" applyFont="1" applyBorder="1" applyAlignment="1">
      <alignment horizontal="center" vertical="center"/>
    </xf>
    <xf numFmtId="194" fontId="11" fillId="0" borderId="48" xfId="47" applyNumberFormat="1" applyFont="1" applyBorder="1" applyAlignment="1">
      <alignment horizontal="center" vertical="center"/>
    </xf>
    <xf numFmtId="0" fontId="15" fillId="0" borderId="49" xfId="83" applyFont="1" applyBorder="1" applyAlignment="1">
      <alignment vertical="center"/>
    </xf>
    <xf numFmtId="196" fontId="15" fillId="0" borderId="49" xfId="83" applyNumberFormat="1" applyFont="1" applyBorder="1" applyAlignment="1">
      <alignment vertical="center"/>
    </xf>
    <xf numFmtId="1" fontId="11" fillId="0" borderId="50" xfId="83" applyNumberFormat="1" applyFont="1" applyBorder="1" applyAlignment="1">
      <alignment horizontal="right" vertical="center"/>
    </xf>
    <xf numFmtId="194" fontId="11" fillId="0" borderId="35" xfId="47" applyNumberFormat="1" applyFont="1" applyBorder="1" applyAlignment="1">
      <alignment horizontal="center" vertical="center"/>
    </xf>
    <xf numFmtId="0" fontId="11" fillId="0" borderId="52" xfId="83" applyFont="1" applyBorder="1" applyAlignment="1">
      <alignment vertical="center"/>
    </xf>
    <xf numFmtId="1" fontId="11" fillId="0" borderId="36" xfId="83" applyNumberFormat="1" applyFont="1" applyBorder="1" applyAlignment="1">
      <alignment horizontal="right" vertical="center"/>
    </xf>
    <xf numFmtId="194" fontId="11" fillId="0" borderId="41" xfId="47" applyNumberFormat="1" applyFont="1" applyBorder="1" applyAlignment="1">
      <alignment horizontal="center" vertical="center"/>
    </xf>
    <xf numFmtId="1" fontId="11" fillId="0" borderId="45" xfId="83" applyNumberFormat="1" applyFont="1" applyBorder="1" applyAlignment="1">
      <alignment horizontal="right" vertical="center"/>
    </xf>
    <xf numFmtId="195" fontId="11" fillId="0" borderId="33" xfId="47" applyNumberFormat="1" applyFont="1" applyBorder="1" applyAlignment="1">
      <alignment horizontal="center" vertical="center"/>
    </xf>
    <xf numFmtId="0" fontId="11" fillId="0" borderId="39" xfId="83" applyFont="1" applyBorder="1" applyAlignment="1">
      <alignment horizontal="center" vertical="center"/>
    </xf>
    <xf numFmtId="41" fontId="11" fillId="0" borderId="39" xfId="83" applyNumberFormat="1" applyFont="1" applyBorder="1" applyAlignment="1">
      <alignment vertical="center"/>
    </xf>
    <xf numFmtId="0" fontId="11" fillId="0" borderId="39" xfId="83" quotePrefix="1" applyFont="1" applyBorder="1" applyAlignment="1">
      <alignment horizontal="left" vertical="center"/>
    </xf>
    <xf numFmtId="0" fontId="11" fillId="0" borderId="0" xfId="83" applyFont="1" applyBorder="1" applyAlignment="1">
      <alignment horizontal="left" vertical="center"/>
    </xf>
    <xf numFmtId="2" fontId="11" fillId="0" borderId="0" xfId="83" applyNumberFormat="1" applyFont="1" applyBorder="1" applyAlignment="1">
      <alignment horizontal="center" vertical="center"/>
    </xf>
    <xf numFmtId="0" fontId="11" fillId="0" borderId="38" xfId="83" applyFont="1" applyBorder="1" applyAlignment="1">
      <alignment horizontal="left" vertical="center"/>
    </xf>
    <xf numFmtId="41" fontId="11" fillId="0" borderId="53" xfId="83" applyNumberFormat="1" applyFont="1" applyBorder="1" applyAlignment="1">
      <alignment vertical="center"/>
    </xf>
    <xf numFmtId="0" fontId="11" fillId="0" borderId="37" xfId="83" applyFont="1" applyBorder="1" applyAlignment="1">
      <alignment vertical="center"/>
    </xf>
    <xf numFmtId="0" fontId="11" fillId="0" borderId="33" xfId="83" applyFont="1" applyBorder="1" applyAlignment="1">
      <alignment vertical="center"/>
    </xf>
    <xf numFmtId="41" fontId="11" fillId="0" borderId="34" xfId="83" applyNumberFormat="1" applyFont="1" applyBorder="1" applyAlignment="1">
      <alignment vertical="center"/>
    </xf>
    <xf numFmtId="0" fontId="11" fillId="0" borderId="41" xfId="83" applyFont="1" applyBorder="1" applyAlignment="1">
      <alignment vertical="center"/>
    </xf>
    <xf numFmtId="41" fontId="11" fillId="0" borderId="45" xfId="83" applyNumberFormat="1" applyFont="1" applyBorder="1" applyAlignment="1">
      <alignment vertical="center"/>
    </xf>
    <xf numFmtId="197" fontId="11" fillId="0" borderId="0" xfId="83" applyNumberFormat="1" applyFont="1" applyBorder="1" applyAlignment="1">
      <alignment horizontal="center" vertical="center"/>
    </xf>
    <xf numFmtId="0" fontId="11" fillId="0" borderId="0" xfId="83" quotePrefix="1" applyFont="1" applyBorder="1" applyAlignment="1">
      <alignment vertical="center"/>
    </xf>
    <xf numFmtId="195" fontId="11" fillId="0" borderId="48" xfId="47" applyNumberFormat="1" applyFont="1" applyBorder="1" applyAlignment="1">
      <alignment horizontal="center" vertical="center"/>
    </xf>
    <xf numFmtId="0" fontId="11" fillId="0" borderId="54" xfId="83" applyFont="1" applyBorder="1" applyAlignment="1">
      <alignment vertical="center"/>
    </xf>
    <xf numFmtId="0" fontId="11" fillId="0" borderId="55" xfId="83" applyFont="1" applyBorder="1" applyAlignment="1">
      <alignment horizontal="center" vertical="center"/>
    </xf>
    <xf numFmtId="41" fontId="11" fillId="0" borderId="55" xfId="83" applyNumberFormat="1" applyFont="1" applyBorder="1" applyAlignment="1">
      <alignment vertical="center"/>
    </xf>
    <xf numFmtId="0" fontId="11" fillId="0" borderId="56" xfId="83" applyFont="1" applyBorder="1" applyAlignment="1">
      <alignment horizontal="center" vertical="center"/>
    </xf>
    <xf numFmtId="0" fontId="11" fillId="0" borderId="57" xfId="83" applyFont="1" applyBorder="1" applyAlignment="1">
      <alignment horizontal="center" vertical="center"/>
    </xf>
    <xf numFmtId="0" fontId="11" fillId="0" borderId="58" xfId="83" applyFont="1" applyBorder="1" applyAlignment="1">
      <alignment horizontal="center" vertical="center"/>
    </xf>
    <xf numFmtId="0" fontId="11" fillId="0" borderId="58" xfId="83" applyFont="1" applyBorder="1" applyAlignment="1">
      <alignment horizontal="center" vertical="center" wrapText="1"/>
    </xf>
    <xf numFmtId="0" fontId="17" fillId="0" borderId="59" xfId="83" applyFont="1" applyBorder="1" applyAlignment="1">
      <alignment horizontal="center" vertical="center" wrapText="1"/>
    </xf>
    <xf numFmtId="0" fontId="11" fillId="0" borderId="60" xfId="83" applyFont="1" applyBorder="1" applyAlignment="1">
      <alignment horizontal="center" vertical="center"/>
    </xf>
    <xf numFmtId="176" fontId="11" fillId="24" borderId="37" xfId="83" applyNumberFormat="1" applyFont="1" applyFill="1" applyBorder="1" applyAlignment="1">
      <alignment horizontal="right" vertical="center"/>
    </xf>
    <xf numFmtId="176" fontId="11" fillId="0" borderId="33" xfId="83" applyNumberFormat="1" applyFont="1" applyBorder="1" applyAlignment="1">
      <alignment horizontal="right" vertical="center"/>
    </xf>
    <xf numFmtId="176" fontId="17" fillId="0" borderId="38" xfId="83" applyNumberFormat="1" applyFont="1" applyBorder="1" applyAlignment="1">
      <alignment horizontal="right" vertical="center"/>
    </xf>
    <xf numFmtId="41" fontId="11" fillId="0" borderId="61" xfId="47" applyFont="1" applyBorder="1" applyAlignment="1">
      <alignment vertical="center"/>
    </xf>
    <xf numFmtId="0" fontId="11" fillId="26" borderId="20" xfId="83" applyFont="1" applyFill="1" applyBorder="1" applyAlignment="1">
      <alignment horizontal="center" vertical="center"/>
    </xf>
    <xf numFmtId="176" fontId="11" fillId="24" borderId="21" xfId="83" applyNumberFormat="1" applyFont="1" applyFill="1" applyBorder="1" applyAlignment="1">
      <alignment horizontal="right" vertical="center"/>
    </xf>
    <xf numFmtId="176" fontId="11" fillId="24" borderId="21" xfId="83" applyNumberFormat="1" applyFont="1" applyFill="1" applyBorder="1" applyAlignment="1">
      <alignment horizontal="center" vertical="center"/>
    </xf>
    <xf numFmtId="176" fontId="11" fillId="0" borderId="21" xfId="83" applyNumberFormat="1" applyFont="1" applyBorder="1" applyAlignment="1">
      <alignment horizontal="right" vertical="center"/>
    </xf>
    <xf numFmtId="176" fontId="17" fillId="0" borderId="21" xfId="83" applyNumberFormat="1" applyFont="1" applyBorder="1" applyAlignment="1">
      <alignment horizontal="right" vertical="center"/>
    </xf>
    <xf numFmtId="0" fontId="11" fillId="0" borderId="62" xfId="83" applyFont="1" applyBorder="1" applyAlignment="1">
      <alignment vertical="center"/>
    </xf>
    <xf numFmtId="0" fontId="11" fillId="0" borderId="0" xfId="83" applyFont="1" applyAlignment="1">
      <alignment horizontal="center" vertical="center"/>
    </xf>
    <xf numFmtId="41" fontId="11" fillId="0" borderId="0" xfId="83" applyNumberFormat="1" applyFont="1" applyAlignment="1">
      <alignment horizontal="center" vertical="center"/>
    </xf>
    <xf numFmtId="176" fontId="11" fillId="24" borderId="63" xfId="83" applyNumberFormat="1" applyFont="1" applyFill="1" applyBorder="1" applyAlignment="1">
      <alignment horizontal="right" vertical="center"/>
    </xf>
    <xf numFmtId="176" fontId="11" fillId="0" borderId="41" xfId="83" applyNumberFormat="1" applyFont="1" applyBorder="1" applyAlignment="1">
      <alignment horizontal="right" vertical="center"/>
    </xf>
    <xf numFmtId="176" fontId="17" fillId="0" borderId="41" xfId="83" applyNumberFormat="1" applyFont="1" applyBorder="1" applyAlignment="1">
      <alignment horizontal="right" vertical="center"/>
    </xf>
    <xf numFmtId="0" fontId="11" fillId="0" borderId="64" xfId="83" applyFont="1" applyBorder="1" applyAlignment="1">
      <alignment vertical="center"/>
    </xf>
    <xf numFmtId="0" fontId="11" fillId="26" borderId="29" xfId="83" applyFont="1" applyFill="1" applyBorder="1" applyAlignment="1">
      <alignment horizontal="center" vertical="center"/>
    </xf>
    <xf numFmtId="198" fontId="11" fillId="24" borderId="65" xfId="83" applyNumberFormat="1" applyFont="1" applyFill="1" applyBorder="1" applyAlignment="1">
      <alignment horizontal="right" vertical="center"/>
    </xf>
    <xf numFmtId="198" fontId="11" fillId="0" borderId="30" xfId="83" applyNumberFormat="1" applyFont="1" applyBorder="1" applyAlignment="1">
      <alignment horizontal="right" vertical="center"/>
    </xf>
    <xf numFmtId="199" fontId="11" fillId="0" borderId="30" xfId="83" applyNumberFormat="1" applyFont="1" applyBorder="1" applyAlignment="1">
      <alignment horizontal="right" vertical="center"/>
    </xf>
    <xf numFmtId="176" fontId="11" fillId="0" borderId="30" xfId="83" applyNumberFormat="1" applyFont="1" applyBorder="1" applyAlignment="1">
      <alignment horizontal="right" vertical="center"/>
    </xf>
    <xf numFmtId="176" fontId="17" fillId="0" borderId="30" xfId="83" applyNumberFormat="1" applyFont="1" applyBorder="1" applyAlignment="1">
      <alignment horizontal="right" vertical="center"/>
    </xf>
    <xf numFmtId="0" fontId="11" fillId="0" borderId="66" xfId="83" applyFont="1" applyBorder="1" applyAlignment="1">
      <alignment horizontal="center" vertical="center"/>
    </xf>
    <xf numFmtId="196" fontId="11" fillId="0" borderId="0" xfId="83" applyNumberFormat="1" applyFont="1" applyAlignment="1">
      <alignment horizontal="center" vertical="center"/>
    </xf>
    <xf numFmtId="41" fontId="11" fillId="0" borderId="0" xfId="83" applyNumberFormat="1" applyFont="1" applyAlignment="1">
      <alignment vertical="center"/>
    </xf>
    <xf numFmtId="0" fontId="11" fillId="0" borderId="67" xfId="83" applyFont="1" applyBorder="1" applyAlignment="1">
      <alignment horizontal="center" vertical="center"/>
    </xf>
    <xf numFmtId="0" fontId="11" fillId="0" borderId="68" xfId="83" applyFont="1" applyBorder="1" applyAlignment="1">
      <alignment horizontal="center" vertical="center"/>
    </xf>
    <xf numFmtId="0" fontId="11" fillId="0" borderId="69" xfId="83" applyFont="1" applyBorder="1" applyAlignment="1">
      <alignment horizontal="center" vertical="center"/>
    </xf>
    <xf numFmtId="0" fontId="11" fillId="0" borderId="69" xfId="83" applyFont="1" applyBorder="1" applyAlignment="1">
      <alignment vertical="center"/>
    </xf>
    <xf numFmtId="41" fontId="11" fillId="0" borderId="33" xfId="47" applyFont="1" applyBorder="1" applyAlignment="1">
      <alignment vertical="center"/>
    </xf>
    <xf numFmtId="41" fontId="11" fillId="0" borderId="48" xfId="47" applyFont="1" applyBorder="1" applyAlignment="1">
      <alignment vertical="center"/>
    </xf>
    <xf numFmtId="0" fontId="11" fillId="0" borderId="54" xfId="83" applyFont="1" applyBorder="1" applyAlignment="1">
      <alignment horizontal="left" vertical="center"/>
    </xf>
    <xf numFmtId="41" fontId="11" fillId="0" borderId="69" xfId="47" applyFont="1" applyBorder="1" applyAlignment="1">
      <alignment vertical="center"/>
    </xf>
    <xf numFmtId="41" fontId="11" fillId="0" borderId="0" xfId="47" applyFont="1" applyBorder="1" applyAlignment="1">
      <alignment vertical="center"/>
    </xf>
    <xf numFmtId="41" fontId="11" fillId="0" borderId="49" xfId="47" applyFont="1" applyBorder="1" applyAlignment="1">
      <alignment vertical="center"/>
    </xf>
    <xf numFmtId="0" fontId="11" fillId="27" borderId="32" xfId="83" applyFont="1" applyFill="1" applyBorder="1" applyAlignment="1">
      <alignment horizontal="center" vertical="center"/>
    </xf>
    <xf numFmtId="41" fontId="11" fillId="27" borderId="33" xfId="47" applyFont="1" applyFill="1" applyBorder="1" applyAlignment="1">
      <alignment horizontal="right" vertical="center"/>
    </xf>
    <xf numFmtId="0" fontId="11" fillId="27" borderId="37" xfId="83" applyFont="1" applyFill="1" applyBorder="1" applyAlignment="1">
      <alignment horizontal="center" vertical="center"/>
    </xf>
    <xf numFmtId="0" fontId="11" fillId="27" borderId="0" xfId="83" applyFont="1" applyFill="1" applyBorder="1" applyAlignment="1">
      <alignment vertical="center"/>
    </xf>
    <xf numFmtId="41" fontId="11" fillId="27" borderId="34" xfId="47" applyFont="1" applyFill="1" applyBorder="1" applyAlignment="1">
      <alignment horizontal="center" vertical="center"/>
    </xf>
    <xf numFmtId="0" fontId="11" fillId="27" borderId="40" xfId="83" applyFont="1" applyFill="1" applyBorder="1" applyAlignment="1">
      <alignment horizontal="center" vertical="center"/>
    </xf>
    <xf numFmtId="41" fontId="11" fillId="27" borderId="41" xfId="47" applyFont="1" applyFill="1" applyBorder="1" applyAlignment="1">
      <alignment horizontal="right" vertical="center"/>
    </xf>
    <xf numFmtId="0" fontId="11" fillId="27" borderId="41" xfId="83" applyFont="1" applyFill="1" applyBorder="1" applyAlignment="1">
      <alignment horizontal="center" vertical="center"/>
    </xf>
    <xf numFmtId="0" fontId="11" fillId="27" borderId="42" xfId="83" applyFont="1" applyFill="1" applyBorder="1" applyAlignment="1">
      <alignment vertical="center"/>
    </xf>
    <xf numFmtId="0" fontId="11" fillId="27" borderId="43" xfId="83" applyFont="1" applyFill="1" applyBorder="1" applyAlignment="1">
      <alignment vertical="center"/>
    </xf>
    <xf numFmtId="0" fontId="11" fillId="27" borderId="44" xfId="83" applyFont="1" applyFill="1" applyBorder="1" applyAlignment="1">
      <alignment vertical="center"/>
    </xf>
    <xf numFmtId="41" fontId="11" fillId="27" borderId="45" xfId="47" applyFont="1" applyFill="1" applyBorder="1" applyAlignment="1">
      <alignment horizontal="center" vertical="center"/>
    </xf>
    <xf numFmtId="194" fontId="11" fillId="27" borderId="33" xfId="47" applyNumberFormat="1" applyFont="1" applyFill="1" applyBorder="1" applyAlignment="1">
      <alignment horizontal="center" vertical="center"/>
    </xf>
    <xf numFmtId="0" fontId="11" fillId="27" borderId="33" xfId="83" applyFont="1" applyFill="1" applyBorder="1" applyAlignment="1">
      <alignment horizontal="center" vertical="center"/>
    </xf>
    <xf numFmtId="0" fontId="11" fillId="27" borderId="38" xfId="83" applyFont="1" applyFill="1" applyBorder="1" applyAlignment="1">
      <alignment vertical="center"/>
    </xf>
    <xf numFmtId="1" fontId="11" fillId="27" borderId="34" xfId="83" applyNumberFormat="1" applyFont="1" applyFill="1" applyBorder="1" applyAlignment="1">
      <alignment horizontal="right" vertical="center"/>
    </xf>
    <xf numFmtId="194" fontId="11" fillId="27" borderId="41" xfId="47" applyNumberFormat="1" applyFont="1" applyFill="1" applyBorder="1" applyAlignment="1">
      <alignment horizontal="center" vertical="center"/>
    </xf>
    <xf numFmtId="1" fontId="11" fillId="27" borderId="45" xfId="83" applyNumberFormat="1" applyFont="1" applyFill="1" applyBorder="1" applyAlignment="1">
      <alignment horizontal="right" vertical="center"/>
    </xf>
    <xf numFmtId="195" fontId="11" fillId="0" borderId="41" xfId="47" applyNumberFormat="1" applyFont="1" applyBorder="1" applyAlignment="1">
      <alignment horizontal="center" vertical="center"/>
    </xf>
    <xf numFmtId="0" fontId="11" fillId="0" borderId="54" xfId="83" applyFont="1" applyBorder="1" applyAlignment="1">
      <alignment horizontal="center" vertical="center"/>
    </xf>
    <xf numFmtId="176" fontId="11" fillId="0" borderId="0" xfId="83" applyNumberFormat="1" applyFont="1" applyAlignment="1">
      <alignment horizontal="center" vertical="center"/>
    </xf>
    <xf numFmtId="0" fontId="11" fillId="27" borderId="0" xfId="83" applyFont="1" applyFill="1" applyAlignment="1">
      <alignment vertical="center"/>
    </xf>
    <xf numFmtId="196" fontId="55" fillId="0" borderId="0" xfId="83" applyNumberFormat="1" applyFont="1" applyAlignment="1">
      <alignment horizontal="center" vertical="center"/>
    </xf>
    <xf numFmtId="0" fontId="55" fillId="0" borderId="0" xfId="83" applyFont="1" applyAlignment="1">
      <alignment horizontal="center" vertical="center"/>
    </xf>
    <xf numFmtId="41" fontId="55" fillId="0" borderId="0" xfId="83" applyNumberFormat="1" applyFont="1" applyAlignment="1">
      <alignment horizontal="center" vertical="center"/>
    </xf>
    <xf numFmtId="176" fontId="55" fillId="0" borderId="0" xfId="83" applyNumberFormat="1" applyFont="1" applyAlignment="1">
      <alignment horizontal="center" vertical="center"/>
    </xf>
    <xf numFmtId="0" fontId="14" fillId="0" borderId="0" xfId="0" applyFont="1" applyBorder="1" applyAlignment="1">
      <alignment horizontal="left" vertical="center"/>
    </xf>
    <xf numFmtId="0" fontId="14" fillId="0" borderId="0" xfId="0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49" fillId="0" borderId="13" xfId="0" applyFont="1" applyBorder="1" applyAlignment="1">
      <alignment horizontal="center" vertical="center"/>
    </xf>
    <xf numFmtId="0" fontId="49" fillId="0" borderId="46" xfId="0" applyFont="1" applyBorder="1" applyAlignment="1">
      <alignment horizontal="center" vertical="center"/>
    </xf>
    <xf numFmtId="49" fontId="49" fillId="0" borderId="45" xfId="0" applyNumberFormat="1" applyFont="1" applyBorder="1" applyAlignment="1">
      <alignment horizontal="center" vertical="center"/>
    </xf>
    <xf numFmtId="0" fontId="13" fillId="0" borderId="13" xfId="0" applyFont="1" applyBorder="1" applyAlignment="1">
      <alignment horizontal="center" vertical="center" wrapText="1"/>
    </xf>
    <xf numFmtId="0" fontId="13" fillId="0" borderId="13" xfId="71" applyNumberFormat="1" applyFont="1" applyBorder="1" applyAlignment="1">
      <alignment horizontal="center" vertical="center"/>
    </xf>
    <xf numFmtId="0" fontId="13" fillId="0" borderId="13" xfId="0" applyFont="1" applyBorder="1" applyAlignment="1">
      <alignment horizontal="center" vertical="center"/>
    </xf>
    <xf numFmtId="41" fontId="13" fillId="0" borderId="13" xfId="47" applyFont="1" applyBorder="1" applyAlignment="1">
      <alignment horizontal="center" vertical="center"/>
    </xf>
    <xf numFmtId="41" fontId="49" fillId="0" borderId="13" xfId="47" applyFont="1" applyBorder="1" applyAlignment="1">
      <alignment horizontal="center" vertical="center"/>
    </xf>
    <xf numFmtId="43" fontId="6" fillId="0" borderId="0" xfId="0" applyNumberFormat="1" applyFont="1" applyAlignment="1">
      <alignment horizontal="center" vertical="center"/>
    </xf>
    <xf numFmtId="3" fontId="13" fillId="0" borderId="13" xfId="71" applyNumberFormat="1" applyFont="1" applyBorder="1" applyAlignment="1">
      <alignment horizontal="center" vertical="center"/>
    </xf>
    <xf numFmtId="0" fontId="49" fillId="0" borderId="13" xfId="0" applyFont="1" applyBorder="1" applyAlignment="1">
      <alignment horizontal="center" vertical="center" wrapText="1"/>
    </xf>
    <xf numFmtId="0" fontId="13" fillId="0" borderId="46" xfId="0" applyFont="1" applyBorder="1" applyAlignment="1">
      <alignment horizontal="center" vertical="center"/>
    </xf>
    <xf numFmtId="182" fontId="13" fillId="0" borderId="13" xfId="40" applyNumberFormat="1" applyFont="1" applyBorder="1" applyAlignment="1">
      <alignment horizontal="right" vertical="center"/>
    </xf>
    <xf numFmtId="3" fontId="49" fillId="0" borderId="13" xfId="71" applyNumberFormat="1" applyFont="1" applyBorder="1" applyAlignment="1">
      <alignment horizontal="center" vertical="center"/>
    </xf>
    <xf numFmtId="0" fontId="13" fillId="0" borderId="34" xfId="0" applyFont="1" applyBorder="1" applyAlignment="1">
      <alignment horizontal="center" vertical="center"/>
    </xf>
    <xf numFmtId="0" fontId="13" fillId="0" borderId="45" xfId="0" applyFont="1" applyBorder="1" applyAlignment="1">
      <alignment horizontal="center" vertical="center"/>
    </xf>
    <xf numFmtId="41" fontId="15" fillId="0" borderId="16" xfId="47" applyFont="1" applyBorder="1" applyAlignment="1">
      <alignment horizontal="center" vertical="center"/>
    </xf>
    <xf numFmtId="41" fontId="12" fillId="0" borderId="21" xfId="82" applyNumberFormat="1" applyFont="1" applyBorder="1" applyAlignment="1">
      <alignment horizontal="center" vertical="center"/>
    </xf>
    <xf numFmtId="41" fontId="12" fillId="0" borderId="62" xfId="82" applyNumberFormat="1" applyFont="1" applyBorder="1" applyAlignment="1">
      <alignment horizontal="center" vertical="center"/>
    </xf>
    <xf numFmtId="0" fontId="13" fillId="0" borderId="70" xfId="0" applyFont="1" applyBorder="1" applyAlignment="1">
      <alignment horizontal="center" vertical="center"/>
    </xf>
    <xf numFmtId="0" fontId="13" fillId="0" borderId="71" xfId="0" applyFont="1" applyBorder="1" applyAlignment="1">
      <alignment horizontal="center" vertical="center"/>
    </xf>
    <xf numFmtId="9" fontId="13" fillId="0" borderId="13" xfId="40" applyFont="1" applyBorder="1" applyAlignment="1">
      <alignment horizontal="center" vertical="center"/>
    </xf>
    <xf numFmtId="41" fontId="13" fillId="0" borderId="0" xfId="0" applyNumberFormat="1" applyFont="1" applyAlignment="1">
      <alignment horizontal="center" vertical="center"/>
    </xf>
    <xf numFmtId="0" fontId="13" fillId="0" borderId="13" xfId="40" applyNumberFormat="1" applyFont="1" applyBorder="1" applyAlignment="1">
      <alignment horizontal="center" vertical="center"/>
    </xf>
    <xf numFmtId="0" fontId="13" fillId="0" borderId="0" xfId="0" applyFont="1" applyBorder="1" applyAlignment="1">
      <alignment horizontal="center" vertical="center"/>
    </xf>
    <xf numFmtId="10" fontId="0" fillId="0" borderId="0" xfId="0" applyNumberFormat="1" applyAlignment="1">
      <alignment horizontal="center" vertical="center"/>
    </xf>
    <xf numFmtId="0" fontId="13" fillId="0" borderId="72" xfId="0" applyFont="1" applyBorder="1" applyAlignment="1">
      <alignment horizontal="center" vertical="center"/>
    </xf>
    <xf numFmtId="41" fontId="13" fillId="0" borderId="73" xfId="0" applyNumberFormat="1" applyFont="1" applyBorder="1" applyAlignment="1">
      <alignment horizontal="center" vertical="center"/>
    </xf>
    <xf numFmtId="0" fontId="13" fillId="0" borderId="15" xfId="0" applyFont="1" applyBorder="1" applyAlignment="1">
      <alignment horizontal="center" vertical="center"/>
    </xf>
    <xf numFmtId="41" fontId="13" fillId="0" borderId="17" xfId="0" applyNumberFormat="1" applyFont="1" applyBorder="1" applyAlignment="1">
      <alignment horizontal="center" vertical="center"/>
    </xf>
    <xf numFmtId="0" fontId="13" fillId="0" borderId="15" xfId="0" applyFont="1" applyFill="1" applyBorder="1" applyAlignment="1">
      <alignment horizontal="center" vertical="center"/>
    </xf>
    <xf numFmtId="0" fontId="0" fillId="0" borderId="74" xfId="0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46" fillId="25" borderId="54" xfId="0" applyFont="1" applyFill="1" applyBorder="1" applyAlignment="1">
      <alignment horizontal="center" vertical="center" wrapText="1"/>
    </xf>
    <xf numFmtId="0" fontId="46" fillId="25" borderId="48" xfId="0" applyFont="1" applyFill="1" applyBorder="1" applyAlignment="1">
      <alignment horizontal="center" vertical="center"/>
    </xf>
    <xf numFmtId="0" fontId="46" fillId="25" borderId="48" xfId="0" applyFont="1" applyFill="1" applyBorder="1" applyAlignment="1">
      <alignment horizontal="center" vertical="center" wrapText="1"/>
    </xf>
    <xf numFmtId="10" fontId="13" fillId="0" borderId="73" xfId="40" applyNumberFormat="1" applyFont="1" applyBorder="1" applyAlignment="1">
      <alignment horizontal="center" vertical="center"/>
    </xf>
    <xf numFmtId="0" fontId="13" fillId="0" borderId="20" xfId="0" applyFont="1" applyBorder="1" applyAlignment="1">
      <alignment horizontal="distributed" vertical="center" wrapText="1" justifyLastLine="1"/>
    </xf>
    <xf numFmtId="41" fontId="13" fillId="0" borderId="21" xfId="0" applyNumberFormat="1" applyFont="1" applyBorder="1" applyAlignment="1">
      <alignment horizontal="center" vertical="center"/>
    </xf>
    <xf numFmtId="10" fontId="13" fillId="0" borderId="21" xfId="40" applyNumberFormat="1" applyFont="1" applyBorder="1" applyAlignment="1">
      <alignment horizontal="center" vertical="center"/>
    </xf>
    <xf numFmtId="0" fontId="11" fillId="0" borderId="75" xfId="83" applyFont="1" applyBorder="1" applyAlignment="1">
      <alignment horizontal="center" vertical="center"/>
    </xf>
    <xf numFmtId="0" fontId="11" fillId="0" borderId="10" xfId="83" applyFont="1" applyBorder="1" applyAlignment="1">
      <alignment horizontal="center" vertical="center"/>
    </xf>
    <xf numFmtId="195" fontId="11" fillId="0" borderId="35" xfId="47" applyNumberFormat="1" applyFont="1" applyBorder="1" applyAlignment="1">
      <alignment horizontal="center" vertical="center"/>
    </xf>
    <xf numFmtId="0" fontId="11" fillId="0" borderId="53" xfId="83" applyFont="1" applyBorder="1" applyAlignment="1">
      <alignment horizontal="center" vertical="center"/>
    </xf>
    <xf numFmtId="0" fontId="15" fillId="0" borderId="10" xfId="83" applyFont="1" applyBorder="1" applyAlignment="1">
      <alignment vertical="center"/>
    </xf>
    <xf numFmtId="196" fontId="15" fillId="0" borderId="10" xfId="83" applyNumberFormat="1" applyFont="1" applyBorder="1" applyAlignment="1">
      <alignment vertical="center"/>
    </xf>
    <xf numFmtId="0" fontId="11" fillId="0" borderId="61" xfId="83" applyFont="1" applyBorder="1" applyAlignment="1">
      <alignment horizontal="center" vertical="center"/>
    </xf>
    <xf numFmtId="0" fontId="11" fillId="0" borderId="69" xfId="83" applyFont="1" applyBorder="1" applyAlignment="1">
      <alignment horizontal="right" vertical="center"/>
    </xf>
    <xf numFmtId="0" fontId="54" fillId="0" borderId="69" xfId="83" applyFont="1" applyBorder="1" applyAlignment="1">
      <alignment horizontal="right" vertical="center"/>
    </xf>
    <xf numFmtId="0" fontId="11" fillId="0" borderId="0" xfId="83" applyFont="1" applyBorder="1" applyAlignment="1">
      <alignment horizontal="right" vertical="center"/>
    </xf>
    <xf numFmtId="0" fontId="54" fillId="0" borderId="0" xfId="83" applyFont="1" applyBorder="1" applyAlignment="1">
      <alignment horizontal="right" vertical="center"/>
    </xf>
    <xf numFmtId="0" fontId="11" fillId="0" borderId="52" xfId="83" applyFont="1" applyBorder="1" applyAlignment="1">
      <alignment horizontal="left" vertical="center"/>
    </xf>
    <xf numFmtId="41" fontId="11" fillId="0" borderId="46" xfId="83" applyNumberFormat="1" applyFont="1" applyBorder="1" applyAlignment="1">
      <alignment vertical="center"/>
    </xf>
    <xf numFmtId="41" fontId="11" fillId="0" borderId="33" xfId="83" applyNumberFormat="1" applyFont="1" applyBorder="1" applyAlignment="1">
      <alignment horizontal="center" vertical="center"/>
    </xf>
    <xf numFmtId="176" fontId="11" fillId="0" borderId="21" xfId="83" applyNumberFormat="1" applyFont="1" applyBorder="1" applyAlignment="1">
      <alignment horizontal="center" vertical="center"/>
    </xf>
    <xf numFmtId="200" fontId="11" fillId="0" borderId="49" xfId="83" applyNumberFormat="1" applyFont="1" applyBorder="1" applyAlignment="1">
      <alignment horizontal="center" vertical="center"/>
    </xf>
    <xf numFmtId="193" fontId="11" fillId="0" borderId="49" xfId="83" applyNumberFormat="1" applyFont="1" applyBorder="1" applyAlignment="1">
      <alignment horizontal="center" vertical="center"/>
    </xf>
    <xf numFmtId="0" fontId="15" fillId="0" borderId="52" xfId="83" applyFont="1" applyBorder="1" applyAlignment="1">
      <alignment horizontal="center" vertical="center"/>
    </xf>
    <xf numFmtId="0" fontId="15" fillId="0" borderId="10" xfId="83" applyFont="1" applyBorder="1" applyAlignment="1">
      <alignment horizontal="center" vertical="center"/>
    </xf>
    <xf numFmtId="2" fontId="11" fillId="0" borderId="49" xfId="83" applyNumberFormat="1" applyFont="1" applyBorder="1" applyAlignment="1">
      <alignment horizontal="center" vertical="center"/>
    </xf>
    <xf numFmtId="0" fontId="11" fillId="0" borderId="52" xfId="83" applyFont="1" applyBorder="1" applyAlignment="1">
      <alignment horizontal="center" vertical="center"/>
    </xf>
    <xf numFmtId="0" fontId="11" fillId="0" borderId="46" xfId="83" applyNumberFormat="1" applyFont="1" applyBorder="1" applyAlignment="1">
      <alignment vertical="center"/>
    </xf>
    <xf numFmtId="202" fontId="11" fillId="0" borderId="46" xfId="83" applyNumberFormat="1" applyFont="1" applyBorder="1" applyAlignment="1">
      <alignment vertical="center"/>
    </xf>
    <xf numFmtId="0" fontId="11" fillId="0" borderId="39" xfId="83" applyNumberFormat="1" applyFont="1" applyBorder="1" applyAlignment="1">
      <alignment vertical="center"/>
    </xf>
    <xf numFmtId="203" fontId="13" fillId="0" borderId="46" xfId="0" applyNumberFormat="1" applyFont="1" applyBorder="1" applyAlignment="1">
      <alignment horizontal="left" vertical="center" indent="1"/>
    </xf>
    <xf numFmtId="204" fontId="13" fillId="0" borderId="34" xfId="0" applyNumberFormat="1" applyFont="1" applyBorder="1" applyAlignment="1">
      <alignment horizontal="left" vertical="center" indent="1"/>
    </xf>
    <xf numFmtId="10" fontId="13" fillId="0" borderId="62" xfId="0" applyNumberFormat="1" applyFont="1" applyBorder="1" applyAlignment="1">
      <alignment horizontal="center" vertical="center"/>
    </xf>
    <xf numFmtId="0" fontId="0" fillId="24" borderId="13" xfId="0" applyFill="1" applyBorder="1" applyAlignment="1">
      <alignment horizontal="left" vertical="center" wrapText="1" indent="1"/>
    </xf>
    <xf numFmtId="0" fontId="50" fillId="0" borderId="0" xfId="0" applyFont="1">
      <alignment vertical="center"/>
    </xf>
    <xf numFmtId="0" fontId="50" fillId="0" borderId="0" xfId="0" applyFont="1" applyAlignment="1">
      <alignment horizontal="center" vertical="center"/>
    </xf>
    <xf numFmtId="0" fontId="60" fillId="0" borderId="0" xfId="0" applyFont="1" applyFill="1">
      <alignment vertical="center"/>
    </xf>
    <xf numFmtId="0" fontId="50" fillId="0" borderId="0" xfId="0" applyFont="1" applyBorder="1" applyAlignment="1">
      <alignment horizontal="center" vertical="center"/>
    </xf>
    <xf numFmtId="0" fontId="50" fillId="0" borderId="0" xfId="0" applyFont="1" applyBorder="1">
      <alignment vertical="center"/>
    </xf>
    <xf numFmtId="0" fontId="50" fillId="0" borderId="0" xfId="0" applyFont="1" applyFill="1" applyBorder="1">
      <alignment vertical="center"/>
    </xf>
    <xf numFmtId="0" fontId="50" fillId="0" borderId="76" xfId="0" applyFont="1" applyBorder="1" applyAlignment="1">
      <alignment horizontal="center" vertical="center"/>
    </xf>
    <xf numFmtId="0" fontId="50" fillId="0" borderId="0" xfId="0" applyFont="1" applyBorder="1" applyAlignment="1">
      <alignment vertical="center"/>
    </xf>
    <xf numFmtId="0" fontId="50" fillId="0" borderId="0" xfId="0" applyFont="1" applyFill="1" applyBorder="1" applyAlignment="1">
      <alignment horizontal="center" vertical="center"/>
    </xf>
    <xf numFmtId="0" fontId="50" fillId="0" borderId="77" xfId="0" applyFont="1" applyBorder="1" applyAlignment="1">
      <alignment horizontal="center" vertical="center"/>
    </xf>
    <xf numFmtId="3" fontId="61" fillId="24" borderId="24" xfId="0" applyNumberFormat="1" applyFont="1" applyFill="1" applyBorder="1" applyAlignment="1">
      <alignment horizontal="right" vertical="center" wrapText="1"/>
    </xf>
    <xf numFmtId="3" fontId="61" fillId="24" borderId="78" xfId="0" applyNumberFormat="1" applyFont="1" applyFill="1" applyBorder="1" applyAlignment="1">
      <alignment horizontal="right" vertical="center" wrapText="1"/>
    </xf>
    <xf numFmtId="209" fontId="50" fillId="0" borderId="24" xfId="0" applyNumberFormat="1" applyFont="1" applyBorder="1" applyAlignment="1">
      <alignment horizontal="right" vertical="center"/>
    </xf>
    <xf numFmtId="209" fontId="50" fillId="0" borderId="78" xfId="0" applyNumberFormat="1" applyFont="1" applyBorder="1" applyAlignment="1">
      <alignment horizontal="right" vertical="center"/>
    </xf>
    <xf numFmtId="0" fontId="50" fillId="0" borderId="79" xfId="0" applyFont="1" applyBorder="1" applyAlignment="1">
      <alignment horizontal="center" vertical="center"/>
    </xf>
    <xf numFmtId="3" fontId="61" fillId="24" borderId="17" xfId="0" applyNumberFormat="1" applyFont="1" applyFill="1" applyBorder="1" applyAlignment="1">
      <alignment horizontal="right" vertical="center" wrapText="1"/>
    </xf>
    <xf numFmtId="0" fontId="50" fillId="0" borderId="80" xfId="0" applyFont="1" applyBorder="1" applyAlignment="1">
      <alignment horizontal="center" vertical="center"/>
    </xf>
    <xf numFmtId="209" fontId="50" fillId="0" borderId="81" xfId="0" applyNumberFormat="1" applyFont="1" applyBorder="1" applyAlignment="1">
      <alignment horizontal="right" vertical="center"/>
    </xf>
    <xf numFmtId="209" fontId="50" fillId="0" borderId="82" xfId="0" applyNumberFormat="1" applyFont="1" applyBorder="1" applyAlignment="1">
      <alignment horizontal="right" vertical="center"/>
    </xf>
    <xf numFmtId="0" fontId="50" fillId="0" borderId="0" xfId="0" applyFont="1" applyBorder="1" applyAlignment="1">
      <alignment horizontal="left" vertical="center"/>
    </xf>
    <xf numFmtId="0" fontId="60" fillId="0" borderId="0" xfId="0" applyFont="1">
      <alignment vertical="center"/>
    </xf>
    <xf numFmtId="0" fontId="50" fillId="0" borderId="83" xfId="0" applyFont="1" applyBorder="1" applyAlignment="1">
      <alignment horizontal="center" vertical="center"/>
    </xf>
    <xf numFmtId="181" fontId="50" fillId="0" borderId="81" xfId="0" applyNumberFormat="1" applyFont="1" applyBorder="1" applyAlignment="1">
      <alignment horizontal="center" vertical="center"/>
    </xf>
    <xf numFmtId="181" fontId="50" fillId="0" borderId="81" xfId="0" applyNumberFormat="1" applyFont="1" applyFill="1" applyBorder="1" applyAlignment="1">
      <alignment horizontal="center" vertical="center"/>
    </xf>
    <xf numFmtId="181" fontId="50" fillId="0" borderId="82" xfId="0" applyNumberFormat="1" applyFont="1" applyFill="1" applyBorder="1" applyAlignment="1">
      <alignment horizontal="center" vertical="center"/>
    </xf>
    <xf numFmtId="10" fontId="50" fillId="0" borderId="0" xfId="0" applyNumberFormat="1" applyFont="1" applyBorder="1" applyAlignment="1">
      <alignment horizontal="center" vertical="center"/>
    </xf>
    <xf numFmtId="0" fontId="50" fillId="0" borderId="84" xfId="0" applyFont="1" applyBorder="1" applyAlignment="1">
      <alignment horizontal="center" vertical="center"/>
    </xf>
    <xf numFmtId="3" fontId="61" fillId="24" borderId="16" xfId="0" applyNumberFormat="1" applyFont="1" applyFill="1" applyBorder="1" applyAlignment="1">
      <alignment horizontal="right" vertical="center" wrapText="1"/>
    </xf>
    <xf numFmtId="0" fontId="50" fillId="0" borderId="85" xfId="0" applyFont="1" applyFill="1" applyBorder="1" applyAlignment="1">
      <alignment horizontal="center" vertical="center"/>
    </xf>
    <xf numFmtId="41" fontId="50" fillId="0" borderId="86" xfId="47" applyFont="1" applyFill="1" applyBorder="1" applyAlignment="1">
      <alignment horizontal="center" vertical="center"/>
    </xf>
    <xf numFmtId="41" fontId="50" fillId="0" borderId="86" xfId="47" applyFont="1" applyBorder="1" applyAlignment="1">
      <alignment horizontal="center" vertical="center"/>
    </xf>
    <xf numFmtId="41" fontId="50" fillId="0" borderId="87" xfId="47" applyFont="1" applyBorder="1" applyAlignment="1">
      <alignment horizontal="center" vertical="center"/>
    </xf>
    <xf numFmtId="0" fontId="60" fillId="0" borderId="14" xfId="0" applyFont="1" applyBorder="1">
      <alignment vertical="center"/>
    </xf>
    <xf numFmtId="0" fontId="50" fillId="0" borderId="14" xfId="0" applyFont="1" applyBorder="1" applyAlignment="1">
      <alignment horizontal="center" vertical="center"/>
    </xf>
    <xf numFmtId="0" fontId="50" fillId="0" borderId="14" xfId="0" applyFont="1" applyBorder="1">
      <alignment vertical="center"/>
    </xf>
    <xf numFmtId="0" fontId="50" fillId="0" borderId="24" xfId="0" applyFont="1" applyBorder="1" applyAlignment="1">
      <alignment horizontal="center" vertical="center"/>
    </xf>
    <xf numFmtId="41" fontId="50" fillId="0" borderId="24" xfId="47" applyFont="1" applyBorder="1" applyAlignment="1">
      <alignment horizontal="center" vertical="center"/>
    </xf>
    <xf numFmtId="41" fontId="50" fillId="0" borderId="78" xfId="47" applyFont="1" applyBorder="1" applyAlignment="1">
      <alignment horizontal="center" vertical="center"/>
    </xf>
    <xf numFmtId="41" fontId="50" fillId="0" borderId="17" xfId="47" applyFont="1" applyFill="1" applyBorder="1" applyAlignment="1">
      <alignment horizontal="center" vertical="center"/>
    </xf>
    <xf numFmtId="0" fontId="50" fillId="0" borderId="17" xfId="0" applyFont="1" applyBorder="1" applyAlignment="1">
      <alignment horizontal="center" vertical="center"/>
    </xf>
    <xf numFmtId="41" fontId="50" fillId="0" borderId="17" xfId="47" applyFont="1" applyBorder="1" applyAlignment="1">
      <alignment horizontal="center" vertical="center"/>
    </xf>
    <xf numFmtId="41" fontId="50" fillId="0" borderId="88" xfId="47" applyFont="1" applyBorder="1" applyAlignment="1">
      <alignment horizontal="center" vertical="center"/>
    </xf>
    <xf numFmtId="181" fontId="50" fillId="25" borderId="17" xfId="0" applyNumberFormat="1" applyFont="1" applyFill="1" applyBorder="1" applyAlignment="1">
      <alignment horizontal="right" vertical="center"/>
    </xf>
    <xf numFmtId="176" fontId="50" fillId="0" borderId="17" xfId="47" applyNumberFormat="1" applyFont="1" applyBorder="1" applyAlignment="1">
      <alignment horizontal="right" vertical="center"/>
    </xf>
    <xf numFmtId="176" fontId="50" fillId="0" borderId="88" xfId="47" applyNumberFormat="1" applyFont="1" applyBorder="1" applyAlignment="1">
      <alignment horizontal="right" vertical="center"/>
    </xf>
    <xf numFmtId="0" fontId="50" fillId="0" borderId="16" xfId="0" applyFont="1" applyBorder="1" applyAlignment="1">
      <alignment horizontal="center" vertical="center"/>
    </xf>
    <xf numFmtId="41" fontId="50" fillId="0" borderId="16" xfId="47" applyFont="1" applyBorder="1" applyAlignment="1">
      <alignment horizontal="center" vertical="center"/>
    </xf>
    <xf numFmtId="41" fontId="50" fillId="0" borderId="89" xfId="47" applyFont="1" applyBorder="1" applyAlignment="1">
      <alignment horizontal="center" vertical="center"/>
    </xf>
    <xf numFmtId="0" fontId="50" fillId="0" borderId="90" xfId="0" applyFont="1" applyBorder="1" applyAlignment="1">
      <alignment horizontal="center" vertical="center"/>
    </xf>
    <xf numFmtId="41" fontId="50" fillId="0" borderId="76" xfId="47" applyFont="1" applyBorder="1" applyAlignment="1">
      <alignment horizontal="center" vertical="center"/>
    </xf>
    <xf numFmtId="41" fontId="50" fillId="0" borderId="76" xfId="47" applyFont="1" applyFill="1" applyBorder="1" applyAlignment="1">
      <alignment horizontal="center" vertical="center"/>
    </xf>
    <xf numFmtId="41" fontId="50" fillId="0" borderId="91" xfId="47" applyFont="1" applyBorder="1" applyAlignment="1">
      <alignment horizontal="center" vertical="center"/>
    </xf>
    <xf numFmtId="0" fontId="50" fillId="0" borderId="90" xfId="0" applyFont="1" applyBorder="1">
      <alignment vertical="center"/>
    </xf>
    <xf numFmtId="199" fontId="50" fillId="26" borderId="24" xfId="0" applyNumberFormat="1" applyFont="1" applyFill="1" applyBorder="1" applyAlignment="1">
      <alignment horizontal="right" vertical="center"/>
    </xf>
    <xf numFmtId="199" fontId="0" fillId="0" borderId="0" xfId="0" applyNumberFormat="1">
      <alignment vertical="center"/>
    </xf>
    <xf numFmtId="176" fontId="50" fillId="0" borderId="24" xfId="0" applyNumberFormat="1" applyFont="1" applyBorder="1" applyAlignment="1">
      <alignment horizontal="center" vertical="center"/>
    </xf>
    <xf numFmtId="0" fontId="63" fillId="0" borderId="0" xfId="78" applyFont="1" applyAlignment="1">
      <alignment vertical="center"/>
    </xf>
    <xf numFmtId="205" fontId="58" fillId="0" borderId="0" xfId="81" applyNumberFormat="1" applyFont="1" applyFill="1" applyAlignment="1">
      <alignment vertical="center"/>
    </xf>
    <xf numFmtId="0" fontId="63" fillId="0" borderId="0" xfId="78" applyFont="1" applyFill="1" applyAlignment="1">
      <alignment vertical="center"/>
    </xf>
    <xf numFmtId="205" fontId="50" fillId="0" borderId="92" xfId="81" applyNumberFormat="1" applyFont="1" applyFill="1" applyBorder="1" applyAlignment="1">
      <alignment horizontal="center" vertical="center"/>
    </xf>
    <xf numFmtId="196" fontId="16" fillId="0" borderId="73" xfId="0" applyNumberFormat="1" applyFont="1" applyBorder="1" applyAlignment="1">
      <alignment vertical="center"/>
    </xf>
    <xf numFmtId="206" fontId="50" fillId="0" borderId="73" xfId="81" applyNumberFormat="1" applyFont="1" applyFill="1" applyBorder="1" applyAlignment="1">
      <alignment vertical="center"/>
    </xf>
    <xf numFmtId="211" fontId="63" fillId="0" borderId="73" xfId="78" applyNumberFormat="1" applyFont="1" applyBorder="1" applyAlignment="1">
      <alignment vertical="center"/>
    </xf>
    <xf numFmtId="212" fontId="63" fillId="0" borderId="73" xfId="78" applyNumberFormat="1" applyFont="1" applyBorder="1" applyAlignment="1">
      <alignment vertical="center"/>
    </xf>
    <xf numFmtId="212" fontId="63" fillId="0" borderId="93" xfId="78" applyNumberFormat="1" applyFont="1" applyBorder="1" applyAlignment="1">
      <alignment vertical="center"/>
    </xf>
    <xf numFmtId="176" fontId="50" fillId="0" borderId="79" xfId="81" applyNumberFormat="1" applyFont="1" applyFill="1" applyBorder="1" applyAlignment="1">
      <alignment horizontal="center" vertical="center"/>
    </xf>
    <xf numFmtId="206" fontId="50" fillId="28" borderId="17" xfId="0" applyNumberFormat="1" applyFont="1" applyFill="1" applyBorder="1" applyAlignment="1">
      <alignment vertical="center"/>
    </xf>
    <xf numFmtId="206" fontId="50" fillId="28" borderId="17" xfId="81" applyNumberFormat="1" applyFont="1" applyFill="1" applyBorder="1" applyAlignment="1">
      <alignment vertical="center"/>
    </xf>
    <xf numFmtId="206" fontId="50" fillId="28" borderId="17" xfId="78" applyNumberFormat="1" applyFont="1" applyFill="1" applyBorder="1" applyAlignment="1">
      <alignment vertical="center"/>
    </xf>
    <xf numFmtId="206" fontId="50" fillId="28" borderId="88" xfId="78" applyNumberFormat="1" applyFont="1" applyFill="1" applyBorder="1" applyAlignment="1">
      <alignment vertical="center"/>
    </xf>
    <xf numFmtId="206" fontId="50" fillId="0" borderId="17" xfId="81" applyNumberFormat="1" applyFont="1" applyFill="1" applyBorder="1" applyAlignment="1">
      <alignment vertical="center"/>
    </xf>
    <xf numFmtId="206" fontId="50" fillId="0" borderId="17" xfId="0" applyNumberFormat="1" applyFont="1" applyBorder="1" applyAlignment="1">
      <alignment vertical="center"/>
    </xf>
    <xf numFmtId="206" fontId="50" fillId="0" borderId="88" xfId="0" applyNumberFormat="1" applyFont="1" applyBorder="1" applyAlignment="1">
      <alignment vertical="center"/>
    </xf>
    <xf numFmtId="206" fontId="50" fillId="0" borderId="90" xfId="0" applyNumberFormat="1" applyFont="1" applyBorder="1" applyAlignment="1">
      <alignment vertical="center"/>
    </xf>
    <xf numFmtId="206" fontId="50" fillId="0" borderId="94" xfId="0" applyNumberFormat="1" applyFont="1" applyBorder="1" applyAlignment="1">
      <alignment vertical="center"/>
    </xf>
    <xf numFmtId="0" fontId="0" fillId="0" borderId="0" xfId="0" applyBorder="1" applyAlignment="1">
      <alignment horizontal="left" vertical="center"/>
    </xf>
    <xf numFmtId="206" fontId="50" fillId="0" borderId="0" xfId="81" applyNumberFormat="1" applyFont="1" applyFill="1" applyBorder="1" applyAlignment="1">
      <alignment vertical="center"/>
    </xf>
    <xf numFmtId="207" fontId="50" fillId="0" borderId="0" xfId="0" applyNumberFormat="1" applyFont="1" applyFill="1" applyBorder="1">
      <alignment vertical="center"/>
    </xf>
    <xf numFmtId="205" fontId="50" fillId="0" borderId="77" xfId="81" applyNumberFormat="1" applyFont="1" applyFill="1" applyBorder="1" applyAlignment="1">
      <alignment horizontal="center" vertical="center"/>
    </xf>
    <xf numFmtId="206" fontId="50" fillId="0" borderId="24" xfId="81" applyNumberFormat="1" applyFont="1" applyFill="1" applyBorder="1" applyAlignment="1">
      <alignment vertical="center"/>
    </xf>
    <xf numFmtId="207" fontId="63" fillId="0" borderId="24" xfId="78" applyNumberFormat="1" applyFont="1" applyFill="1" applyBorder="1" applyAlignment="1">
      <alignment vertical="center"/>
    </xf>
    <xf numFmtId="207" fontId="63" fillId="0" borderId="78" xfId="78" applyNumberFormat="1" applyFont="1" applyFill="1" applyBorder="1" applyAlignment="1">
      <alignment vertical="center"/>
    </xf>
    <xf numFmtId="206" fontId="50" fillId="0" borderId="88" xfId="81" applyNumberFormat="1" applyFont="1" applyFill="1" applyBorder="1" applyAlignment="1">
      <alignment vertical="center"/>
    </xf>
    <xf numFmtId="207" fontId="63" fillId="0" borderId="17" xfId="78" applyNumberFormat="1" applyFont="1" applyFill="1" applyBorder="1" applyAlignment="1">
      <alignment vertical="center"/>
    </xf>
    <xf numFmtId="207" fontId="63" fillId="0" borderId="88" xfId="78" applyNumberFormat="1" applyFont="1" applyFill="1" applyBorder="1" applyAlignment="1">
      <alignment vertical="center"/>
    </xf>
    <xf numFmtId="176" fontId="50" fillId="0" borderId="84" xfId="81" applyNumberFormat="1" applyFont="1" applyFill="1" applyBorder="1" applyAlignment="1">
      <alignment horizontal="center" vertical="center"/>
    </xf>
    <xf numFmtId="0" fontId="64" fillId="0" borderId="0" xfId="0" applyFont="1">
      <alignment vertical="center"/>
    </xf>
    <xf numFmtId="0" fontId="50" fillId="0" borderId="13" xfId="0" applyFont="1" applyBorder="1" applyAlignment="1">
      <alignment horizontal="center" vertical="center"/>
    </xf>
    <xf numFmtId="181" fontId="50" fillId="0" borderId="13" xfId="0" applyNumberFormat="1" applyFont="1" applyBorder="1" applyAlignment="1">
      <alignment horizontal="right" vertical="center" indent="1"/>
    </xf>
    <xf numFmtId="209" fontId="50" fillId="0" borderId="0" xfId="0" applyNumberFormat="1" applyFont="1">
      <alignment vertical="center"/>
    </xf>
    <xf numFmtId="207" fontId="50" fillId="0" borderId="13" xfId="0" applyNumberFormat="1" applyFont="1" applyBorder="1" applyAlignment="1">
      <alignment horizontal="right" vertical="center"/>
    </xf>
    <xf numFmtId="209" fontId="50" fillId="0" borderId="13" xfId="0" applyNumberFormat="1" applyFont="1" applyBorder="1">
      <alignment vertical="center"/>
    </xf>
    <xf numFmtId="181" fontId="50" fillId="0" borderId="13" xfId="0" applyNumberFormat="1" applyFont="1" applyBorder="1">
      <alignment vertical="center"/>
    </xf>
    <xf numFmtId="210" fontId="50" fillId="0" borderId="13" xfId="0" applyNumberFormat="1" applyFont="1" applyBorder="1">
      <alignment vertical="center"/>
    </xf>
    <xf numFmtId="0" fontId="0" fillId="0" borderId="0" xfId="0" applyFill="1">
      <alignment vertical="center"/>
    </xf>
    <xf numFmtId="0" fontId="66" fillId="0" borderId="0" xfId="0" applyFont="1" applyFill="1" applyBorder="1" applyAlignment="1"/>
    <xf numFmtId="0" fontId="16" fillId="0" borderId="0" xfId="0" applyFont="1" applyFill="1" applyBorder="1" applyAlignment="1"/>
    <xf numFmtId="0" fontId="16" fillId="0" borderId="0" xfId="0" applyFont="1" applyFill="1" applyBorder="1" applyAlignment="1">
      <alignment horizontal="right" wrapText="1"/>
    </xf>
    <xf numFmtId="0" fontId="16" fillId="0" borderId="0" xfId="0" applyFont="1" applyFill="1">
      <alignment vertical="center"/>
    </xf>
    <xf numFmtId="0" fontId="66" fillId="0" borderId="0" xfId="0" applyFont="1" applyFill="1" applyBorder="1" applyAlignment="1">
      <alignment horizontal="center" vertical="center"/>
    </xf>
    <xf numFmtId="215" fontId="56" fillId="0" borderId="0" xfId="0" applyNumberFormat="1" applyFont="1" applyFill="1" applyBorder="1" applyAlignment="1">
      <alignment horizontal="right" vertical="center"/>
    </xf>
    <xf numFmtId="0" fontId="16" fillId="0" borderId="39" xfId="0" applyFont="1" applyFill="1" applyBorder="1" applyAlignment="1">
      <alignment horizontal="center"/>
    </xf>
    <xf numFmtId="0" fontId="16" fillId="0" borderId="0" xfId="0" applyFont="1" applyFill="1" applyBorder="1" applyAlignment="1">
      <alignment horizontal="center"/>
    </xf>
    <xf numFmtId="0" fontId="16" fillId="0" borderId="0" xfId="0" quotePrefix="1" applyFont="1" applyFill="1" applyBorder="1" applyAlignment="1">
      <alignment horizontal="center"/>
    </xf>
    <xf numFmtId="0" fontId="16" fillId="0" borderId="39" xfId="0" applyFont="1" applyFill="1" applyBorder="1" applyAlignment="1">
      <alignment horizontal="center" vertical="center"/>
    </xf>
    <xf numFmtId="196" fontId="16" fillId="0" borderId="0" xfId="0" applyNumberFormat="1" applyFont="1" applyFill="1" applyBorder="1" applyAlignment="1">
      <alignment vertical="center"/>
    </xf>
    <xf numFmtId="201" fontId="16" fillId="0" borderId="0" xfId="0" applyNumberFormat="1" applyFont="1" applyFill="1" applyBorder="1" applyAlignment="1">
      <alignment vertical="center"/>
    </xf>
    <xf numFmtId="2" fontId="16" fillId="0" borderId="0" xfId="0" applyNumberFormat="1" applyFont="1" applyFill="1" applyBorder="1" applyAlignment="1">
      <alignment vertical="center"/>
    </xf>
    <xf numFmtId="215" fontId="56" fillId="0" borderId="0" xfId="0" applyNumberFormat="1" applyFont="1" applyFill="1" applyBorder="1" applyAlignment="1">
      <alignment horizontal="right"/>
    </xf>
    <xf numFmtId="0" fontId="16" fillId="0" borderId="39" xfId="0" quotePrefix="1" applyFont="1" applyFill="1" applyBorder="1" applyAlignment="1">
      <alignment horizontal="center" vertical="center"/>
    </xf>
    <xf numFmtId="0" fontId="16" fillId="0" borderId="98" xfId="0" applyFont="1" applyFill="1" applyBorder="1" applyAlignment="1">
      <alignment horizontal="center" vertical="center"/>
    </xf>
    <xf numFmtId="215" fontId="56" fillId="0" borderId="14" xfId="0" applyNumberFormat="1" applyFont="1" applyFill="1" applyBorder="1" applyAlignment="1">
      <alignment horizontal="right" vertical="center"/>
    </xf>
    <xf numFmtId="201" fontId="56" fillId="0" borderId="14" xfId="0" applyNumberFormat="1" applyFont="1" applyFill="1" applyBorder="1" applyAlignment="1">
      <alignment horizontal="right" vertical="center"/>
    </xf>
    <xf numFmtId="0" fontId="13" fillId="0" borderId="13" xfId="40" applyNumberFormat="1" applyFont="1" applyBorder="1" applyAlignment="1">
      <alignment horizontal="right" vertical="center"/>
    </xf>
    <xf numFmtId="41" fontId="13" fillId="0" borderId="13" xfId="40" applyNumberFormat="1" applyFont="1" applyBorder="1" applyAlignment="1">
      <alignment horizontal="right" vertical="center"/>
    </xf>
    <xf numFmtId="3" fontId="15" fillId="0" borderId="17" xfId="47" applyNumberFormat="1" applyFont="1" applyBorder="1" applyAlignment="1">
      <alignment horizontal="left" vertical="center" indent="1"/>
    </xf>
    <xf numFmtId="0" fontId="13" fillId="0" borderId="13" xfId="0" applyFont="1" applyBorder="1" applyAlignment="1">
      <alignment horizontal="left" vertical="center"/>
    </xf>
    <xf numFmtId="182" fontId="49" fillId="0" borderId="13" xfId="40" applyNumberFormat="1" applyFont="1" applyBorder="1" applyAlignment="1">
      <alignment horizontal="center" vertical="center"/>
    </xf>
    <xf numFmtId="182" fontId="6" fillId="0" borderId="0" xfId="40" applyNumberFormat="1" applyFont="1" applyAlignment="1">
      <alignment horizontal="center" vertical="center"/>
    </xf>
    <xf numFmtId="212" fontId="63" fillId="0" borderId="99" xfId="78" applyNumberFormat="1" applyFont="1" applyBorder="1" applyAlignment="1">
      <alignment vertical="center"/>
    </xf>
    <xf numFmtId="206" fontId="50" fillId="28" borderId="100" xfId="78" applyNumberFormat="1" applyFont="1" applyFill="1" applyBorder="1" applyAlignment="1">
      <alignment vertical="center"/>
    </xf>
    <xf numFmtId="206" fontId="50" fillId="0" borderId="100" xfId="0" applyNumberFormat="1" applyFont="1" applyBorder="1" applyAlignment="1">
      <alignment vertical="center"/>
    </xf>
    <xf numFmtId="207" fontId="63" fillId="0" borderId="101" xfId="78" applyNumberFormat="1" applyFont="1" applyFill="1" applyBorder="1" applyAlignment="1">
      <alignment vertical="center"/>
    </xf>
    <xf numFmtId="206" fontId="50" fillId="0" borderId="100" xfId="81" applyNumberFormat="1" applyFont="1" applyFill="1" applyBorder="1" applyAlignment="1">
      <alignment vertical="center"/>
    </xf>
    <xf numFmtId="207" fontId="63" fillId="0" borderId="100" xfId="78" applyNumberFormat="1" applyFont="1" applyFill="1" applyBorder="1" applyAlignment="1">
      <alignment vertical="center"/>
    </xf>
    <xf numFmtId="209" fontId="50" fillId="0" borderId="101" xfId="0" applyNumberFormat="1" applyFont="1" applyBorder="1" applyAlignment="1">
      <alignment horizontal="right" vertical="center"/>
    </xf>
    <xf numFmtId="209" fontId="50" fillId="0" borderId="102" xfId="0" applyNumberFormat="1" applyFont="1" applyBorder="1" applyAlignment="1">
      <alignment horizontal="right" vertical="center"/>
    </xf>
    <xf numFmtId="181" fontId="50" fillId="0" borderId="102" xfId="0" applyNumberFormat="1" applyFont="1" applyFill="1" applyBorder="1" applyAlignment="1">
      <alignment horizontal="center" vertical="center"/>
    </xf>
    <xf numFmtId="176" fontId="50" fillId="0" borderId="101" xfId="0" applyNumberFormat="1" applyFont="1" applyBorder="1" applyAlignment="1">
      <alignment horizontal="center" vertical="center"/>
    </xf>
    <xf numFmtId="0" fontId="60" fillId="0" borderId="0" xfId="0" applyFont="1" applyBorder="1">
      <alignment vertical="center"/>
    </xf>
    <xf numFmtId="0" fontId="50" fillId="25" borderId="27" xfId="0" applyFont="1" applyFill="1" applyBorder="1" applyAlignment="1">
      <alignment horizontal="center" vertical="center" wrapText="1" shrinkToFit="1"/>
    </xf>
    <xf numFmtId="0" fontId="50" fillId="0" borderId="90" xfId="0" applyFont="1" applyBorder="1" applyAlignment="1">
      <alignment vertical="center"/>
    </xf>
    <xf numFmtId="41" fontId="50" fillId="0" borderId="90" xfId="47" applyFont="1" applyBorder="1">
      <alignment vertical="center"/>
    </xf>
    <xf numFmtId="41" fontId="50" fillId="0" borderId="94" xfId="47" applyFont="1" applyBorder="1">
      <alignment vertical="center"/>
    </xf>
    <xf numFmtId="0" fontId="50" fillId="25" borderId="27" xfId="0" applyFont="1" applyFill="1" applyBorder="1" applyAlignment="1">
      <alignment horizontal="center" vertical="center"/>
    </xf>
    <xf numFmtId="0" fontId="50" fillId="25" borderId="103" xfId="0" applyFont="1" applyFill="1" applyBorder="1" applyAlignment="1">
      <alignment horizontal="center" vertical="center"/>
    </xf>
    <xf numFmtId="0" fontId="50" fillId="25" borderId="104" xfId="0" applyFont="1" applyFill="1" applyBorder="1" applyAlignment="1">
      <alignment horizontal="center" vertical="center" wrapText="1" shrinkToFit="1"/>
    </xf>
    <xf numFmtId="49" fontId="50" fillId="25" borderId="105" xfId="0" applyNumberFormat="1" applyFont="1" applyFill="1" applyBorder="1" applyAlignment="1">
      <alignment horizontal="center" vertical="center" wrapText="1" shrinkToFit="1"/>
    </xf>
    <xf numFmtId="49" fontId="50" fillId="25" borderId="106" xfId="0" applyNumberFormat="1" applyFont="1" applyFill="1" applyBorder="1" applyAlignment="1">
      <alignment horizontal="center" vertical="center" wrapText="1" shrinkToFit="1"/>
    </xf>
    <xf numFmtId="49" fontId="50" fillId="25" borderId="107" xfId="0" applyNumberFormat="1" applyFont="1" applyFill="1" applyBorder="1" applyAlignment="1">
      <alignment horizontal="center" vertical="center" wrapText="1" shrinkToFit="1"/>
    </xf>
    <xf numFmtId="0" fontId="50" fillId="25" borderId="104" xfId="0" applyFont="1" applyFill="1" applyBorder="1" applyAlignment="1">
      <alignment horizontal="center" vertical="center"/>
    </xf>
    <xf numFmtId="0" fontId="50" fillId="25" borderId="103" xfId="0" applyFont="1" applyFill="1" applyBorder="1" applyAlignment="1">
      <alignment horizontal="center" vertical="center" wrapText="1" shrinkToFit="1"/>
    </xf>
    <xf numFmtId="0" fontId="50" fillId="25" borderId="108" xfId="0" applyFont="1" applyFill="1" applyBorder="1" applyAlignment="1">
      <alignment horizontal="center" vertical="center"/>
    </xf>
    <xf numFmtId="205" fontId="50" fillId="25" borderId="27" xfId="81" applyNumberFormat="1" applyFont="1" applyFill="1" applyBorder="1" applyAlignment="1">
      <alignment horizontal="center" vertical="center"/>
    </xf>
    <xf numFmtId="205" fontId="50" fillId="25" borderId="108" xfId="81" applyNumberFormat="1" applyFont="1" applyFill="1" applyBorder="1" applyAlignment="1">
      <alignment horizontal="center" vertical="center"/>
    </xf>
    <xf numFmtId="205" fontId="50" fillId="25" borderId="103" xfId="81" applyNumberFormat="1" applyFont="1" applyFill="1" applyBorder="1" applyAlignment="1">
      <alignment horizontal="center" vertical="center"/>
    </xf>
    <xf numFmtId="0" fontId="50" fillId="25" borderId="13" xfId="0" applyFont="1" applyFill="1" applyBorder="1" applyAlignment="1">
      <alignment horizontal="center" vertical="center"/>
    </xf>
    <xf numFmtId="0" fontId="16" fillId="25" borderId="109" xfId="0" applyFont="1" applyFill="1" applyBorder="1" applyAlignment="1">
      <alignment horizontal="center"/>
    </xf>
    <xf numFmtId="0" fontId="16" fillId="25" borderId="110" xfId="0" applyFont="1" applyFill="1" applyBorder="1" applyAlignment="1">
      <alignment horizontal="center"/>
    </xf>
    <xf numFmtId="0" fontId="16" fillId="25" borderId="44" xfId="0" applyFont="1" applyFill="1" applyBorder="1" applyAlignment="1">
      <alignment horizontal="center"/>
    </xf>
    <xf numFmtId="0" fontId="16" fillId="25" borderId="43" xfId="0" applyFont="1" applyFill="1" applyBorder="1" applyAlignment="1">
      <alignment horizontal="center"/>
    </xf>
    <xf numFmtId="0" fontId="16" fillId="25" borderId="43" xfId="0" quotePrefix="1" applyFont="1" applyFill="1" applyBorder="1" applyAlignment="1">
      <alignment horizontal="center"/>
    </xf>
    <xf numFmtId="0" fontId="68" fillId="0" borderId="0" xfId="0" applyFont="1">
      <alignment vertical="center"/>
    </xf>
    <xf numFmtId="0" fontId="50" fillId="0" borderId="0" xfId="0" applyFont="1" applyAlignment="1">
      <alignment horizontal="right" vertical="center"/>
    </xf>
    <xf numFmtId="0" fontId="59" fillId="0" borderId="0" xfId="80" applyFont="1" applyFill="1" applyAlignment="1"/>
    <xf numFmtId="176" fontId="50" fillId="0" borderId="73" xfId="0" applyNumberFormat="1" applyFont="1" applyBorder="1" applyAlignment="1">
      <alignment horizontal="center" vertical="center"/>
    </xf>
    <xf numFmtId="0" fontId="0" fillId="0" borderId="73" xfId="0" applyBorder="1">
      <alignment vertical="center"/>
    </xf>
    <xf numFmtId="0" fontId="0" fillId="0" borderId="93" xfId="0" applyBorder="1">
      <alignment vertical="center"/>
    </xf>
    <xf numFmtId="176" fontId="50" fillId="0" borderId="17" xfId="0" applyNumberFormat="1" applyFont="1" applyBorder="1" applyAlignment="1">
      <alignment horizontal="center" vertical="center"/>
    </xf>
    <xf numFmtId="0" fontId="0" fillId="0" borderId="17" xfId="0" applyBorder="1">
      <alignment vertical="center"/>
    </xf>
    <xf numFmtId="0" fontId="0" fillId="0" borderId="88" xfId="0" applyBorder="1">
      <alignment vertical="center"/>
    </xf>
    <xf numFmtId="0" fontId="0" fillId="0" borderId="16" xfId="0" applyBorder="1">
      <alignment vertical="center"/>
    </xf>
    <xf numFmtId="0" fontId="0" fillId="0" borderId="89" xfId="0" applyBorder="1">
      <alignment vertical="center"/>
    </xf>
    <xf numFmtId="176" fontId="50" fillId="0" borderId="33" xfId="0" applyNumberFormat="1" applyFont="1" applyBorder="1" applyAlignment="1">
      <alignment horizontal="center" vertical="center"/>
    </xf>
    <xf numFmtId="176" fontId="50" fillId="0" borderId="38" xfId="0" applyNumberFormat="1" applyFont="1" applyBorder="1" applyAlignment="1">
      <alignment horizontal="center" vertical="center"/>
    </xf>
    <xf numFmtId="176" fontId="50" fillId="0" borderId="16" xfId="0" applyNumberFormat="1" applyFont="1" applyBorder="1" applyAlignment="1">
      <alignment horizontal="center" vertical="center"/>
    </xf>
    <xf numFmtId="0" fontId="50" fillId="0" borderId="95" xfId="0" applyFont="1" applyFill="1" applyBorder="1" applyAlignment="1">
      <alignment horizontal="center" vertical="center"/>
    </xf>
    <xf numFmtId="0" fontId="0" fillId="0" borderId="13" xfId="0" applyBorder="1">
      <alignment vertical="center"/>
    </xf>
    <xf numFmtId="0" fontId="0" fillId="0" borderId="96" xfId="0" applyBorder="1">
      <alignment vertical="center"/>
    </xf>
    <xf numFmtId="0" fontId="50" fillId="0" borderId="111" xfId="0" applyFont="1" applyFill="1" applyBorder="1" applyAlignment="1">
      <alignment horizontal="center" vertical="center"/>
    </xf>
    <xf numFmtId="0" fontId="0" fillId="0" borderId="112" xfId="0" applyBorder="1">
      <alignment vertical="center"/>
    </xf>
    <xf numFmtId="0" fontId="0" fillId="0" borderId="113" xfId="0" applyBorder="1">
      <alignment vertical="center"/>
    </xf>
    <xf numFmtId="41" fontId="13" fillId="0" borderId="0" xfId="47" applyFont="1" applyBorder="1" applyAlignment="1">
      <alignment horizontal="center" vertical="center"/>
    </xf>
    <xf numFmtId="41" fontId="13" fillId="0" borderId="0" xfId="47" applyFont="1" applyFill="1" applyBorder="1">
      <alignment vertical="center"/>
    </xf>
    <xf numFmtId="41" fontId="13" fillId="0" borderId="0" xfId="47" applyFont="1" applyBorder="1">
      <alignment vertical="center"/>
    </xf>
    <xf numFmtId="208" fontId="56" fillId="0" borderId="14" xfId="0" applyNumberFormat="1" applyFont="1" applyFill="1" applyBorder="1" applyAlignment="1">
      <alignment horizontal="right" vertical="center"/>
    </xf>
    <xf numFmtId="196" fontId="56" fillId="0" borderId="14" xfId="0" applyNumberFormat="1" applyFont="1" applyFill="1" applyBorder="1" applyAlignment="1">
      <alignment horizontal="right" vertical="center"/>
    </xf>
    <xf numFmtId="2" fontId="56" fillId="0" borderId="14" xfId="0" applyNumberFormat="1" applyFont="1" applyFill="1" applyBorder="1" applyAlignment="1">
      <alignment horizontal="right" vertical="center"/>
    </xf>
    <xf numFmtId="0" fontId="50" fillId="0" borderId="0" xfId="80" applyFont="1" applyBorder="1" applyAlignment="1">
      <alignment horizontal="right" wrapText="1"/>
    </xf>
    <xf numFmtId="17" fontId="50" fillId="25" borderId="13" xfId="0" quotePrefix="1" applyNumberFormat="1" applyFont="1" applyFill="1" applyBorder="1" applyAlignment="1">
      <alignment horizontal="center" vertical="center"/>
    </xf>
    <xf numFmtId="216" fontId="50" fillId="0" borderId="13" xfId="47" applyNumberFormat="1" applyFont="1" applyBorder="1" applyAlignment="1">
      <alignment horizontal="center" vertical="center"/>
    </xf>
    <xf numFmtId="49" fontId="50" fillId="25" borderId="114" xfId="0" applyNumberFormat="1" applyFont="1" applyFill="1" applyBorder="1" applyAlignment="1">
      <alignment horizontal="center" vertical="center" wrapText="1" shrinkToFit="1"/>
    </xf>
    <xf numFmtId="209" fontId="50" fillId="0" borderId="115" xfId="0" applyNumberFormat="1" applyFont="1" applyBorder="1" applyAlignment="1">
      <alignment horizontal="right" vertical="center"/>
    </xf>
    <xf numFmtId="209" fontId="50" fillId="0" borderId="97" xfId="0" applyNumberFormat="1" applyFont="1" applyBorder="1" applyAlignment="1">
      <alignment horizontal="right" vertical="center"/>
    </xf>
    <xf numFmtId="49" fontId="50" fillId="25" borderId="104" xfId="0" applyNumberFormat="1" applyFont="1" applyFill="1" applyBorder="1" applyAlignment="1">
      <alignment horizontal="center" vertical="center" wrapText="1" shrinkToFit="1"/>
    </xf>
    <xf numFmtId="209" fontId="50" fillId="0" borderId="77" xfId="0" applyNumberFormat="1" applyFont="1" applyBorder="1" applyAlignment="1">
      <alignment horizontal="right" vertical="center"/>
    </xf>
    <xf numFmtId="209" fontId="50" fillId="0" borderId="83" xfId="0" applyNumberFormat="1" applyFont="1" applyBorder="1" applyAlignment="1">
      <alignment horizontal="right" vertical="center"/>
    </xf>
    <xf numFmtId="176" fontId="50" fillId="0" borderId="21" xfId="0" applyNumberFormat="1" applyFont="1" applyBorder="1" applyAlignment="1">
      <alignment horizontal="center" vertical="center"/>
    </xf>
    <xf numFmtId="41" fontId="71" fillId="24" borderId="24" xfId="47" applyFont="1" applyFill="1" applyBorder="1" applyAlignment="1">
      <alignment horizontal="right" vertical="center" wrapText="1"/>
    </xf>
    <xf numFmtId="41" fontId="71" fillId="24" borderId="78" xfId="47" applyFont="1" applyFill="1" applyBorder="1" applyAlignment="1">
      <alignment horizontal="right" vertical="center" wrapText="1"/>
    </xf>
    <xf numFmtId="41" fontId="71" fillId="24" borderId="17" xfId="47" applyFont="1" applyFill="1" applyBorder="1" applyAlignment="1">
      <alignment horizontal="right" vertical="center" wrapText="1"/>
    </xf>
    <xf numFmtId="41" fontId="71" fillId="24" borderId="16" xfId="47" applyFont="1" applyFill="1" applyBorder="1" applyAlignment="1">
      <alignment horizontal="right" vertical="center" wrapText="1"/>
    </xf>
    <xf numFmtId="216" fontId="50" fillId="0" borderId="17" xfId="47" applyNumberFormat="1" applyFont="1" applyBorder="1" applyAlignment="1">
      <alignment horizontal="center" vertical="center"/>
    </xf>
    <xf numFmtId="176" fontId="50" fillId="0" borderId="83" xfId="81" applyNumberFormat="1" applyFont="1" applyFill="1" applyBorder="1" applyAlignment="1">
      <alignment horizontal="center" vertical="center"/>
    </xf>
    <xf numFmtId="206" fontId="50" fillId="0" borderId="81" xfId="81" applyNumberFormat="1" applyFont="1" applyFill="1" applyBorder="1" applyAlignment="1">
      <alignment vertical="center"/>
    </xf>
    <xf numFmtId="206" fontId="50" fillId="0" borderId="81" xfId="0" applyNumberFormat="1" applyFont="1" applyBorder="1" applyAlignment="1">
      <alignment vertical="center"/>
    </xf>
    <xf numFmtId="206" fontId="50" fillId="0" borderId="102" xfId="0" applyNumberFormat="1" applyFont="1" applyBorder="1" applyAlignment="1">
      <alignment vertical="center"/>
    </xf>
    <xf numFmtId="205" fontId="50" fillId="25" borderId="116" xfId="81" applyNumberFormat="1" applyFont="1" applyFill="1" applyBorder="1" applyAlignment="1">
      <alignment horizontal="center" vertical="center"/>
    </xf>
    <xf numFmtId="212" fontId="63" fillId="0" borderId="117" xfId="78" applyNumberFormat="1" applyFont="1" applyBorder="1" applyAlignment="1">
      <alignment vertical="center"/>
    </xf>
    <xf numFmtId="206" fontId="50" fillId="28" borderId="118" xfId="78" applyNumberFormat="1" applyFont="1" applyFill="1" applyBorder="1" applyAlignment="1">
      <alignment vertical="center"/>
    </xf>
    <xf numFmtId="206" fontId="50" fillId="0" borderId="118" xfId="0" applyNumberFormat="1" applyFont="1" applyBorder="1" applyAlignment="1">
      <alignment vertical="center"/>
    </xf>
    <xf numFmtId="206" fontId="50" fillId="0" borderId="119" xfId="0" applyNumberFormat="1" applyFont="1" applyBorder="1" applyAlignment="1">
      <alignment vertical="center"/>
    </xf>
    <xf numFmtId="207" fontId="63" fillId="0" borderId="81" xfId="78" applyNumberFormat="1" applyFont="1" applyFill="1" applyBorder="1" applyAlignment="1">
      <alignment vertical="center"/>
    </xf>
    <xf numFmtId="207" fontId="63" fillId="0" borderId="102" xfId="78" applyNumberFormat="1" applyFont="1" applyFill="1" applyBorder="1" applyAlignment="1">
      <alignment vertical="center"/>
    </xf>
    <xf numFmtId="207" fontId="63" fillId="0" borderId="82" xfId="78" applyNumberFormat="1" applyFont="1" applyFill="1" applyBorder="1" applyAlignment="1">
      <alignment vertical="center"/>
    </xf>
    <xf numFmtId="207" fontId="63" fillId="0" borderId="120" xfId="78" applyNumberFormat="1" applyFont="1" applyFill="1" applyBorder="1" applyAlignment="1">
      <alignment vertical="center"/>
    </xf>
    <xf numFmtId="206" fontId="50" fillId="0" borderId="118" xfId="81" applyNumberFormat="1" applyFont="1" applyFill="1" applyBorder="1" applyAlignment="1">
      <alignment vertical="center"/>
    </xf>
    <xf numFmtId="207" fontId="63" fillId="0" borderId="118" xfId="78" applyNumberFormat="1" applyFont="1" applyFill="1" applyBorder="1" applyAlignment="1">
      <alignment vertical="center"/>
    </xf>
    <xf numFmtId="207" fontId="63" fillId="0" borderId="121" xfId="78" applyNumberFormat="1" applyFont="1" applyFill="1" applyBorder="1" applyAlignment="1">
      <alignment vertical="center"/>
    </xf>
    <xf numFmtId="49" fontId="50" fillId="25" borderId="122" xfId="0" applyNumberFormat="1" applyFont="1" applyFill="1" applyBorder="1" applyAlignment="1">
      <alignment horizontal="center" vertical="center" wrapText="1" shrinkToFit="1"/>
    </xf>
    <xf numFmtId="209" fontId="50" fillId="0" borderId="123" xfId="0" applyNumberFormat="1" applyFont="1" applyBorder="1" applyAlignment="1">
      <alignment horizontal="right" vertical="center"/>
    </xf>
    <xf numFmtId="209" fontId="50" fillId="0" borderId="124" xfId="0" applyNumberFormat="1" applyFont="1" applyBorder="1" applyAlignment="1">
      <alignment horizontal="right" vertical="center"/>
    </xf>
    <xf numFmtId="181" fontId="50" fillId="0" borderId="97" xfId="0" applyNumberFormat="1" applyFont="1" applyFill="1" applyBorder="1" applyAlignment="1">
      <alignment horizontal="center" vertical="center"/>
    </xf>
    <xf numFmtId="181" fontId="50" fillId="0" borderId="124" xfId="0" applyNumberFormat="1" applyFont="1" applyFill="1" applyBorder="1" applyAlignment="1">
      <alignment horizontal="center" vertical="center"/>
    </xf>
    <xf numFmtId="41" fontId="50" fillId="0" borderId="110" xfId="47" applyFont="1" applyFill="1" applyBorder="1" applyAlignment="1">
      <alignment horizontal="center" vertical="center"/>
    </xf>
    <xf numFmtId="41" fontId="50" fillId="0" borderId="0" xfId="0" applyNumberFormat="1" applyFont="1">
      <alignment vertical="center"/>
    </xf>
    <xf numFmtId="0" fontId="50" fillId="0" borderId="125" xfId="0" applyFont="1" applyFill="1" applyBorder="1" applyAlignment="1">
      <alignment horizontal="center" vertical="center"/>
    </xf>
    <xf numFmtId="0" fontId="50" fillId="0" borderId="83" xfId="0" applyFont="1" applyFill="1" applyBorder="1" applyAlignment="1">
      <alignment horizontal="center" vertical="center"/>
    </xf>
    <xf numFmtId="41" fontId="50" fillId="0" borderId="0" xfId="47" applyFont="1" applyBorder="1">
      <alignment vertical="center"/>
    </xf>
    <xf numFmtId="41" fontId="50" fillId="0" borderId="126" xfId="47" applyFont="1" applyBorder="1">
      <alignment vertical="center"/>
    </xf>
    <xf numFmtId="207" fontId="50" fillId="0" borderId="14" xfId="0" applyNumberFormat="1" applyFont="1" applyBorder="1" applyAlignment="1">
      <alignment horizontal="center" vertical="center"/>
    </xf>
    <xf numFmtId="207" fontId="50" fillId="0" borderId="97" xfId="0" applyNumberFormat="1" applyFont="1" applyBorder="1" applyAlignment="1">
      <alignment horizontal="center" vertical="center"/>
    </xf>
    <xf numFmtId="41" fontId="16" fillId="0" borderId="13" xfId="47" applyFont="1" applyBorder="1" applyAlignment="1">
      <alignment horizontal="center" vertical="center"/>
    </xf>
    <xf numFmtId="182" fontId="16" fillId="0" borderId="13" xfId="40" applyNumberFormat="1" applyFont="1" applyBorder="1" applyAlignment="1">
      <alignment horizontal="center" vertical="center"/>
    </xf>
    <xf numFmtId="41" fontId="16" fillId="0" borderId="13" xfId="47" applyFont="1" applyBorder="1">
      <alignment vertical="center"/>
    </xf>
    <xf numFmtId="41" fontId="16" fillId="0" borderId="13" xfId="47" applyFont="1" applyBorder="1" applyAlignment="1">
      <alignment horizontal="center" vertical="center" wrapText="1"/>
    </xf>
    <xf numFmtId="0" fontId="66" fillId="25" borderId="13" xfId="0" applyFont="1" applyFill="1" applyBorder="1" applyAlignment="1">
      <alignment horizontal="center" vertical="center"/>
    </xf>
    <xf numFmtId="0" fontId="49" fillId="25" borderId="13" xfId="0" applyFont="1" applyFill="1" applyBorder="1" applyAlignment="1">
      <alignment horizontal="center" vertical="center"/>
    </xf>
    <xf numFmtId="0" fontId="59" fillId="0" borderId="0" xfId="0" applyFont="1" applyAlignment="1">
      <alignment vertical="center"/>
    </xf>
    <xf numFmtId="0" fontId="59" fillId="0" borderId="0" xfId="0" applyFont="1">
      <alignment vertical="center"/>
    </xf>
    <xf numFmtId="0" fontId="59" fillId="0" borderId="0" xfId="0" applyFont="1" applyBorder="1" applyAlignment="1">
      <alignment horizontal="center" vertical="center"/>
    </xf>
    <xf numFmtId="0" fontId="68" fillId="0" borderId="0" xfId="0" applyFont="1" applyAlignment="1">
      <alignment vertical="center"/>
    </xf>
    <xf numFmtId="0" fontId="69" fillId="0" borderId="0" xfId="0" applyFont="1">
      <alignment vertical="center"/>
    </xf>
    <xf numFmtId="0" fontId="70" fillId="0" borderId="0" xfId="0" applyFont="1">
      <alignment vertical="center"/>
    </xf>
    <xf numFmtId="41" fontId="16" fillId="0" borderId="13" xfId="47" applyFont="1" applyFill="1" applyBorder="1">
      <alignment vertical="center"/>
    </xf>
    <xf numFmtId="10" fontId="16" fillId="0" borderId="13" xfId="40" applyNumberFormat="1" applyFont="1" applyBorder="1" applyAlignment="1">
      <alignment horizontal="center" vertical="center"/>
    </xf>
    <xf numFmtId="0" fontId="72" fillId="0" borderId="13" xfId="0" applyFont="1" applyBorder="1" applyAlignment="1">
      <alignment horizontal="center" vertical="center" wrapText="1"/>
    </xf>
    <xf numFmtId="10" fontId="16" fillId="0" borderId="13" xfId="47" applyNumberFormat="1" applyFont="1" applyBorder="1" applyAlignment="1">
      <alignment horizontal="center" vertical="center"/>
    </xf>
    <xf numFmtId="9" fontId="16" fillId="0" borderId="13" xfId="40" applyNumberFormat="1" applyFont="1" applyBorder="1" applyAlignment="1">
      <alignment horizontal="center" vertical="center"/>
    </xf>
    <xf numFmtId="0" fontId="15" fillId="0" borderId="0" xfId="0" applyFont="1">
      <alignment vertical="center"/>
    </xf>
    <xf numFmtId="41" fontId="15" fillId="0" borderId="0" xfId="0" applyNumberFormat="1" applyFont="1" applyAlignment="1">
      <alignment horizontal="center" vertical="center"/>
    </xf>
    <xf numFmtId="10" fontId="15" fillId="0" borderId="0" xfId="40" applyNumberFormat="1" applyFont="1">
      <alignment vertical="center"/>
    </xf>
    <xf numFmtId="41" fontId="15" fillId="0" borderId="0" xfId="0" applyNumberFormat="1" applyFont="1">
      <alignment vertical="center"/>
    </xf>
    <xf numFmtId="41" fontId="16" fillId="29" borderId="13" xfId="47" applyFont="1" applyFill="1" applyBorder="1" applyAlignment="1">
      <alignment horizontal="center" vertical="center"/>
    </xf>
    <xf numFmtId="10" fontId="16" fillId="29" borderId="13" xfId="40" applyNumberFormat="1" applyFont="1" applyFill="1" applyBorder="1" applyAlignment="1">
      <alignment horizontal="center" vertical="center"/>
    </xf>
    <xf numFmtId="41" fontId="16" fillId="29" borderId="13" xfId="47" applyFont="1" applyFill="1" applyBorder="1">
      <alignment vertical="center"/>
    </xf>
    <xf numFmtId="41" fontId="16" fillId="0" borderId="13" xfId="47" applyFont="1" applyBorder="1" applyAlignment="1">
      <alignment vertical="center"/>
    </xf>
    <xf numFmtId="41" fontId="16" fillId="0" borderId="13" xfId="47" applyFont="1" applyBorder="1" applyAlignment="1">
      <alignment horizontal="center" vertical="center"/>
    </xf>
    <xf numFmtId="0" fontId="16" fillId="0" borderId="0" xfId="0" applyFont="1" applyAlignment="1">
      <alignment horizontal="center" vertical="center"/>
    </xf>
    <xf numFmtId="41" fontId="16" fillId="29" borderId="144" xfId="47" applyFont="1" applyFill="1" applyBorder="1" applyAlignment="1">
      <alignment vertical="center"/>
    </xf>
    <xf numFmtId="41" fontId="16" fillId="29" borderId="31" xfId="47" applyFont="1" applyFill="1" applyBorder="1" applyAlignment="1">
      <alignment vertical="center"/>
    </xf>
    <xf numFmtId="0" fontId="16" fillId="0" borderId="13" xfId="0" applyFont="1" applyBorder="1" applyAlignment="1">
      <alignment horizontal="center" vertical="center"/>
    </xf>
    <xf numFmtId="0" fontId="73" fillId="0" borderId="13" xfId="0" applyFont="1" applyBorder="1" applyAlignment="1">
      <alignment horizontal="center" vertical="center" wrapText="1"/>
    </xf>
    <xf numFmtId="41" fontId="16" fillId="0" borderId="13" xfId="50" applyFont="1" applyBorder="1" applyAlignment="1">
      <alignment horizontal="center" vertical="center"/>
    </xf>
    <xf numFmtId="0" fontId="16" fillId="30" borderId="13" xfId="0" applyFont="1" applyFill="1" applyBorder="1" applyAlignment="1">
      <alignment horizontal="center" vertical="center"/>
    </xf>
    <xf numFmtId="41" fontId="16" fillId="30" borderId="13" xfId="47" applyFont="1" applyFill="1" applyBorder="1" applyAlignment="1">
      <alignment horizontal="center" vertical="center"/>
    </xf>
    <xf numFmtId="0" fontId="49" fillId="25" borderId="13" xfId="0" applyFont="1" applyFill="1" applyBorder="1" applyAlignment="1">
      <alignment horizontal="center" vertical="center"/>
    </xf>
    <xf numFmtId="0" fontId="16" fillId="0" borderId="13" xfId="0" applyFont="1" applyBorder="1" applyAlignment="1">
      <alignment horizontal="center" vertical="center"/>
    </xf>
    <xf numFmtId="41" fontId="16" fillId="0" borderId="13" xfId="47" applyFont="1" applyBorder="1" applyAlignment="1">
      <alignment horizontal="center" vertical="center"/>
    </xf>
    <xf numFmtId="0" fontId="66" fillId="25" borderId="13" xfId="0" applyFont="1" applyFill="1" applyBorder="1" applyAlignment="1">
      <alignment horizontal="center" vertical="center"/>
    </xf>
    <xf numFmtId="217" fontId="0" fillId="0" borderId="0" xfId="0" applyNumberFormat="1">
      <alignment vertical="center"/>
    </xf>
    <xf numFmtId="10" fontId="50" fillId="0" borderId="0" xfId="40" applyNumberFormat="1" applyFont="1" applyBorder="1" applyAlignment="1">
      <alignment horizontal="center" vertical="center"/>
    </xf>
    <xf numFmtId="10" fontId="50" fillId="0" borderId="0" xfId="40" applyNumberFormat="1" applyFont="1">
      <alignment vertical="center"/>
    </xf>
    <xf numFmtId="176" fontId="50" fillId="0" borderId="24" xfId="47" applyNumberFormat="1" applyFont="1" applyBorder="1" applyAlignment="1">
      <alignment horizontal="center" vertical="center"/>
    </xf>
    <xf numFmtId="176" fontId="50" fillId="0" borderId="17" xfId="47" applyNumberFormat="1" applyFont="1" applyFill="1" applyBorder="1" applyAlignment="1">
      <alignment horizontal="center" vertical="center"/>
    </xf>
    <xf numFmtId="176" fontId="50" fillId="0" borderId="76" xfId="47" applyNumberFormat="1" applyFont="1" applyFill="1" applyBorder="1" applyAlignment="1">
      <alignment horizontal="center" vertical="center"/>
    </xf>
    <xf numFmtId="176" fontId="16" fillId="0" borderId="13" xfId="47" applyNumberFormat="1" applyFont="1" applyBorder="1" applyAlignment="1">
      <alignment horizontal="center" vertical="center"/>
    </xf>
    <xf numFmtId="0" fontId="13" fillId="0" borderId="13" xfId="47" applyNumberFormat="1" applyFont="1" applyBorder="1" applyAlignment="1">
      <alignment horizontal="center" vertical="center" wrapText="1"/>
    </xf>
    <xf numFmtId="41" fontId="16" fillId="0" borderId="13" xfId="47" applyFont="1" applyBorder="1" applyAlignment="1">
      <alignment horizontal="center" vertical="center"/>
    </xf>
    <xf numFmtId="214" fontId="60" fillId="25" borderId="13" xfId="0" applyNumberFormat="1" applyFont="1" applyFill="1" applyBorder="1" applyAlignment="1">
      <alignment horizontal="center" vertical="center"/>
    </xf>
    <xf numFmtId="214" fontId="16" fillId="25" borderId="13" xfId="0" applyNumberFormat="1" applyFont="1" applyFill="1" applyBorder="1" applyAlignment="1">
      <alignment horizontal="center" vertical="center"/>
    </xf>
    <xf numFmtId="0" fontId="64" fillId="0" borderId="13" xfId="0" applyFont="1" applyBorder="1" applyAlignment="1">
      <alignment horizontal="center" vertical="center"/>
    </xf>
    <xf numFmtId="209" fontId="8" fillId="0" borderId="13" xfId="0" applyNumberFormat="1" applyFont="1" applyBorder="1" applyAlignment="1">
      <alignment horizontal="right" vertical="center" indent="1"/>
    </xf>
    <xf numFmtId="213" fontId="50" fillId="0" borderId="13" xfId="0" applyNumberFormat="1" applyFont="1" applyBorder="1" applyAlignment="1">
      <alignment vertical="center"/>
    </xf>
    <xf numFmtId="0" fontId="0" fillId="0" borderId="0" xfId="0" applyAlignment="1">
      <alignment vertical="center"/>
    </xf>
    <xf numFmtId="176" fontId="16" fillId="0" borderId="13" xfId="122" applyNumberFormat="1" applyFont="1" applyBorder="1" applyAlignment="1">
      <alignment horizontal="center" vertical="center"/>
    </xf>
    <xf numFmtId="176" fontId="50" fillId="0" borderId="86" xfId="47" applyNumberFormat="1" applyFont="1" applyFill="1" applyBorder="1" applyAlignment="1">
      <alignment horizontal="center" vertical="center"/>
    </xf>
    <xf numFmtId="176" fontId="50" fillId="0" borderId="86" xfId="47" applyNumberFormat="1" applyFont="1" applyBorder="1" applyAlignment="1">
      <alignment horizontal="center" vertical="center"/>
    </xf>
    <xf numFmtId="176" fontId="50" fillId="0" borderId="87" xfId="47" applyNumberFormat="1" applyFont="1" applyBorder="1" applyAlignment="1">
      <alignment horizontal="center" vertical="center"/>
    </xf>
    <xf numFmtId="176" fontId="0" fillId="0" borderId="0" xfId="0" applyNumberFormat="1" applyAlignment="1">
      <alignment horizontal="center" vertical="center"/>
    </xf>
    <xf numFmtId="176" fontId="0" fillId="0" borderId="0" xfId="0" applyNumberFormat="1">
      <alignment vertical="center"/>
    </xf>
    <xf numFmtId="0" fontId="46" fillId="25" borderId="130" xfId="0" applyFont="1" applyFill="1" applyBorder="1" applyAlignment="1">
      <alignment vertical="center" wrapText="1"/>
    </xf>
    <xf numFmtId="0" fontId="46" fillId="25" borderId="131" xfId="0" applyFont="1" applyFill="1" applyBorder="1" applyAlignment="1">
      <alignment vertical="center"/>
    </xf>
    <xf numFmtId="0" fontId="46" fillId="25" borderId="59" xfId="0" applyFont="1" applyFill="1" applyBorder="1" applyAlignment="1">
      <alignment horizontal="center" vertical="center"/>
    </xf>
    <xf numFmtId="0" fontId="46" fillId="25" borderId="129" xfId="0" applyFont="1" applyFill="1" applyBorder="1" applyAlignment="1">
      <alignment horizontal="center" vertical="center"/>
    </xf>
    <xf numFmtId="0" fontId="0" fillId="0" borderId="132" xfId="0" applyBorder="1">
      <alignment vertical="center"/>
    </xf>
    <xf numFmtId="0" fontId="46" fillId="25" borderId="133" xfId="0" applyFont="1" applyFill="1" applyBorder="1" applyAlignment="1">
      <alignment vertical="center" wrapText="1"/>
    </xf>
    <xf numFmtId="0" fontId="14" fillId="25" borderId="134" xfId="0" applyFont="1" applyFill="1" applyBorder="1" applyAlignment="1">
      <alignment vertical="center"/>
    </xf>
    <xf numFmtId="0" fontId="0" fillId="0" borderId="57" xfId="0" applyBorder="1">
      <alignment vertical="center"/>
    </xf>
    <xf numFmtId="0" fontId="10" fillId="25" borderId="127" xfId="0" applyFont="1" applyFill="1" applyBorder="1" applyAlignment="1">
      <alignment horizontal="center" vertical="center"/>
    </xf>
    <xf numFmtId="0" fontId="10" fillId="25" borderId="128" xfId="0" applyFont="1" applyFill="1" applyBorder="1" applyAlignment="1">
      <alignment horizontal="center" vertical="center"/>
    </xf>
    <xf numFmtId="0" fontId="46" fillId="25" borderId="57" xfId="0" applyFont="1" applyFill="1" applyBorder="1" applyAlignment="1">
      <alignment horizontal="center" vertical="center"/>
    </xf>
    <xf numFmtId="0" fontId="13" fillId="0" borderId="13" xfId="47" applyNumberFormat="1" applyFont="1" applyBorder="1" applyAlignment="1">
      <alignment horizontal="center" vertical="center" wrapText="1"/>
    </xf>
    <xf numFmtId="0" fontId="49" fillId="25" borderId="13" xfId="0" applyFont="1" applyFill="1" applyBorder="1" applyAlignment="1">
      <alignment horizontal="center" vertical="center"/>
    </xf>
    <xf numFmtId="0" fontId="16" fillId="30" borderId="13" xfId="0" applyFont="1" applyFill="1" applyBorder="1" applyAlignment="1">
      <alignment horizontal="center" vertical="center"/>
    </xf>
    <xf numFmtId="0" fontId="16" fillId="0" borderId="13" xfId="0" applyFont="1" applyBorder="1" applyAlignment="1">
      <alignment horizontal="center" vertical="center"/>
    </xf>
    <xf numFmtId="0" fontId="59" fillId="0" borderId="43" xfId="0" applyFont="1" applyBorder="1" applyAlignment="1">
      <alignment horizontal="left" vertical="center"/>
    </xf>
    <xf numFmtId="0" fontId="16" fillId="30" borderId="144" xfId="0" applyFont="1" applyFill="1" applyBorder="1" applyAlignment="1">
      <alignment horizontal="center" vertical="center"/>
    </xf>
    <xf numFmtId="0" fontId="16" fillId="30" borderId="31" xfId="0" applyFont="1" applyFill="1" applyBorder="1" applyAlignment="1">
      <alignment horizontal="center" vertical="center"/>
    </xf>
    <xf numFmtId="0" fontId="66" fillId="25" borderId="13" xfId="0" applyFont="1" applyFill="1" applyBorder="1" applyAlignment="1">
      <alignment horizontal="center" vertical="center"/>
    </xf>
    <xf numFmtId="41" fontId="16" fillId="0" borderId="13" xfId="47" applyFont="1" applyBorder="1" applyAlignment="1">
      <alignment horizontal="center" vertical="center"/>
    </xf>
    <xf numFmtId="41" fontId="16" fillId="29" borderId="13" xfId="47" applyFont="1" applyFill="1" applyBorder="1" applyAlignment="1">
      <alignment horizontal="center" vertical="center"/>
    </xf>
    <xf numFmtId="41" fontId="16" fillId="0" borderId="13" xfId="47" applyFont="1" applyBorder="1" applyAlignment="1">
      <alignment horizontal="center" vertical="center" wrapText="1"/>
    </xf>
    <xf numFmtId="0" fontId="50" fillId="25" borderId="139" xfId="0" applyFont="1" applyFill="1" applyBorder="1" applyAlignment="1">
      <alignment horizontal="center" vertical="center"/>
    </xf>
    <xf numFmtId="0" fontId="50" fillId="25" borderId="140" xfId="0" applyFont="1" applyFill="1" applyBorder="1" applyAlignment="1">
      <alignment horizontal="center" vertical="center"/>
    </xf>
    <xf numFmtId="0" fontId="50" fillId="25" borderId="54" xfId="0" applyFont="1" applyFill="1" applyBorder="1" applyAlignment="1">
      <alignment horizontal="center" vertical="center"/>
    </xf>
    <xf numFmtId="0" fontId="50" fillId="25" borderId="141" xfId="0" applyFont="1" applyFill="1" applyBorder="1" applyAlignment="1">
      <alignment horizontal="center" vertical="center"/>
    </xf>
    <xf numFmtId="176" fontId="50" fillId="0" borderId="112" xfId="0" applyNumberFormat="1" applyFont="1" applyBorder="1" applyAlignment="1">
      <alignment horizontal="center" vertical="center"/>
    </xf>
    <xf numFmtId="0" fontId="50" fillId="25" borderId="135" xfId="0" applyFont="1" applyFill="1" applyBorder="1" applyAlignment="1">
      <alignment horizontal="center" vertical="center" wrapText="1" shrinkToFit="1"/>
    </xf>
    <xf numFmtId="0" fontId="50" fillId="25" borderId="136" xfId="0" applyFont="1" applyFill="1" applyBorder="1" applyAlignment="1">
      <alignment horizontal="center" vertical="center" wrapText="1" shrinkToFit="1"/>
    </xf>
    <xf numFmtId="0" fontId="50" fillId="25" borderId="137" xfId="0" applyFont="1" applyFill="1" applyBorder="1" applyAlignment="1">
      <alignment horizontal="center" vertical="center"/>
    </xf>
    <xf numFmtId="0" fontId="50" fillId="25" borderId="138" xfId="0" applyFont="1" applyFill="1" applyBorder="1" applyAlignment="1">
      <alignment horizontal="center" vertical="center"/>
    </xf>
    <xf numFmtId="176" fontId="50" fillId="0" borderId="13" xfId="0" applyNumberFormat="1" applyFont="1" applyBorder="1" applyAlignment="1">
      <alignment horizontal="center" vertical="center"/>
    </xf>
    <xf numFmtId="0" fontId="50" fillId="25" borderId="76" xfId="0" applyFont="1" applyFill="1" applyBorder="1" applyAlignment="1">
      <alignment horizontal="center" vertical="center"/>
    </xf>
    <xf numFmtId="0" fontId="50" fillId="25" borderId="135" xfId="0" applyFont="1" applyFill="1" applyBorder="1" applyAlignment="1">
      <alignment horizontal="center" vertical="center"/>
    </xf>
    <xf numFmtId="0" fontId="50" fillId="25" borderId="136" xfId="0" applyFont="1" applyFill="1" applyBorder="1" applyAlignment="1">
      <alignment horizontal="center" vertical="center"/>
    </xf>
    <xf numFmtId="0" fontId="50" fillId="25" borderId="91" xfId="0" applyFont="1" applyFill="1" applyBorder="1" applyAlignment="1">
      <alignment horizontal="center" vertical="center"/>
    </xf>
    <xf numFmtId="0" fontId="50" fillId="25" borderId="76" xfId="0" applyFont="1" applyFill="1" applyBorder="1" applyAlignment="1">
      <alignment horizontal="center" vertical="center" wrapText="1" shrinkToFit="1"/>
    </xf>
    <xf numFmtId="0" fontId="50" fillId="25" borderId="91" xfId="0" applyFont="1" applyFill="1" applyBorder="1" applyAlignment="1">
      <alignment horizontal="center" vertical="center" wrapText="1" shrinkToFit="1"/>
    </xf>
    <xf numFmtId="41" fontId="50" fillId="0" borderId="90" xfId="47" applyFont="1" applyBorder="1" applyAlignment="1">
      <alignment horizontal="center" vertical="center"/>
    </xf>
    <xf numFmtId="0" fontId="50" fillId="25" borderId="27" xfId="0" applyFont="1" applyFill="1" applyBorder="1" applyAlignment="1">
      <alignment horizontal="center" vertical="center" wrapText="1" shrinkToFit="1"/>
    </xf>
    <xf numFmtId="0" fontId="50" fillId="0" borderId="135" xfId="0" applyFont="1" applyFill="1" applyBorder="1" applyAlignment="1">
      <alignment horizontal="center" vertical="center"/>
    </xf>
    <xf numFmtId="0" fontId="50" fillId="0" borderId="80" xfId="0" applyFont="1" applyFill="1" applyBorder="1" applyAlignment="1">
      <alignment horizontal="center" vertical="center"/>
    </xf>
    <xf numFmtId="0" fontId="60" fillId="0" borderId="14" xfId="0" applyFont="1" applyBorder="1" applyAlignment="1">
      <alignment horizontal="left" vertical="center"/>
    </xf>
    <xf numFmtId="176" fontId="50" fillId="0" borderId="90" xfId="47" applyNumberFormat="1" applyFont="1" applyBorder="1" applyAlignment="1">
      <alignment horizontal="center" vertical="center"/>
    </xf>
    <xf numFmtId="208" fontId="50" fillId="25" borderId="76" xfId="81" quotePrefix="1" applyNumberFormat="1" applyFont="1" applyFill="1" applyBorder="1" applyAlignment="1">
      <alignment horizontal="center" vertical="center"/>
    </xf>
    <xf numFmtId="208" fontId="50" fillId="25" borderId="138" xfId="81" quotePrefix="1" applyNumberFormat="1" applyFont="1" applyFill="1" applyBorder="1" applyAlignment="1">
      <alignment horizontal="center" vertical="center"/>
    </xf>
    <xf numFmtId="208" fontId="50" fillId="25" borderId="91" xfId="81" quotePrefix="1" applyNumberFormat="1" applyFont="1" applyFill="1" applyBorder="1" applyAlignment="1">
      <alignment horizontal="center" vertical="center"/>
    </xf>
    <xf numFmtId="208" fontId="50" fillId="25" borderId="137" xfId="81" quotePrefix="1" applyNumberFormat="1" applyFont="1" applyFill="1" applyBorder="1" applyAlignment="1">
      <alignment horizontal="center" vertical="center"/>
    </xf>
    <xf numFmtId="205" fontId="50" fillId="25" borderId="135" xfId="81" applyNumberFormat="1" applyFont="1" applyFill="1" applyBorder="1" applyAlignment="1">
      <alignment horizontal="center" vertical="center"/>
    </xf>
    <xf numFmtId="205" fontId="50" fillId="25" borderId="136" xfId="81" applyNumberFormat="1" applyFont="1" applyFill="1" applyBorder="1" applyAlignment="1">
      <alignment horizontal="center" vertical="center"/>
    </xf>
    <xf numFmtId="0" fontId="50" fillId="0" borderId="71" xfId="80" applyFont="1" applyBorder="1" applyAlignment="1">
      <alignment horizontal="right" wrapText="1"/>
    </xf>
    <xf numFmtId="0" fontId="50" fillId="0" borderId="43" xfId="80" applyFont="1" applyBorder="1" applyAlignment="1">
      <alignment horizontal="right" wrapText="1"/>
    </xf>
    <xf numFmtId="0" fontId="50" fillId="0" borderId="44" xfId="80" applyFont="1" applyBorder="1" applyAlignment="1">
      <alignment horizontal="right" wrapText="1"/>
    </xf>
    <xf numFmtId="0" fontId="50" fillId="0" borderId="142" xfId="80" applyFont="1" applyBorder="1" applyAlignment="1">
      <alignment horizontal="right" wrapText="1"/>
    </xf>
    <xf numFmtId="0" fontId="50" fillId="0" borderId="69" xfId="80" applyFont="1" applyBorder="1" applyAlignment="1">
      <alignment horizontal="right" wrapText="1"/>
    </xf>
    <xf numFmtId="0" fontId="50" fillId="0" borderId="143" xfId="80" applyFont="1" applyBorder="1" applyAlignment="1">
      <alignment horizontal="right" wrapText="1"/>
    </xf>
    <xf numFmtId="0" fontId="60" fillId="0" borderId="0" xfId="0" applyFont="1" applyAlignment="1">
      <alignment horizontal="center" vertical="center"/>
    </xf>
    <xf numFmtId="0" fontId="60" fillId="0" borderId="0" xfId="0" applyFont="1" applyBorder="1" applyAlignment="1">
      <alignment horizontal="center" vertical="center"/>
    </xf>
    <xf numFmtId="214" fontId="60" fillId="25" borderId="13" xfId="0" applyNumberFormat="1" applyFont="1" applyFill="1" applyBorder="1" applyAlignment="1">
      <alignment horizontal="center" vertical="center"/>
    </xf>
    <xf numFmtId="0" fontId="59" fillId="0" borderId="0" xfId="80" applyFont="1" applyFill="1" applyAlignment="1">
      <alignment horizontal="center"/>
    </xf>
    <xf numFmtId="0" fontId="65" fillId="0" borderId="0" xfId="80" applyFont="1" applyFill="1" applyAlignment="1">
      <alignment horizontal="center"/>
    </xf>
    <xf numFmtId="0" fontId="49" fillId="0" borderId="13" xfId="0" applyFont="1" applyBorder="1" applyAlignment="1">
      <alignment horizontal="center" vertical="center"/>
    </xf>
    <xf numFmtId="0" fontId="49" fillId="0" borderId="13" xfId="0" applyFont="1" applyBorder="1" applyAlignment="1">
      <alignment horizontal="center" vertical="center" wrapText="1"/>
    </xf>
    <xf numFmtId="0" fontId="14" fillId="0" borderId="13" xfId="0" applyFont="1" applyBorder="1" applyAlignment="1">
      <alignment horizontal="center" vertical="center"/>
    </xf>
    <xf numFmtId="0" fontId="13" fillId="0" borderId="13" xfId="0" applyFont="1" applyBorder="1" applyAlignment="1">
      <alignment horizontal="center" vertical="center" wrapText="1"/>
    </xf>
    <xf numFmtId="0" fontId="13" fillId="0" borderId="46" xfId="0" applyFont="1" applyBorder="1" applyAlignment="1">
      <alignment horizontal="center" vertical="center"/>
    </xf>
    <xf numFmtId="0" fontId="13" fillId="0" borderId="34" xfId="0" applyFont="1" applyBorder="1" applyAlignment="1">
      <alignment horizontal="center" vertical="center"/>
    </xf>
    <xf numFmtId="0" fontId="13" fillId="0" borderId="46" xfId="0" applyFont="1" applyBorder="1" applyAlignment="1">
      <alignment horizontal="center" vertical="center" wrapText="1"/>
    </xf>
    <xf numFmtId="0" fontId="13" fillId="0" borderId="34" xfId="0" applyFont="1" applyBorder="1" applyAlignment="1">
      <alignment horizontal="center" vertical="center" wrapText="1"/>
    </xf>
    <xf numFmtId="0" fontId="13" fillId="0" borderId="45" xfId="0" applyFont="1" applyBorder="1" applyAlignment="1">
      <alignment horizontal="center" vertical="center" wrapText="1"/>
    </xf>
    <xf numFmtId="0" fontId="13" fillId="0" borderId="45" xfId="0" applyFont="1" applyBorder="1" applyAlignment="1">
      <alignment horizontal="center" vertical="center"/>
    </xf>
    <xf numFmtId="0" fontId="13" fillId="0" borderId="46" xfId="0" applyFont="1" applyBorder="1" applyAlignment="1">
      <alignment horizontal="center" vertical="center" wrapText="1" shrinkToFit="1"/>
    </xf>
    <xf numFmtId="0" fontId="13" fillId="0" borderId="45" xfId="0" applyFont="1" applyBorder="1" applyAlignment="1">
      <alignment horizontal="center" vertical="center" wrapText="1" shrinkToFit="1"/>
    </xf>
    <xf numFmtId="0" fontId="13" fillId="0" borderId="144" xfId="0" applyFont="1" applyBorder="1" applyAlignment="1">
      <alignment horizontal="center" vertical="center"/>
    </xf>
    <xf numFmtId="0" fontId="13" fillId="0" borderId="31" xfId="0" applyFont="1" applyBorder="1" applyAlignment="1">
      <alignment horizontal="center" vertical="center"/>
    </xf>
    <xf numFmtId="0" fontId="13" fillId="0" borderId="142" xfId="0" applyFont="1" applyBorder="1" applyAlignment="1">
      <alignment horizontal="center" vertical="center"/>
    </xf>
    <xf numFmtId="0" fontId="13" fillId="0" borderId="70" xfId="0" applyFont="1" applyBorder="1" applyAlignment="1">
      <alignment horizontal="center" vertical="center"/>
    </xf>
    <xf numFmtId="0" fontId="13" fillId="0" borderId="71" xfId="0" applyFont="1" applyBorder="1" applyAlignment="1">
      <alignment horizontal="center" vertical="center"/>
    </xf>
    <xf numFmtId="0" fontId="49" fillId="0" borderId="46" xfId="0" applyFont="1" applyBorder="1" applyAlignment="1">
      <alignment horizontal="center" vertical="center"/>
    </xf>
    <xf numFmtId="0" fontId="49" fillId="0" borderId="45" xfId="0" applyFont="1" applyBorder="1" applyAlignment="1">
      <alignment horizontal="center" vertical="center"/>
    </xf>
    <xf numFmtId="0" fontId="13" fillId="0" borderId="143" xfId="0" applyFont="1" applyBorder="1" applyAlignment="1">
      <alignment horizontal="center" vertical="center"/>
    </xf>
    <xf numFmtId="0" fontId="13" fillId="0" borderId="39" xfId="0" applyFont="1" applyBorder="1" applyAlignment="1">
      <alignment horizontal="center" vertical="center"/>
    </xf>
    <xf numFmtId="0" fontId="13" fillId="0" borderId="44" xfId="0" applyFont="1" applyBorder="1" applyAlignment="1">
      <alignment horizontal="center" vertical="center"/>
    </xf>
    <xf numFmtId="0" fontId="13" fillId="0" borderId="13" xfId="0" applyFont="1" applyBorder="1" applyAlignment="1">
      <alignment horizontal="center" vertical="center"/>
    </xf>
    <xf numFmtId="0" fontId="0" fillId="24" borderId="13" xfId="0" applyFill="1" applyBorder="1" applyAlignment="1">
      <alignment horizontal="left" vertical="center" wrapText="1" indent="1"/>
    </xf>
    <xf numFmtId="0" fontId="57" fillId="24" borderId="13" xfId="0" applyFont="1" applyFill="1" applyBorder="1" applyAlignment="1">
      <alignment horizontal="center" vertical="top" wrapText="1"/>
    </xf>
    <xf numFmtId="0" fontId="13" fillId="0" borderId="34" xfId="0" applyFont="1" applyBorder="1" applyAlignment="1">
      <alignment horizontal="center" vertical="center" wrapText="1" shrinkToFit="1"/>
    </xf>
    <xf numFmtId="0" fontId="49" fillId="0" borderId="13" xfId="71" applyNumberFormat="1" applyFont="1" applyBorder="1" applyAlignment="1">
      <alignment horizontal="center" vertical="center" wrapText="1"/>
    </xf>
    <xf numFmtId="41" fontId="12" fillId="25" borderId="147" xfId="82" applyNumberFormat="1" applyFont="1" applyFill="1" applyBorder="1" applyAlignment="1">
      <alignment horizontal="center" vertical="center"/>
    </xf>
    <xf numFmtId="41" fontId="12" fillId="25" borderId="22" xfId="82" applyNumberFormat="1" applyFont="1" applyFill="1" applyBorder="1" applyAlignment="1">
      <alignment horizontal="center" vertical="center"/>
    </xf>
    <xf numFmtId="41" fontId="48" fillId="0" borderId="0" xfId="82" applyNumberFormat="1" applyFont="1" applyBorder="1" applyAlignment="1">
      <alignment horizontal="left" vertical="center"/>
    </xf>
    <xf numFmtId="41" fontId="13" fillId="0" borderId="0" xfId="82" applyNumberFormat="1" applyFont="1" applyBorder="1" applyAlignment="1">
      <alignment horizontal="left" vertical="center"/>
    </xf>
    <xf numFmtId="41" fontId="12" fillId="0" borderId="145" xfId="82" applyNumberFormat="1" applyFont="1" applyBorder="1" applyAlignment="1">
      <alignment horizontal="center" vertical="center"/>
    </xf>
    <xf numFmtId="41" fontId="12" fillId="0" borderId="146" xfId="82" applyNumberFormat="1" applyFont="1" applyBorder="1" applyAlignment="1">
      <alignment horizontal="center" vertical="center"/>
    </xf>
    <xf numFmtId="0" fontId="15" fillId="0" borderId="15" xfId="82" applyNumberFormat="1" applyFont="1" applyBorder="1" applyAlignment="1">
      <alignment horizontal="center" vertical="center" wrapText="1"/>
    </xf>
    <xf numFmtId="41" fontId="15" fillId="0" borderId="15" xfId="82" applyNumberFormat="1" applyFont="1" applyBorder="1" applyAlignment="1">
      <alignment horizontal="center" vertical="center"/>
    </xf>
    <xf numFmtId="41" fontId="15" fillId="0" borderId="17" xfId="82" applyNumberFormat="1" applyFont="1" applyBorder="1" applyAlignment="1">
      <alignment horizontal="center" vertical="center"/>
    </xf>
    <xf numFmtId="0" fontId="0" fillId="0" borderId="17" xfId="0" applyBorder="1" applyAlignment="1">
      <alignment horizontal="center" vertical="center"/>
    </xf>
    <xf numFmtId="41" fontId="45" fillId="0" borderId="0" xfId="82" applyNumberFormat="1" applyFont="1" applyBorder="1" applyAlignment="1">
      <alignment horizontal="left" vertical="center"/>
    </xf>
    <xf numFmtId="0" fontId="15" fillId="0" borderId="15" xfId="82" applyNumberFormat="1" applyFont="1" applyBorder="1" applyAlignment="1">
      <alignment horizontal="center" vertical="center"/>
    </xf>
    <xf numFmtId="0" fontId="15" fillId="0" borderId="17" xfId="82" applyNumberFormat="1" applyFont="1" applyBorder="1" applyAlignment="1">
      <alignment horizontal="center" vertical="center"/>
    </xf>
    <xf numFmtId="0" fontId="15" fillId="0" borderId="26" xfId="82" applyNumberFormat="1" applyFont="1" applyBorder="1" applyAlignment="1">
      <alignment horizontal="center" vertical="center" wrapText="1"/>
    </xf>
    <xf numFmtId="0" fontId="6" fillId="0" borderId="15" xfId="0" applyFont="1" applyBorder="1" applyAlignment="1">
      <alignment horizontal="center" vertical="center"/>
    </xf>
    <xf numFmtId="0" fontId="15" fillId="0" borderId="19" xfId="82" applyNumberFormat="1" applyFont="1" applyBorder="1" applyAlignment="1">
      <alignment horizontal="center" vertical="center"/>
    </xf>
    <xf numFmtId="0" fontId="0" fillId="0" borderId="16" xfId="0" applyNumberFormat="1" applyBorder="1" applyAlignment="1">
      <alignment horizontal="center" vertical="center"/>
    </xf>
  </cellXfs>
  <cellStyles count="123">
    <cellStyle name="_2002상수도통계(총괄)" xfId="1"/>
    <cellStyle name="20% - 강조색1" xfId="2" builtinId="30" customBuiltin="1"/>
    <cellStyle name="20% - 강조색2" xfId="3" builtinId="34" customBuiltin="1"/>
    <cellStyle name="20% - 강조색3" xfId="4" builtinId="38" customBuiltin="1"/>
    <cellStyle name="20% - 강조색4" xfId="5" builtinId="42" customBuiltin="1"/>
    <cellStyle name="20% - 강조색5" xfId="6" builtinId="46" customBuiltin="1"/>
    <cellStyle name="20% - 강조색6" xfId="7" builtinId="50" customBuiltin="1"/>
    <cellStyle name="40% - 강조색1" xfId="8" builtinId="31" customBuiltin="1"/>
    <cellStyle name="40% - 강조색2" xfId="9" builtinId="35" customBuiltin="1"/>
    <cellStyle name="40% - 강조색3" xfId="10" builtinId="39" customBuiltin="1"/>
    <cellStyle name="40% - 강조색4" xfId="11" builtinId="43" customBuiltin="1"/>
    <cellStyle name="40% - 강조색5" xfId="12" builtinId="47" customBuiltin="1"/>
    <cellStyle name="40% - 강조색6" xfId="13" builtinId="51" customBuiltin="1"/>
    <cellStyle name="60% - 강조색1" xfId="14" builtinId="32" customBuiltin="1"/>
    <cellStyle name="60% - 강조색2" xfId="15" builtinId="36" customBuiltin="1"/>
    <cellStyle name="60% - 강조색3" xfId="16" builtinId="40" customBuiltin="1"/>
    <cellStyle name="60% - 강조색4" xfId="17" builtinId="44" customBuiltin="1"/>
    <cellStyle name="60% - 강조색5" xfId="18" builtinId="48" customBuiltin="1"/>
    <cellStyle name="60% - 강조색6" xfId="19" builtinId="52" customBuiltin="1"/>
    <cellStyle name="강조색1" xfId="20" builtinId="29" customBuiltin="1"/>
    <cellStyle name="강조색2" xfId="21" builtinId="33" customBuiltin="1"/>
    <cellStyle name="강조색3" xfId="22" builtinId="37" customBuiltin="1"/>
    <cellStyle name="강조색4" xfId="23" builtinId="41" customBuiltin="1"/>
    <cellStyle name="강조색5" xfId="24" builtinId="45" customBuiltin="1"/>
    <cellStyle name="강조색6" xfId="25" builtinId="49" customBuiltin="1"/>
    <cellStyle name="경고문" xfId="26" builtinId="11" customBuiltin="1"/>
    <cellStyle name="계산" xfId="27" builtinId="22" customBuiltin="1"/>
    <cellStyle name="고정소숫점" xfId="28"/>
    <cellStyle name="고정출력1" xfId="29"/>
    <cellStyle name="고정출력2" xfId="30"/>
    <cellStyle name="나쁨" xfId="31" builtinId="27" customBuiltin="1"/>
    <cellStyle name="날짜" xfId="32"/>
    <cellStyle name="달러" xfId="33"/>
    <cellStyle name="뒤에 오는 하이퍼링크_0829광역시원단위추정(최종).xls Chart 1" xfId="34"/>
    <cellStyle name="똿뗦먛귟 [0.00]_PRODUCT DETAIL Q1" xfId="35"/>
    <cellStyle name="똿뗦먛귟_PRODUCT DETAIL Q1" xfId="36"/>
    <cellStyle name="메모" xfId="37" builtinId="10" customBuiltin="1"/>
    <cellStyle name="믅됞 [0.00]_PRODUCT DETAIL Q1" xfId="38"/>
    <cellStyle name="믅됞_PRODUCT DETAIL Q1" xfId="39"/>
    <cellStyle name="백분율" xfId="40" builtinId="5"/>
    <cellStyle name="백분율 2" xfId="41"/>
    <cellStyle name="보통" xfId="42" builtinId="28" customBuiltin="1"/>
    <cellStyle name="뷭?_BOOKSHIP" xfId="43"/>
    <cellStyle name="설명 텍스트" xfId="44" builtinId="53" customBuiltin="1"/>
    <cellStyle name="셀 확인" xfId="45" builtinId="23" customBuiltin="1"/>
    <cellStyle name="숫자(R)" xfId="46"/>
    <cellStyle name="쉼표 [0]" xfId="47" builtinId="6"/>
    <cellStyle name="쉼표 [0] 10" xfId="122"/>
    <cellStyle name="쉼표 [0] 2" xfId="48"/>
    <cellStyle name="쉼표 [0] 2 2" xfId="49"/>
    <cellStyle name="쉼표 [0] 3" xfId="50"/>
    <cellStyle name="쉼표 [0] 3 2" xfId="51"/>
    <cellStyle name="쉼표 [0] 4" xfId="52"/>
    <cellStyle name="쉼표 [0] 5" xfId="53"/>
    <cellStyle name="스타일 1" xfId="54"/>
    <cellStyle name="연결된 셀" xfId="55" builtinId="24" customBuiltin="1"/>
    <cellStyle name="요약" xfId="56" builtinId="25" customBuiltin="1"/>
    <cellStyle name="입력" xfId="57" builtinId="20" customBuiltin="1"/>
    <cellStyle name="자리수" xfId="58"/>
    <cellStyle name="자리수0" xfId="59"/>
    <cellStyle name="제목" xfId="60" builtinId="15" customBuiltin="1"/>
    <cellStyle name="제목 1" xfId="61" builtinId="16" customBuiltin="1"/>
    <cellStyle name="제목 2" xfId="62" builtinId="17" customBuiltin="1"/>
    <cellStyle name="제목 3" xfId="63" builtinId="18" customBuiltin="1"/>
    <cellStyle name="제목 4" xfId="64" builtinId="19" customBuiltin="1"/>
    <cellStyle name="좋음" xfId="65" builtinId="26" customBuiltin="1"/>
    <cellStyle name="출력" xfId="66" builtinId="21" customBuiltin="1"/>
    <cellStyle name="콤마 [0]" xfId="67"/>
    <cellStyle name="콤마_(type)총괄" xfId="68"/>
    <cellStyle name="퍼센트" xfId="69"/>
    <cellStyle name="표준" xfId="0" builtinId="0"/>
    <cellStyle name="표준 2" xfId="70"/>
    <cellStyle name="표준 3" xfId="71"/>
    <cellStyle name="표준 3 2" xfId="72"/>
    <cellStyle name="표준 4" xfId="73"/>
    <cellStyle name="표준 5" xfId="74"/>
    <cellStyle name="표준 6" xfId="75"/>
    <cellStyle name="표준 7" xfId="76"/>
    <cellStyle name="표준 8" xfId="77"/>
    <cellStyle name="표준_03-2020년거제생잔모형(전국특별추계기준-출산률보정)" xfId="78"/>
    <cellStyle name="표준_과거인구자료" xfId="79"/>
    <cellStyle name="표준_부록 1. 시도별 인구구조별 인구 및 구성비" xfId="80"/>
    <cellStyle name="표준_인구자료(추계)" xfId="81"/>
    <cellStyle name="표준_인구추정" xfId="82"/>
    <cellStyle name="표준_인구추정-10년추정(완산구)" xfId="83"/>
    <cellStyle name="표준_장래인구추정" xfId="84"/>
    <cellStyle name="표준_Book1" xfId="85"/>
    <cellStyle name="표준JKDH" xfId="86"/>
    <cellStyle name="합산" xfId="87"/>
    <cellStyle name="화폐기호" xfId="88"/>
    <cellStyle name="화폐기호0" xfId="89"/>
    <cellStyle name="AeE­ [0]_INQUIRY ¿μ¾÷AßAø " xfId="90"/>
    <cellStyle name="AeE­_INQUIRY ¿μ¾÷AßAø " xfId="91"/>
    <cellStyle name="AÞ¸¶ [0]_INQUIRY ¿μ¾÷AßAø " xfId="92"/>
    <cellStyle name="AÞ¸¶_INQUIRY ¿μ¾÷AßAø " xfId="93"/>
    <cellStyle name="C￥AØ_¿μ¾÷CoE² " xfId="94"/>
    <cellStyle name="category" xfId="95"/>
    <cellStyle name="Comma [0]_ SG&amp;A Bridge " xfId="96"/>
    <cellStyle name="comma zerodec" xfId="97"/>
    <cellStyle name="Comma_ SG&amp;A Bridge " xfId="98"/>
    <cellStyle name="Currency [0]_ SG&amp;A Bridge " xfId="99"/>
    <cellStyle name="Currency_ SG&amp;A Bridge " xfId="100"/>
    <cellStyle name="Currency1" xfId="101"/>
    <cellStyle name="Dezimal [0]_laroux" xfId="102"/>
    <cellStyle name="Dezimal_laroux" xfId="103"/>
    <cellStyle name="Dollar (zero dec)" xfId="104"/>
    <cellStyle name="Grey" xfId="105"/>
    <cellStyle name="HEADER" xfId="106"/>
    <cellStyle name="Header1" xfId="107"/>
    <cellStyle name="Header2" xfId="108"/>
    <cellStyle name="Input [yellow]" xfId="109"/>
    <cellStyle name="Milliers [0]_Arabian Spec" xfId="110"/>
    <cellStyle name="Milliers_Arabian Spec" xfId="111"/>
    <cellStyle name="Model" xfId="112"/>
    <cellStyle name="Mon?aire [0]_Arabian Spec" xfId="113"/>
    <cellStyle name="Mon?aire_Arabian Spec" xfId="114"/>
    <cellStyle name="Normal - Style1" xfId="115"/>
    <cellStyle name="Normal_ SG&amp;A Bridge " xfId="116"/>
    <cellStyle name="Percent [2]" xfId="117"/>
    <cellStyle name="Standard_laroux" xfId="118"/>
    <cellStyle name="subhead" xfId="119"/>
    <cellStyle name="W?rung [0]_laroux" xfId="120"/>
    <cellStyle name="W?rung_laroux" xfId="12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ko-KR"/>
  <c:chart>
    <c:title>
      <c:tx>
        <c:rich>
          <a:bodyPr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돋움"/>
                <a:ea typeface="돋움"/>
                <a:cs typeface="돋움"/>
              </a:defRPr>
            </a:pPr>
            <a:r>
              <a:rPr altLang="en-US"/>
              <a:t>과거 인구 현황 그래프</a:t>
            </a:r>
          </a:p>
        </c:rich>
      </c:tx>
      <c:layout>
        <c:manualLayout>
          <c:xMode val="edge"/>
          <c:yMode val="edge"/>
          <c:x val="0.37343782808398951"/>
          <c:y val="3.1674208144796392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8437514066706939"/>
          <c:y val="0.14932143192501229"/>
          <c:w val="0.79375060558365362"/>
          <c:h val="0.66063421397126665"/>
        </c:manualLayout>
      </c:layout>
      <c:lineChart>
        <c:grouping val="standard"/>
        <c:ser>
          <c:idx val="1"/>
          <c:order val="0"/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Ref>
              <c:f>과거인구현황!$B$38:$B$58</c:f>
              <c:numCache>
                <c:formatCode>General</c:formatCode>
                <c:ptCount val="21"/>
                <c:pt idx="0">
                  <c:v>1988</c:v>
                </c:pt>
                <c:pt idx="1">
                  <c:v>1989</c:v>
                </c:pt>
                <c:pt idx="2">
                  <c:v>1990</c:v>
                </c:pt>
                <c:pt idx="3">
                  <c:v>1991</c:v>
                </c:pt>
                <c:pt idx="4">
                  <c:v>1992</c:v>
                </c:pt>
                <c:pt idx="5">
                  <c:v>1993</c:v>
                </c:pt>
                <c:pt idx="6">
                  <c:v>1994</c:v>
                </c:pt>
                <c:pt idx="7">
                  <c:v>1995</c:v>
                </c:pt>
                <c:pt idx="8">
                  <c:v>1996</c:v>
                </c:pt>
                <c:pt idx="9">
                  <c:v>1997</c:v>
                </c:pt>
                <c:pt idx="10">
                  <c:v>1998</c:v>
                </c:pt>
                <c:pt idx="11">
                  <c:v>1999</c:v>
                </c:pt>
                <c:pt idx="12">
                  <c:v>2000</c:v>
                </c:pt>
                <c:pt idx="13">
                  <c:v>2001</c:v>
                </c:pt>
                <c:pt idx="14">
                  <c:v>2002</c:v>
                </c:pt>
                <c:pt idx="15">
                  <c:v>2003</c:v>
                </c:pt>
                <c:pt idx="16">
                  <c:v>2004</c:v>
                </c:pt>
                <c:pt idx="17">
                  <c:v>2005</c:v>
                </c:pt>
                <c:pt idx="18">
                  <c:v>2006</c:v>
                </c:pt>
                <c:pt idx="19">
                  <c:v>2007</c:v>
                </c:pt>
              </c:numCache>
            </c:numRef>
          </c:cat>
          <c:val>
            <c:numRef>
              <c:f>과거인구현황!$C$38:$C$58</c:f>
              <c:numCache>
                <c:formatCode>_-* #,##0_-;\-* #,##0_-;_-* "-"_-;_-@_-</c:formatCode>
                <c:ptCount val="21"/>
                <c:pt idx="0">
                  <c:v>94455</c:v>
                </c:pt>
                <c:pt idx="1">
                  <c:v>94855</c:v>
                </c:pt>
                <c:pt idx="2">
                  <c:v>89162</c:v>
                </c:pt>
                <c:pt idx="3">
                  <c:v>94445</c:v>
                </c:pt>
                <c:pt idx="4">
                  <c:v>96336</c:v>
                </c:pt>
                <c:pt idx="5">
                  <c:v>97799</c:v>
                </c:pt>
                <c:pt idx="6">
                  <c:v>99169</c:v>
                </c:pt>
                <c:pt idx="7">
                  <c:v>100329</c:v>
                </c:pt>
                <c:pt idx="8">
                  <c:v>101985</c:v>
                </c:pt>
                <c:pt idx="9">
                  <c:v>103201</c:v>
                </c:pt>
                <c:pt idx="10">
                  <c:v>103551</c:v>
                </c:pt>
                <c:pt idx="11">
                  <c:v>103806</c:v>
                </c:pt>
                <c:pt idx="12">
                  <c:v>104409</c:v>
                </c:pt>
                <c:pt idx="13">
                  <c:v>103933</c:v>
                </c:pt>
                <c:pt idx="14">
                  <c:v>103039</c:v>
                </c:pt>
                <c:pt idx="15">
                  <c:v>102032</c:v>
                </c:pt>
                <c:pt idx="16">
                  <c:v>101048</c:v>
                </c:pt>
                <c:pt idx="17">
                  <c:v>99547</c:v>
                </c:pt>
                <c:pt idx="18">
                  <c:v>97935</c:v>
                </c:pt>
                <c:pt idx="19">
                  <c:v>97199</c:v>
                </c:pt>
              </c:numCache>
            </c:numRef>
          </c:val>
        </c:ser>
        <c:marker val="1"/>
        <c:axId val="126440576"/>
        <c:axId val="126442880"/>
      </c:lineChart>
      <c:catAx>
        <c:axId val="126440576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맑은 고딕"/>
                    <a:ea typeface="맑은 고딕"/>
                    <a:cs typeface="맑은 고딕"/>
                  </a:defRPr>
                </a:pPr>
                <a:r>
                  <a:rPr lang="ko-KR" altLang="en-US" sz="1200" b="0" i="0" strike="noStrike">
                    <a:solidFill>
                      <a:srgbClr val="000000"/>
                    </a:solidFill>
                    <a:latin typeface="돋움"/>
                    <a:ea typeface="돋움"/>
                  </a:rPr>
                  <a:t>년도</a:t>
                </a:r>
                <a:r>
                  <a:rPr lang="en-US" altLang="ko-KR" sz="1200" b="0" i="0" strike="noStrike">
                    <a:solidFill>
                      <a:srgbClr val="000000"/>
                    </a:solidFill>
                    <a:latin typeface="돋움"/>
                    <a:ea typeface="돋움"/>
                  </a:rPr>
                  <a:t>(</a:t>
                </a:r>
                <a:r>
                  <a:rPr lang="ko-KR" altLang="en-US" sz="1200" b="0" i="0" strike="noStrike">
                    <a:solidFill>
                      <a:srgbClr val="000000"/>
                    </a:solidFill>
                    <a:latin typeface="돋움"/>
                    <a:ea typeface="돋움"/>
                  </a:rPr>
                  <a:t>년</a:t>
                </a:r>
                <a:r>
                  <a:rPr lang="en-US" altLang="ko-KR" sz="1200" b="0" i="0" strike="noStrike">
                    <a:solidFill>
                      <a:srgbClr val="000000"/>
                    </a:solidFill>
                    <a:latin typeface="돋움"/>
                    <a:ea typeface="돋움"/>
                  </a:rPr>
                  <a:t>)</a:t>
                </a:r>
              </a:p>
            </c:rich>
          </c:tx>
          <c:layout>
            <c:manualLayout>
              <c:xMode val="edge"/>
              <c:yMode val="edge"/>
              <c:x val="0.53125032808398953"/>
              <c:y val="0.91402809942874785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maj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돋움"/>
                <a:ea typeface="돋움"/>
                <a:cs typeface="돋움"/>
              </a:defRPr>
            </a:pPr>
            <a:endParaRPr lang="ko-KR"/>
          </a:p>
        </c:txPr>
        <c:crossAx val="126442880"/>
        <c:crosses val="autoZero"/>
        <c:auto val="1"/>
        <c:lblAlgn val="ctr"/>
        <c:lblOffset val="100"/>
        <c:tickLblSkip val="1"/>
        <c:tickMarkSkip val="1"/>
      </c:catAx>
      <c:valAx>
        <c:axId val="126442880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맑은 고딕"/>
                    <a:ea typeface="맑은 고딕"/>
                    <a:cs typeface="맑은 고딕"/>
                  </a:defRPr>
                </a:pPr>
                <a:r>
                  <a:rPr lang="ko-KR" altLang="en-US" sz="1200" b="0" i="0" strike="noStrike">
                    <a:solidFill>
                      <a:srgbClr val="000000"/>
                    </a:solidFill>
                    <a:latin typeface="돋움"/>
                    <a:ea typeface="돋움"/>
                  </a:rPr>
                  <a:t>인구</a:t>
                </a:r>
                <a:r>
                  <a:rPr lang="en-US" altLang="ko-KR" sz="1200" b="0" i="0" strike="noStrike">
                    <a:solidFill>
                      <a:srgbClr val="000000"/>
                    </a:solidFill>
                    <a:latin typeface="돋움"/>
                    <a:ea typeface="돋움"/>
                  </a:rPr>
                  <a:t>(</a:t>
                </a:r>
                <a:r>
                  <a:rPr lang="ko-KR" altLang="en-US" sz="1200" b="0" i="0" strike="noStrike">
                    <a:solidFill>
                      <a:srgbClr val="000000"/>
                    </a:solidFill>
                    <a:latin typeface="돋움"/>
                    <a:ea typeface="돋움"/>
                  </a:rPr>
                  <a:t>인</a:t>
                </a:r>
                <a:r>
                  <a:rPr lang="en-US" altLang="ko-KR" sz="1200" b="0" i="0" strike="noStrike">
                    <a:solidFill>
                      <a:srgbClr val="000000"/>
                    </a:solidFill>
                    <a:latin typeface="돋움"/>
                    <a:ea typeface="돋움"/>
                  </a:rPr>
                  <a:t>)</a:t>
                </a:r>
              </a:p>
            </c:rich>
          </c:tx>
          <c:layout>
            <c:manualLayout>
              <c:xMode val="edge"/>
              <c:yMode val="edge"/>
              <c:x val="2.5000000000000001E-2"/>
              <c:y val="0.40724029405826534"/>
            </c:manualLayout>
          </c:layout>
          <c:spPr>
            <a:noFill/>
            <a:ln w="25400">
              <a:noFill/>
            </a:ln>
          </c:spPr>
        </c:title>
        <c:numFmt formatCode="_-* #,##0_-;\-* #,##0_-;_-* &quot;-&quot;_-;_-@_-" sourceLinked="1"/>
        <c:maj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돋움"/>
                <a:ea typeface="돋움"/>
                <a:cs typeface="돋움"/>
              </a:defRPr>
            </a:pPr>
            <a:endParaRPr lang="ko-KR"/>
          </a:p>
        </c:txPr>
        <c:crossAx val="12644057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돋움"/>
          <a:ea typeface="돋움"/>
          <a:cs typeface="돋움"/>
        </a:defRPr>
      </a:pPr>
      <a:endParaRPr lang="ko-KR"/>
    </a:p>
  </c:txPr>
  <c:printSettings>
    <c:headerFooter alignWithMargins="0"/>
    <c:pageMargins b="1" l="0.75000000000000144" r="0.75000000000000144" t="1" header="0.5" footer="0.5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ko-KR"/>
  <c:chart>
    <c:title>
      <c:tx>
        <c:rich>
          <a:bodyPr/>
          <a:lstStyle/>
          <a:p>
            <a:pPr>
              <a:defRPr sz="1175" b="1" i="0" u="none" strike="noStrike" baseline="0">
                <a:solidFill>
                  <a:srgbClr val="000000"/>
                </a:solidFill>
                <a:latin typeface="돋움"/>
                <a:ea typeface="돋움"/>
                <a:cs typeface="돋움"/>
              </a:defRPr>
            </a:pPr>
            <a:r>
              <a:rPr altLang="en-US"/>
              <a:t>부곡동</a:t>
            </a:r>
          </a:p>
        </c:rich>
      </c:tx>
      <c:layout>
        <c:manualLayout>
          <c:xMode val="edge"/>
          <c:yMode val="edge"/>
          <c:x val="0.46861010086743682"/>
          <c:y val="2.8517110266159756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0313906991129369"/>
          <c:y val="9.3155980012012529E-2"/>
          <c:w val="0.83183902037152235"/>
          <c:h val="0.67490556947478386"/>
        </c:manualLayout>
      </c:layout>
      <c:lineChart>
        <c:grouping val="standard"/>
        <c:ser>
          <c:idx val="0"/>
          <c:order val="0"/>
          <c:tx>
            <c:v>등차</c:v>
          </c:tx>
          <c:spPr>
            <a:ln w="3175">
              <a:solidFill>
                <a:srgbClr val="000080"/>
              </a:solidFill>
              <a:prstDash val="solid"/>
            </a:ln>
          </c:spPr>
          <c:marker>
            <c:symbol val="diamond"/>
            <c:size val="3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부곡동20년!$L$225:$AX$225</c:f>
              <c:numCache>
                <c:formatCode>General</c:formatCode>
                <c:ptCount val="39"/>
                <c:pt idx="0">
                  <c:v>1988</c:v>
                </c:pt>
                <c:pt idx="1">
                  <c:v>1989</c:v>
                </c:pt>
                <c:pt idx="2">
                  <c:v>1990</c:v>
                </c:pt>
                <c:pt idx="3">
                  <c:v>1991</c:v>
                </c:pt>
                <c:pt idx="4">
                  <c:v>1992</c:v>
                </c:pt>
                <c:pt idx="5">
                  <c:v>1993</c:v>
                </c:pt>
                <c:pt idx="6">
                  <c:v>1994</c:v>
                </c:pt>
                <c:pt idx="7">
                  <c:v>1995</c:v>
                </c:pt>
                <c:pt idx="8">
                  <c:v>1996</c:v>
                </c:pt>
                <c:pt idx="9">
                  <c:v>1997</c:v>
                </c:pt>
                <c:pt idx="10">
                  <c:v>1998</c:v>
                </c:pt>
                <c:pt idx="11">
                  <c:v>1999</c:v>
                </c:pt>
                <c:pt idx="12">
                  <c:v>2000</c:v>
                </c:pt>
                <c:pt idx="13">
                  <c:v>2001</c:v>
                </c:pt>
                <c:pt idx="14">
                  <c:v>2002</c:v>
                </c:pt>
                <c:pt idx="15">
                  <c:v>2003</c:v>
                </c:pt>
                <c:pt idx="16">
                  <c:v>2004</c:v>
                </c:pt>
                <c:pt idx="17">
                  <c:v>2005</c:v>
                </c:pt>
                <c:pt idx="18">
                  <c:v>2006</c:v>
                </c:pt>
                <c:pt idx="19">
                  <c:v>2007</c:v>
                </c:pt>
                <c:pt idx="20">
                  <c:v>2008</c:v>
                </c:pt>
                <c:pt idx="21">
                  <c:v>2009</c:v>
                </c:pt>
                <c:pt idx="22">
                  <c:v>2010</c:v>
                </c:pt>
                <c:pt idx="23">
                  <c:v>2011</c:v>
                </c:pt>
                <c:pt idx="24">
                  <c:v>2012</c:v>
                </c:pt>
                <c:pt idx="25">
                  <c:v>2013</c:v>
                </c:pt>
                <c:pt idx="26">
                  <c:v>2014</c:v>
                </c:pt>
                <c:pt idx="27">
                  <c:v>2015</c:v>
                </c:pt>
                <c:pt idx="28">
                  <c:v>2016</c:v>
                </c:pt>
                <c:pt idx="29">
                  <c:v>2017</c:v>
                </c:pt>
                <c:pt idx="30">
                  <c:v>2018</c:v>
                </c:pt>
                <c:pt idx="31">
                  <c:v>2019</c:v>
                </c:pt>
                <c:pt idx="32">
                  <c:v>2020</c:v>
                </c:pt>
                <c:pt idx="33">
                  <c:v>2021</c:v>
                </c:pt>
                <c:pt idx="34">
                  <c:v>2022</c:v>
                </c:pt>
                <c:pt idx="35">
                  <c:v>2023</c:v>
                </c:pt>
                <c:pt idx="36">
                  <c:v>2024</c:v>
                </c:pt>
                <c:pt idx="37">
                  <c:v>2025</c:v>
                </c:pt>
                <c:pt idx="38">
                  <c:v>2026</c:v>
                </c:pt>
              </c:numCache>
            </c:numRef>
          </c:cat>
          <c:val>
            <c:numRef>
              <c:f>부곡동20년!$L$226:$AW$226</c:f>
              <c:numCache>
                <c:formatCode>General</c:formatCode>
                <c:ptCount val="38"/>
                <c:pt idx="19" formatCode="_-* #,##0_-;\-* #,##0_-;_-* &quot;-&quot;_-;_-@_-">
                  <c:v>7609</c:v>
                </c:pt>
                <c:pt idx="20" formatCode="_-* #,##0_-;\-* #,##0_-;_-* &quot;-&quot;_-;_-@_-">
                  <c:v>7643</c:v>
                </c:pt>
                <c:pt idx="21" formatCode="_-* #,##0_-;\-* #,##0_-;_-* &quot;-&quot;_-;_-@_-">
                  <c:v>7677</c:v>
                </c:pt>
                <c:pt idx="22" formatCode="_-* #,##0_-;\-* #,##0_-;_-* &quot;-&quot;_-;_-@_-">
                  <c:v>7711</c:v>
                </c:pt>
                <c:pt idx="23" formatCode="_-* #,##0_-;\-* #,##0_-;_-* &quot;-&quot;_-;_-@_-">
                  <c:v>7745</c:v>
                </c:pt>
                <c:pt idx="24" formatCode="_-* #,##0_-;\-* #,##0_-;_-* &quot;-&quot;_-;_-@_-">
                  <c:v>7779</c:v>
                </c:pt>
                <c:pt idx="25" formatCode="_-* #,##0_-;\-* #,##0_-;_-* &quot;-&quot;_-;_-@_-">
                  <c:v>7813</c:v>
                </c:pt>
                <c:pt idx="26" formatCode="_-* #,##0_-;\-* #,##0_-;_-* &quot;-&quot;_-;_-@_-">
                  <c:v>7847</c:v>
                </c:pt>
                <c:pt idx="27" formatCode="_-* #,##0_-;\-* #,##0_-;_-* &quot;-&quot;_-;_-@_-">
                  <c:v>7881</c:v>
                </c:pt>
                <c:pt idx="28" formatCode="_-* #,##0_-;\-* #,##0_-;_-* &quot;-&quot;_-;_-@_-">
                  <c:v>7915</c:v>
                </c:pt>
                <c:pt idx="29" formatCode="_-* #,##0_-;\-* #,##0_-;_-* &quot;-&quot;_-;_-@_-">
                  <c:v>7948</c:v>
                </c:pt>
                <c:pt idx="30" formatCode="_-* #,##0_-;\-* #,##0_-;_-* &quot;-&quot;_-;_-@_-">
                  <c:v>7982</c:v>
                </c:pt>
                <c:pt idx="31" formatCode="_-* #,##0_-;\-* #,##0_-;_-* &quot;-&quot;_-;_-@_-">
                  <c:v>8016</c:v>
                </c:pt>
                <c:pt idx="32" formatCode="_-* #,##0_-;\-* #,##0_-;_-* &quot;-&quot;_-;_-@_-">
                  <c:v>8050</c:v>
                </c:pt>
                <c:pt idx="33" formatCode="_-* #,##0_-;\-* #,##0_-;_-* &quot;-&quot;_-;_-@_-">
                  <c:v>8084</c:v>
                </c:pt>
                <c:pt idx="34" formatCode="_-* #,##0_-;\-* #,##0_-;_-* &quot;-&quot;_-;_-@_-">
                  <c:v>8118</c:v>
                </c:pt>
                <c:pt idx="35" formatCode="_-* #,##0_-;\-* #,##0_-;_-* &quot;-&quot;_-;_-@_-">
                  <c:v>8152</c:v>
                </c:pt>
                <c:pt idx="36" formatCode="_-* #,##0_-;\-* #,##0_-;_-* &quot;-&quot;_-;_-@_-">
                  <c:v>8186</c:v>
                </c:pt>
                <c:pt idx="37" formatCode="_-* #,##0_-;\-* #,##0_-;_-* &quot;-&quot;_-;_-@_-">
                  <c:v>8220</c:v>
                </c:pt>
              </c:numCache>
            </c:numRef>
          </c:val>
        </c:ser>
        <c:ser>
          <c:idx val="1"/>
          <c:order val="1"/>
          <c:tx>
            <c:v>최소</c:v>
          </c:tx>
          <c:spPr>
            <a:ln w="3175">
              <a:solidFill>
                <a:srgbClr val="FF00FF"/>
              </a:solidFill>
              <a:prstDash val="solid"/>
            </a:ln>
          </c:spPr>
          <c:marker>
            <c:symbol val="square"/>
            <c:size val="3"/>
            <c:spPr>
              <a:noFill/>
              <a:ln>
                <a:solidFill>
                  <a:srgbClr val="FF00FF"/>
                </a:solidFill>
                <a:prstDash val="solid"/>
              </a:ln>
            </c:spPr>
          </c:marker>
          <c:cat>
            <c:numRef>
              <c:f>부곡동20년!$L$225:$AX$225</c:f>
              <c:numCache>
                <c:formatCode>General</c:formatCode>
                <c:ptCount val="39"/>
                <c:pt idx="0">
                  <c:v>1988</c:v>
                </c:pt>
                <c:pt idx="1">
                  <c:v>1989</c:v>
                </c:pt>
                <c:pt idx="2">
                  <c:v>1990</c:v>
                </c:pt>
                <c:pt idx="3">
                  <c:v>1991</c:v>
                </c:pt>
                <c:pt idx="4">
                  <c:v>1992</c:v>
                </c:pt>
                <c:pt idx="5">
                  <c:v>1993</c:v>
                </c:pt>
                <c:pt idx="6">
                  <c:v>1994</c:v>
                </c:pt>
                <c:pt idx="7">
                  <c:v>1995</c:v>
                </c:pt>
                <c:pt idx="8">
                  <c:v>1996</c:v>
                </c:pt>
                <c:pt idx="9">
                  <c:v>1997</c:v>
                </c:pt>
                <c:pt idx="10">
                  <c:v>1998</c:v>
                </c:pt>
                <c:pt idx="11">
                  <c:v>1999</c:v>
                </c:pt>
                <c:pt idx="12">
                  <c:v>2000</c:v>
                </c:pt>
                <c:pt idx="13">
                  <c:v>2001</c:v>
                </c:pt>
                <c:pt idx="14">
                  <c:v>2002</c:v>
                </c:pt>
                <c:pt idx="15">
                  <c:v>2003</c:v>
                </c:pt>
                <c:pt idx="16">
                  <c:v>2004</c:v>
                </c:pt>
                <c:pt idx="17">
                  <c:v>2005</c:v>
                </c:pt>
                <c:pt idx="18">
                  <c:v>2006</c:v>
                </c:pt>
                <c:pt idx="19">
                  <c:v>2007</c:v>
                </c:pt>
                <c:pt idx="20">
                  <c:v>2008</c:v>
                </c:pt>
                <c:pt idx="21">
                  <c:v>2009</c:v>
                </c:pt>
                <c:pt idx="22">
                  <c:v>2010</c:v>
                </c:pt>
                <c:pt idx="23">
                  <c:v>2011</c:v>
                </c:pt>
                <c:pt idx="24">
                  <c:v>2012</c:v>
                </c:pt>
                <c:pt idx="25">
                  <c:v>2013</c:v>
                </c:pt>
                <c:pt idx="26">
                  <c:v>2014</c:v>
                </c:pt>
                <c:pt idx="27">
                  <c:v>2015</c:v>
                </c:pt>
                <c:pt idx="28">
                  <c:v>2016</c:v>
                </c:pt>
                <c:pt idx="29">
                  <c:v>2017</c:v>
                </c:pt>
                <c:pt idx="30">
                  <c:v>2018</c:v>
                </c:pt>
                <c:pt idx="31">
                  <c:v>2019</c:v>
                </c:pt>
                <c:pt idx="32">
                  <c:v>2020</c:v>
                </c:pt>
                <c:pt idx="33">
                  <c:v>2021</c:v>
                </c:pt>
                <c:pt idx="34">
                  <c:v>2022</c:v>
                </c:pt>
                <c:pt idx="35">
                  <c:v>2023</c:v>
                </c:pt>
                <c:pt idx="36">
                  <c:v>2024</c:v>
                </c:pt>
                <c:pt idx="37">
                  <c:v>2025</c:v>
                </c:pt>
                <c:pt idx="38">
                  <c:v>2026</c:v>
                </c:pt>
              </c:numCache>
            </c:numRef>
          </c:cat>
          <c:val>
            <c:numRef>
              <c:f>부곡동20년!$L$227:$AW$227</c:f>
              <c:numCache>
                <c:formatCode>General</c:formatCode>
                <c:ptCount val="38"/>
                <c:pt idx="19" formatCode="_-* #,##0_-;\-* #,##0_-;_-* &quot;-&quot;_-;_-@_-">
                  <c:v>7609</c:v>
                </c:pt>
                <c:pt idx="20" formatCode="_-* #,##0_-;\-* #,##0_-;_-* &quot;-&quot;_-;_-@_-">
                  <c:v>8593</c:v>
                </c:pt>
                <c:pt idx="21" formatCode="_-* #,##0_-;\-* #,##0_-;_-* &quot;-&quot;_-;_-@_-">
                  <c:v>8621</c:v>
                </c:pt>
                <c:pt idx="22" formatCode="_-* #,##0_-;\-* #,##0_-;_-* &quot;-&quot;_-;_-@_-">
                  <c:v>8648</c:v>
                </c:pt>
                <c:pt idx="23" formatCode="_-* #,##0_-;\-* #,##0_-;_-* &quot;-&quot;_-;_-@_-">
                  <c:v>8676</c:v>
                </c:pt>
                <c:pt idx="24" formatCode="_-* #,##0_-;\-* #,##0_-;_-* &quot;-&quot;_-;_-@_-">
                  <c:v>8704</c:v>
                </c:pt>
                <c:pt idx="25" formatCode="_-* #,##0_-;\-* #,##0_-;_-* &quot;-&quot;_-;_-@_-">
                  <c:v>8731</c:v>
                </c:pt>
                <c:pt idx="26" formatCode="_-* #,##0_-;\-* #,##0_-;_-* &quot;-&quot;_-;_-@_-">
                  <c:v>8759</c:v>
                </c:pt>
                <c:pt idx="27" formatCode="_-* #,##0_-;\-* #,##0_-;_-* &quot;-&quot;_-;_-@_-">
                  <c:v>8786</c:v>
                </c:pt>
                <c:pt idx="28" formatCode="_-* #,##0_-;\-* #,##0_-;_-* &quot;-&quot;_-;_-@_-">
                  <c:v>8814</c:v>
                </c:pt>
                <c:pt idx="29" formatCode="_-* #,##0_-;\-* #,##0_-;_-* &quot;-&quot;_-;_-@_-">
                  <c:v>8841</c:v>
                </c:pt>
                <c:pt idx="30" formatCode="_-* #,##0_-;\-* #,##0_-;_-* &quot;-&quot;_-;_-@_-">
                  <c:v>8869</c:v>
                </c:pt>
                <c:pt idx="31" formatCode="_-* #,##0_-;\-* #,##0_-;_-* &quot;-&quot;_-;_-@_-">
                  <c:v>8896</c:v>
                </c:pt>
                <c:pt idx="32" formatCode="_-* #,##0_-;\-* #,##0_-;_-* &quot;-&quot;_-;_-@_-">
                  <c:v>8924</c:v>
                </c:pt>
                <c:pt idx="33" formatCode="_-* #,##0_-;\-* #,##0_-;_-* &quot;-&quot;_-;_-@_-">
                  <c:v>8951</c:v>
                </c:pt>
                <c:pt idx="34" formatCode="_-* #,##0_-;\-* #,##0_-;_-* &quot;-&quot;_-;_-@_-">
                  <c:v>8979</c:v>
                </c:pt>
                <c:pt idx="35" formatCode="_-* #,##0_-;\-* #,##0_-;_-* &quot;-&quot;_-;_-@_-">
                  <c:v>9006</c:v>
                </c:pt>
                <c:pt idx="36" formatCode="_-* #,##0_-;\-* #,##0_-;_-* &quot;-&quot;_-;_-@_-">
                  <c:v>9034</c:v>
                </c:pt>
                <c:pt idx="37" formatCode="_-* #,##0_-;\-* #,##0_-;_-* &quot;-&quot;_-;_-@_-">
                  <c:v>9061</c:v>
                </c:pt>
              </c:numCache>
            </c:numRef>
          </c:val>
        </c:ser>
        <c:ser>
          <c:idx val="4"/>
          <c:order val="2"/>
          <c:tx>
            <c:v>로지스틱</c:v>
          </c:tx>
          <c:spPr>
            <a:ln w="3175">
              <a:solidFill>
                <a:srgbClr val="800080"/>
              </a:solidFill>
              <a:prstDash val="solid"/>
            </a:ln>
          </c:spPr>
          <c:marker>
            <c:symbol val="circle"/>
            <c:size val="3"/>
            <c:spPr>
              <a:noFill/>
              <a:ln>
                <a:solidFill>
                  <a:srgbClr val="800080"/>
                </a:solidFill>
                <a:prstDash val="solid"/>
              </a:ln>
            </c:spPr>
          </c:marker>
          <c:cat>
            <c:numRef>
              <c:f>부곡동20년!$L$225:$AX$225</c:f>
              <c:numCache>
                <c:formatCode>General</c:formatCode>
                <c:ptCount val="39"/>
                <c:pt idx="0">
                  <c:v>1988</c:v>
                </c:pt>
                <c:pt idx="1">
                  <c:v>1989</c:v>
                </c:pt>
                <c:pt idx="2">
                  <c:v>1990</c:v>
                </c:pt>
                <c:pt idx="3">
                  <c:v>1991</c:v>
                </c:pt>
                <c:pt idx="4">
                  <c:v>1992</c:v>
                </c:pt>
                <c:pt idx="5">
                  <c:v>1993</c:v>
                </c:pt>
                <c:pt idx="6">
                  <c:v>1994</c:v>
                </c:pt>
                <c:pt idx="7">
                  <c:v>1995</c:v>
                </c:pt>
                <c:pt idx="8">
                  <c:v>1996</c:v>
                </c:pt>
                <c:pt idx="9">
                  <c:v>1997</c:v>
                </c:pt>
                <c:pt idx="10">
                  <c:v>1998</c:v>
                </c:pt>
                <c:pt idx="11">
                  <c:v>1999</c:v>
                </c:pt>
                <c:pt idx="12">
                  <c:v>2000</c:v>
                </c:pt>
                <c:pt idx="13">
                  <c:v>2001</c:v>
                </c:pt>
                <c:pt idx="14">
                  <c:v>2002</c:v>
                </c:pt>
                <c:pt idx="15">
                  <c:v>2003</c:v>
                </c:pt>
                <c:pt idx="16">
                  <c:v>2004</c:v>
                </c:pt>
                <c:pt idx="17">
                  <c:v>2005</c:v>
                </c:pt>
                <c:pt idx="18">
                  <c:v>2006</c:v>
                </c:pt>
                <c:pt idx="19">
                  <c:v>2007</c:v>
                </c:pt>
                <c:pt idx="20">
                  <c:v>2008</c:v>
                </c:pt>
                <c:pt idx="21">
                  <c:v>2009</c:v>
                </c:pt>
                <c:pt idx="22">
                  <c:v>2010</c:v>
                </c:pt>
                <c:pt idx="23">
                  <c:v>2011</c:v>
                </c:pt>
                <c:pt idx="24">
                  <c:v>2012</c:v>
                </c:pt>
                <c:pt idx="25">
                  <c:v>2013</c:v>
                </c:pt>
                <c:pt idx="26">
                  <c:v>2014</c:v>
                </c:pt>
                <c:pt idx="27">
                  <c:v>2015</c:v>
                </c:pt>
                <c:pt idx="28">
                  <c:v>2016</c:v>
                </c:pt>
                <c:pt idx="29">
                  <c:v>2017</c:v>
                </c:pt>
                <c:pt idx="30">
                  <c:v>2018</c:v>
                </c:pt>
                <c:pt idx="31">
                  <c:v>2019</c:v>
                </c:pt>
                <c:pt idx="32">
                  <c:v>2020</c:v>
                </c:pt>
                <c:pt idx="33">
                  <c:v>2021</c:v>
                </c:pt>
                <c:pt idx="34">
                  <c:v>2022</c:v>
                </c:pt>
                <c:pt idx="35">
                  <c:v>2023</c:v>
                </c:pt>
                <c:pt idx="36">
                  <c:v>2024</c:v>
                </c:pt>
                <c:pt idx="37">
                  <c:v>2025</c:v>
                </c:pt>
                <c:pt idx="38">
                  <c:v>2026</c:v>
                </c:pt>
              </c:numCache>
            </c:numRef>
          </c:cat>
          <c:val>
            <c:numRef>
              <c:f>부곡동20년!$L$230:$AW$230</c:f>
              <c:numCache>
                <c:formatCode>General</c:formatCode>
                <c:ptCount val="38"/>
                <c:pt idx="19" formatCode="_-* #,##0_-;\-* #,##0_-;_-* &quot;-&quot;_-;_-@_-">
                  <c:v>7609</c:v>
                </c:pt>
                <c:pt idx="20" formatCode="_-* #,##0_-;\-* #,##0_-;_-* &quot;-&quot;_-;_-@_-">
                  <c:v>8596</c:v>
                </c:pt>
                <c:pt idx="21" formatCode="_-* #,##0_-;\-* #,##0_-;_-* &quot;-&quot;_-;_-@_-">
                  <c:v>8625</c:v>
                </c:pt>
                <c:pt idx="22" formatCode="_-* #,##0_-;\-* #,##0_-;_-* &quot;-&quot;_-;_-@_-">
                  <c:v>8654</c:v>
                </c:pt>
                <c:pt idx="23" formatCode="_-* #,##0_-;\-* #,##0_-;_-* &quot;-&quot;_-;_-@_-">
                  <c:v>8682</c:v>
                </c:pt>
                <c:pt idx="24" formatCode="_-* #,##0_-;\-* #,##0_-;_-* &quot;-&quot;_-;_-@_-">
                  <c:v>8711</c:v>
                </c:pt>
                <c:pt idx="25" formatCode="_-* #,##0_-;\-* #,##0_-;_-* &quot;-&quot;_-;_-@_-">
                  <c:v>8740</c:v>
                </c:pt>
                <c:pt idx="26" formatCode="_-* #,##0_-;\-* #,##0_-;_-* &quot;-&quot;_-;_-@_-">
                  <c:v>8769</c:v>
                </c:pt>
                <c:pt idx="27" formatCode="_-* #,##0_-;\-* #,##0_-;_-* &quot;-&quot;_-;_-@_-">
                  <c:v>8797</c:v>
                </c:pt>
                <c:pt idx="28" formatCode="_-* #,##0_-;\-* #,##0_-;_-* &quot;-&quot;_-;_-@_-">
                  <c:v>8826</c:v>
                </c:pt>
                <c:pt idx="29" formatCode="_-* #,##0_-;\-* #,##0_-;_-* &quot;-&quot;_-;_-@_-">
                  <c:v>8855</c:v>
                </c:pt>
                <c:pt idx="30" formatCode="_-* #,##0_-;\-* #,##0_-;_-* &quot;-&quot;_-;_-@_-">
                  <c:v>8884</c:v>
                </c:pt>
                <c:pt idx="31" formatCode="_-* #,##0_-;\-* #,##0_-;_-* &quot;-&quot;_-;_-@_-">
                  <c:v>8913</c:v>
                </c:pt>
                <c:pt idx="32" formatCode="_-* #,##0_-;\-* #,##0_-;_-* &quot;-&quot;_-;_-@_-">
                  <c:v>8942</c:v>
                </c:pt>
                <c:pt idx="33" formatCode="_-* #,##0_-;\-* #,##0_-;_-* &quot;-&quot;_-;_-@_-">
                  <c:v>8970</c:v>
                </c:pt>
                <c:pt idx="34" formatCode="_-* #,##0_-;\-* #,##0_-;_-* &quot;-&quot;_-;_-@_-">
                  <c:v>8999</c:v>
                </c:pt>
                <c:pt idx="35" formatCode="_-* #,##0_-;\-* #,##0_-;_-* &quot;-&quot;_-;_-@_-">
                  <c:v>9028</c:v>
                </c:pt>
                <c:pt idx="36" formatCode="_-* #,##0_-;\-* #,##0_-;_-* &quot;-&quot;_-;_-@_-">
                  <c:v>9057</c:v>
                </c:pt>
                <c:pt idx="37" formatCode="_-* #,##0_-;\-* #,##0_-;_-* &quot;-&quot;_-;_-@_-">
                  <c:v>9086</c:v>
                </c:pt>
              </c:numCache>
            </c:numRef>
          </c:val>
        </c:ser>
        <c:ser>
          <c:idx val="5"/>
          <c:order val="3"/>
          <c:tx>
            <c:v>평균(최대최소제외)</c:v>
          </c:tx>
          <c:spPr>
            <a:ln w="3175">
              <a:solidFill>
                <a:srgbClr val="800000"/>
              </a:solidFill>
              <a:prstDash val="sysDash"/>
            </a:ln>
          </c:spPr>
          <c:marker>
            <c:symbol val="circle"/>
            <c:size val="3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부곡동20년!$L$225:$AX$225</c:f>
              <c:numCache>
                <c:formatCode>General</c:formatCode>
                <c:ptCount val="39"/>
                <c:pt idx="0">
                  <c:v>1988</c:v>
                </c:pt>
                <c:pt idx="1">
                  <c:v>1989</c:v>
                </c:pt>
                <c:pt idx="2">
                  <c:v>1990</c:v>
                </c:pt>
                <c:pt idx="3">
                  <c:v>1991</c:v>
                </c:pt>
                <c:pt idx="4">
                  <c:v>1992</c:v>
                </c:pt>
                <c:pt idx="5">
                  <c:v>1993</c:v>
                </c:pt>
                <c:pt idx="6">
                  <c:v>1994</c:v>
                </c:pt>
                <c:pt idx="7">
                  <c:v>1995</c:v>
                </c:pt>
                <c:pt idx="8">
                  <c:v>1996</c:v>
                </c:pt>
                <c:pt idx="9">
                  <c:v>1997</c:v>
                </c:pt>
                <c:pt idx="10">
                  <c:v>1998</c:v>
                </c:pt>
                <c:pt idx="11">
                  <c:v>1999</c:v>
                </c:pt>
                <c:pt idx="12">
                  <c:v>2000</c:v>
                </c:pt>
                <c:pt idx="13">
                  <c:v>2001</c:v>
                </c:pt>
                <c:pt idx="14">
                  <c:v>2002</c:v>
                </c:pt>
                <c:pt idx="15">
                  <c:v>2003</c:v>
                </c:pt>
                <c:pt idx="16">
                  <c:v>2004</c:v>
                </c:pt>
                <c:pt idx="17">
                  <c:v>2005</c:v>
                </c:pt>
                <c:pt idx="18">
                  <c:v>2006</c:v>
                </c:pt>
                <c:pt idx="19">
                  <c:v>2007</c:v>
                </c:pt>
                <c:pt idx="20">
                  <c:v>2008</c:v>
                </c:pt>
                <c:pt idx="21">
                  <c:v>2009</c:v>
                </c:pt>
                <c:pt idx="22">
                  <c:v>2010</c:v>
                </c:pt>
                <c:pt idx="23">
                  <c:v>2011</c:v>
                </c:pt>
                <c:pt idx="24">
                  <c:v>2012</c:v>
                </c:pt>
                <c:pt idx="25">
                  <c:v>2013</c:v>
                </c:pt>
                <c:pt idx="26">
                  <c:v>2014</c:v>
                </c:pt>
                <c:pt idx="27">
                  <c:v>2015</c:v>
                </c:pt>
                <c:pt idx="28">
                  <c:v>2016</c:v>
                </c:pt>
                <c:pt idx="29">
                  <c:v>2017</c:v>
                </c:pt>
                <c:pt idx="30">
                  <c:v>2018</c:v>
                </c:pt>
                <c:pt idx="31">
                  <c:v>2019</c:v>
                </c:pt>
                <c:pt idx="32">
                  <c:v>2020</c:v>
                </c:pt>
                <c:pt idx="33">
                  <c:v>2021</c:v>
                </c:pt>
                <c:pt idx="34">
                  <c:v>2022</c:v>
                </c:pt>
                <c:pt idx="35">
                  <c:v>2023</c:v>
                </c:pt>
                <c:pt idx="36">
                  <c:v>2024</c:v>
                </c:pt>
                <c:pt idx="37">
                  <c:v>2025</c:v>
                </c:pt>
                <c:pt idx="38">
                  <c:v>2026</c:v>
                </c:pt>
              </c:numCache>
            </c:numRef>
          </c:cat>
          <c:val>
            <c:numRef>
              <c:f>부곡동20년!$L$231:$AV$231</c:f>
              <c:numCache>
                <c:formatCode>General</c:formatCode>
                <c:ptCount val="37"/>
                <c:pt idx="19" formatCode="_-* #,##0_-;\-* #,##0_-;_-* &quot;-&quot;_-;_-@_-">
                  <c:v>7609</c:v>
                </c:pt>
                <c:pt idx="20" formatCode="#,##0_ ">
                  <c:v>8118.5</c:v>
                </c:pt>
                <c:pt idx="21" formatCode="#,##0_ ">
                  <c:v>8150.5</c:v>
                </c:pt>
                <c:pt idx="22" formatCode="#,##0_ ">
                  <c:v>8182</c:v>
                </c:pt>
                <c:pt idx="23" formatCode="#,##0_ ">
                  <c:v>8214</c:v>
                </c:pt>
                <c:pt idx="24" formatCode="#,##0_ ">
                  <c:v>8246</c:v>
                </c:pt>
                <c:pt idx="25" formatCode="#,##0_ ">
                  <c:v>8277.5</c:v>
                </c:pt>
                <c:pt idx="26" formatCode="#,##0_ ">
                  <c:v>8310</c:v>
                </c:pt>
                <c:pt idx="27" formatCode="#,##0_ ">
                  <c:v>8342</c:v>
                </c:pt>
                <c:pt idx="28" formatCode="#,##0_ ">
                  <c:v>8374</c:v>
                </c:pt>
                <c:pt idx="29" formatCode="#,##0_ ">
                  <c:v>8406</c:v>
                </c:pt>
                <c:pt idx="30" formatCode="#,##0_ ">
                  <c:v>8439</c:v>
                </c:pt>
                <c:pt idx="31" formatCode="#,##0_ ">
                  <c:v>8471</c:v>
                </c:pt>
                <c:pt idx="32" formatCode="#,##0_ ">
                  <c:v>8504</c:v>
                </c:pt>
                <c:pt idx="33" formatCode="#,##0_ ">
                  <c:v>8536</c:v>
                </c:pt>
                <c:pt idx="34" formatCode="#,##0_ ">
                  <c:v>8569</c:v>
                </c:pt>
                <c:pt idx="35" formatCode="#,##0_ ">
                  <c:v>8601.5</c:v>
                </c:pt>
                <c:pt idx="36" formatCode="#,##0_ ">
                  <c:v>8635</c:v>
                </c:pt>
              </c:numCache>
            </c:numRef>
          </c:val>
        </c:ser>
        <c:ser>
          <c:idx val="6"/>
          <c:order val="4"/>
          <c:tx>
            <c:v>과거</c:v>
          </c:tx>
          <c:spPr>
            <a:ln w="12700">
              <a:solidFill>
                <a:srgbClr val="008080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008080"/>
                </a:solidFill>
                <a:prstDash val="solid"/>
              </a:ln>
            </c:spPr>
          </c:marker>
          <c:cat>
            <c:numRef>
              <c:f>부곡동20년!$L$225:$AX$225</c:f>
              <c:numCache>
                <c:formatCode>General</c:formatCode>
                <c:ptCount val="39"/>
                <c:pt idx="0">
                  <c:v>1988</c:v>
                </c:pt>
                <c:pt idx="1">
                  <c:v>1989</c:v>
                </c:pt>
                <c:pt idx="2">
                  <c:v>1990</c:v>
                </c:pt>
                <c:pt idx="3">
                  <c:v>1991</c:v>
                </c:pt>
                <c:pt idx="4">
                  <c:v>1992</c:v>
                </c:pt>
                <c:pt idx="5">
                  <c:v>1993</c:v>
                </c:pt>
                <c:pt idx="6">
                  <c:v>1994</c:v>
                </c:pt>
                <c:pt idx="7">
                  <c:v>1995</c:v>
                </c:pt>
                <c:pt idx="8">
                  <c:v>1996</c:v>
                </c:pt>
                <c:pt idx="9">
                  <c:v>1997</c:v>
                </c:pt>
                <c:pt idx="10">
                  <c:v>1998</c:v>
                </c:pt>
                <c:pt idx="11">
                  <c:v>1999</c:v>
                </c:pt>
                <c:pt idx="12">
                  <c:v>2000</c:v>
                </c:pt>
                <c:pt idx="13">
                  <c:v>2001</c:v>
                </c:pt>
                <c:pt idx="14">
                  <c:v>2002</c:v>
                </c:pt>
                <c:pt idx="15">
                  <c:v>2003</c:v>
                </c:pt>
                <c:pt idx="16">
                  <c:v>2004</c:v>
                </c:pt>
                <c:pt idx="17">
                  <c:v>2005</c:v>
                </c:pt>
                <c:pt idx="18">
                  <c:v>2006</c:v>
                </c:pt>
                <c:pt idx="19">
                  <c:v>2007</c:v>
                </c:pt>
                <c:pt idx="20">
                  <c:v>2008</c:v>
                </c:pt>
                <c:pt idx="21">
                  <c:v>2009</c:v>
                </c:pt>
                <c:pt idx="22">
                  <c:v>2010</c:v>
                </c:pt>
                <c:pt idx="23">
                  <c:v>2011</c:v>
                </c:pt>
                <c:pt idx="24">
                  <c:v>2012</c:v>
                </c:pt>
                <c:pt idx="25">
                  <c:v>2013</c:v>
                </c:pt>
                <c:pt idx="26">
                  <c:v>2014</c:v>
                </c:pt>
                <c:pt idx="27">
                  <c:v>2015</c:v>
                </c:pt>
                <c:pt idx="28">
                  <c:v>2016</c:v>
                </c:pt>
                <c:pt idx="29">
                  <c:v>2017</c:v>
                </c:pt>
                <c:pt idx="30">
                  <c:v>2018</c:v>
                </c:pt>
                <c:pt idx="31">
                  <c:v>2019</c:v>
                </c:pt>
                <c:pt idx="32">
                  <c:v>2020</c:v>
                </c:pt>
                <c:pt idx="33">
                  <c:v>2021</c:v>
                </c:pt>
                <c:pt idx="34">
                  <c:v>2022</c:v>
                </c:pt>
                <c:pt idx="35">
                  <c:v>2023</c:v>
                </c:pt>
                <c:pt idx="36">
                  <c:v>2024</c:v>
                </c:pt>
                <c:pt idx="37">
                  <c:v>2025</c:v>
                </c:pt>
                <c:pt idx="38">
                  <c:v>2026</c:v>
                </c:pt>
              </c:numCache>
            </c:numRef>
          </c:cat>
          <c:val>
            <c:numRef>
              <c:f>부곡동20년!$L$223:$AG$223</c:f>
              <c:numCache>
                <c:formatCode>_-* #,##0_-;\-* #,##0_-;_-* "-"_-;_-@_-</c:formatCode>
                <c:ptCount val="22"/>
                <c:pt idx="0" formatCode="General">
                  <c:v>6964</c:v>
                </c:pt>
                <c:pt idx="1">
                  <c:v>7042</c:v>
                </c:pt>
                <c:pt idx="2" formatCode="General">
                  <c:v>7161</c:v>
                </c:pt>
                <c:pt idx="3">
                  <c:v>7805</c:v>
                </c:pt>
                <c:pt idx="4" formatCode="General">
                  <c:v>8124</c:v>
                </c:pt>
                <c:pt idx="5">
                  <c:v>8360</c:v>
                </c:pt>
                <c:pt idx="6">
                  <c:v>8694</c:v>
                </c:pt>
                <c:pt idx="7">
                  <c:v>9120</c:v>
                </c:pt>
                <c:pt idx="8">
                  <c:v>9371</c:v>
                </c:pt>
                <c:pt idx="9">
                  <c:v>9504</c:v>
                </c:pt>
                <c:pt idx="10">
                  <c:v>9329</c:v>
                </c:pt>
                <c:pt idx="11">
                  <c:v>9142</c:v>
                </c:pt>
                <c:pt idx="12">
                  <c:v>8940</c:v>
                </c:pt>
                <c:pt idx="13">
                  <c:v>8630</c:v>
                </c:pt>
                <c:pt idx="14">
                  <c:v>8501</c:v>
                </c:pt>
                <c:pt idx="15">
                  <c:v>8223</c:v>
                </c:pt>
                <c:pt idx="16">
                  <c:v>8067</c:v>
                </c:pt>
                <c:pt idx="17">
                  <c:v>7803</c:v>
                </c:pt>
                <c:pt idx="18">
                  <c:v>7699</c:v>
                </c:pt>
                <c:pt idx="19">
                  <c:v>7609</c:v>
                </c:pt>
                <c:pt idx="20">
                  <c:v>8596</c:v>
                </c:pt>
              </c:numCache>
            </c:numRef>
          </c:val>
        </c:ser>
        <c:ser>
          <c:idx val="2"/>
          <c:order val="5"/>
          <c:tx>
            <c:v>등비</c:v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FF0000"/>
                </a:solidFill>
                <a:prstDash val="solid"/>
              </a:ln>
            </c:spPr>
          </c:marker>
          <c:val>
            <c:numRef>
              <c:f>부곡동20년!$L$228:$AW$228</c:f>
              <c:numCache>
                <c:formatCode>General</c:formatCode>
                <c:ptCount val="38"/>
                <c:pt idx="19" formatCode="_-* #,##0_-;\-* #,##0_-;_-* &quot;-&quot;_-;_-@_-">
                  <c:v>7609</c:v>
                </c:pt>
                <c:pt idx="20" formatCode="_-* #,##0_-;\-* #,##0_-;_-* &quot;-&quot;_-;_-@_-">
                  <c:v>7644</c:v>
                </c:pt>
                <c:pt idx="21" formatCode="_-* #,##0_-;\-* #,##0_-;_-* &quot;-&quot;_-;_-@_-">
                  <c:v>7680</c:v>
                </c:pt>
                <c:pt idx="22" formatCode="_-* #,##0_-;\-* #,##0_-;_-* &quot;-&quot;_-;_-@_-">
                  <c:v>7716</c:v>
                </c:pt>
                <c:pt idx="23" formatCode="_-* #,##0_-;\-* #,##0_-;_-* &quot;-&quot;_-;_-@_-">
                  <c:v>7752</c:v>
                </c:pt>
                <c:pt idx="24" formatCode="_-* #,##0_-;\-* #,##0_-;_-* &quot;-&quot;_-;_-@_-">
                  <c:v>7788</c:v>
                </c:pt>
                <c:pt idx="25" formatCode="_-* #,##0_-;\-* #,##0_-;_-* &quot;-&quot;_-;_-@_-">
                  <c:v>7824</c:v>
                </c:pt>
                <c:pt idx="26" formatCode="_-* #,##0_-;\-* #,##0_-;_-* &quot;-&quot;_-;_-@_-">
                  <c:v>7861</c:v>
                </c:pt>
                <c:pt idx="27" formatCode="_-* #,##0_-;\-* #,##0_-;_-* &quot;-&quot;_-;_-@_-">
                  <c:v>7898</c:v>
                </c:pt>
                <c:pt idx="28" formatCode="_-* #,##0_-;\-* #,##0_-;_-* &quot;-&quot;_-;_-@_-">
                  <c:v>7934</c:v>
                </c:pt>
                <c:pt idx="29" formatCode="_-* #,##0_-;\-* #,##0_-;_-* &quot;-&quot;_-;_-@_-">
                  <c:v>7971</c:v>
                </c:pt>
                <c:pt idx="30" formatCode="_-* #,##0_-;\-* #,##0_-;_-* &quot;-&quot;_-;_-@_-">
                  <c:v>8009</c:v>
                </c:pt>
                <c:pt idx="31" formatCode="_-* #,##0_-;\-* #,##0_-;_-* &quot;-&quot;_-;_-@_-">
                  <c:v>8046</c:v>
                </c:pt>
                <c:pt idx="32" formatCode="_-* #,##0_-;\-* #,##0_-;_-* &quot;-&quot;_-;_-@_-">
                  <c:v>8084</c:v>
                </c:pt>
                <c:pt idx="33" formatCode="_-* #,##0_-;\-* #,##0_-;_-* &quot;-&quot;_-;_-@_-">
                  <c:v>8121</c:v>
                </c:pt>
                <c:pt idx="34" formatCode="_-* #,##0_-;\-* #,##0_-;_-* &quot;-&quot;_-;_-@_-">
                  <c:v>8159</c:v>
                </c:pt>
                <c:pt idx="35" formatCode="_-* #,##0_-;\-* #,##0_-;_-* &quot;-&quot;_-;_-@_-">
                  <c:v>8197</c:v>
                </c:pt>
                <c:pt idx="36" formatCode="_-* #,##0_-;\-* #,##0_-;_-* &quot;-&quot;_-;_-@_-">
                  <c:v>8236</c:v>
                </c:pt>
                <c:pt idx="37" formatCode="_-* #,##0_-;\-* #,##0_-;_-* &quot;-&quot;_-;_-@_-">
                  <c:v>8274</c:v>
                </c:pt>
              </c:numCache>
            </c:numRef>
          </c:val>
        </c:ser>
        <c:marker val="1"/>
        <c:axId val="129315968"/>
        <c:axId val="129318272"/>
      </c:lineChart>
      <c:catAx>
        <c:axId val="129315968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875" b="0" i="0" u="none" strike="noStrike" baseline="0">
                    <a:solidFill>
                      <a:srgbClr val="000000"/>
                    </a:solidFill>
                    <a:latin typeface="돋움"/>
                    <a:ea typeface="돋움"/>
                    <a:cs typeface="돋움"/>
                  </a:defRPr>
                </a:pPr>
                <a:r>
                  <a:rPr altLang="en-US"/>
                  <a:t>연도</a:t>
                </a:r>
              </a:p>
            </c:rich>
          </c:tx>
          <c:layout>
            <c:manualLayout>
              <c:xMode val="edge"/>
              <c:yMode val="edge"/>
              <c:x val="0.50336346409613442"/>
              <c:y val="0.81939243336028011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maj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돋움"/>
                <a:ea typeface="돋움"/>
                <a:cs typeface="돋움"/>
              </a:defRPr>
            </a:pPr>
            <a:endParaRPr lang="ko-KR"/>
          </a:p>
        </c:txPr>
        <c:crossAx val="129318272"/>
        <c:crosses val="autoZero"/>
        <c:auto val="1"/>
        <c:lblAlgn val="ctr"/>
        <c:lblOffset val="100"/>
        <c:tickLblSkip val="2"/>
        <c:tickMarkSkip val="1"/>
      </c:catAx>
      <c:valAx>
        <c:axId val="129318272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맑은 고딕"/>
                    <a:ea typeface="맑은 고딕"/>
                    <a:cs typeface="맑은 고딕"/>
                  </a:defRPr>
                </a:pPr>
                <a:r>
                  <a:rPr lang="ko-KR" altLang="en-US" sz="875" b="0" i="0" strike="noStrike">
                    <a:solidFill>
                      <a:srgbClr val="000000"/>
                    </a:solidFill>
                    <a:latin typeface="돋움"/>
                    <a:ea typeface="돋움"/>
                  </a:rPr>
                  <a:t>인구</a:t>
                </a:r>
                <a:r>
                  <a:rPr lang="en-US" altLang="ko-KR" sz="875" b="0" i="0" strike="noStrike">
                    <a:solidFill>
                      <a:srgbClr val="000000"/>
                    </a:solidFill>
                    <a:latin typeface="돋움"/>
                    <a:ea typeface="돋움"/>
                  </a:rPr>
                  <a:t>(</a:t>
                </a:r>
                <a:r>
                  <a:rPr lang="ko-KR" altLang="en-US" sz="875" b="0" i="0" strike="noStrike">
                    <a:solidFill>
                      <a:srgbClr val="000000"/>
                    </a:solidFill>
                    <a:latin typeface="돋움"/>
                    <a:ea typeface="돋움"/>
                  </a:rPr>
                  <a:t>명</a:t>
                </a:r>
                <a:r>
                  <a:rPr lang="en-US" altLang="ko-KR" sz="875" b="0" i="0" strike="noStrike">
                    <a:solidFill>
                      <a:srgbClr val="000000"/>
                    </a:solidFill>
                    <a:latin typeface="돋움"/>
                    <a:ea typeface="돋움"/>
                  </a:rPr>
                  <a:t>)</a:t>
                </a:r>
              </a:p>
            </c:rich>
          </c:tx>
          <c:layout>
            <c:manualLayout>
              <c:xMode val="edge"/>
              <c:yMode val="edge"/>
              <c:x val="2.5784753363228687E-2"/>
              <c:y val="0.38212967675618492"/>
            </c:manualLayout>
          </c:layout>
          <c:spPr>
            <a:noFill/>
            <a:ln w="25400">
              <a:noFill/>
            </a:ln>
          </c:spPr>
        </c:title>
        <c:numFmt formatCode="#,##0_ " sourceLinked="0"/>
        <c:maj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돋움"/>
                <a:ea typeface="돋움"/>
                <a:cs typeface="돋움"/>
              </a:defRPr>
            </a:pPr>
            <a:endParaRPr lang="ko-KR"/>
          </a:p>
        </c:txPr>
        <c:crossAx val="129315968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wMode val="edge"/>
          <c:hMode val="edge"/>
          <c:x val="0.12668173204806787"/>
          <c:y val="0.89733920142111512"/>
          <c:w val="0.91479879476948922"/>
          <c:h val="0.95817570332225577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돋움"/>
              <a:ea typeface="돋움"/>
              <a:cs typeface="돋움"/>
            </a:defRPr>
          </a:pPr>
          <a:endParaRPr lang="ko-KR"/>
        </a:p>
      </c:txPr>
    </c:legend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75" b="0" i="0" u="none" strike="noStrike" baseline="0">
          <a:solidFill>
            <a:srgbClr val="000000"/>
          </a:solidFill>
          <a:latin typeface="돋움"/>
          <a:ea typeface="돋움"/>
          <a:cs typeface="돋움"/>
        </a:defRPr>
      </a:pPr>
      <a:endParaRPr lang="ko-KR"/>
    </a:p>
  </c:txPr>
  <c:printSettings>
    <c:headerFooter alignWithMargins="0"/>
    <c:pageMargins b="1" l="0.75000000000000144" r="0.75000000000000144" t="1" header="0.5" footer="0.5"/>
    <c:pageSetup paperSize="9" orientation="landscape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ko-KR"/>
  <c:chart>
    <c:title>
      <c:tx>
        <c:rich>
          <a:bodyPr/>
          <a:lstStyle/>
          <a:p>
            <a:pPr>
              <a:defRPr sz="1175" b="1" i="0" u="none" strike="noStrike" baseline="0">
                <a:solidFill>
                  <a:srgbClr val="000000"/>
                </a:solidFill>
                <a:latin typeface="돋움"/>
                <a:ea typeface="돋움"/>
                <a:cs typeface="돋움"/>
              </a:defRPr>
            </a:pPr>
            <a:r>
              <a:rPr altLang="en-US"/>
              <a:t>부곡동</a:t>
            </a:r>
          </a:p>
        </c:rich>
      </c:tx>
      <c:layout>
        <c:manualLayout>
          <c:xMode val="edge"/>
          <c:yMode val="edge"/>
          <c:x val="0.46861010086743682"/>
          <c:y val="2.8517110266159756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0426014675815599"/>
          <c:y val="9.3155980012012529E-2"/>
          <c:w val="0.830717943524659"/>
          <c:h val="0.67680671192400665"/>
        </c:manualLayout>
      </c:layout>
      <c:lineChart>
        <c:grouping val="standard"/>
        <c:ser>
          <c:idx val="0"/>
          <c:order val="0"/>
          <c:tx>
            <c:v>등차</c:v>
          </c:tx>
          <c:spPr>
            <a:ln w="3175">
              <a:solidFill>
                <a:srgbClr val="000080"/>
              </a:solidFill>
              <a:prstDash val="solid"/>
            </a:ln>
          </c:spPr>
          <c:marker>
            <c:symbol val="diamond"/>
            <c:size val="3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부곡동10!$L$181:$AO$181</c:f>
              <c:numCache>
                <c:formatCode>General</c:formatCode>
                <c:ptCount val="30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  <c:pt idx="22">
                  <c:v>2019</c:v>
                </c:pt>
                <c:pt idx="23">
                  <c:v>2020</c:v>
                </c:pt>
                <c:pt idx="24">
                  <c:v>2021</c:v>
                </c:pt>
                <c:pt idx="25">
                  <c:v>2022</c:v>
                </c:pt>
                <c:pt idx="26">
                  <c:v>2023</c:v>
                </c:pt>
                <c:pt idx="27">
                  <c:v>2024</c:v>
                </c:pt>
                <c:pt idx="28">
                  <c:v>2025</c:v>
                </c:pt>
                <c:pt idx="29">
                  <c:v>2026</c:v>
                </c:pt>
              </c:numCache>
            </c:numRef>
          </c:cat>
          <c:val>
            <c:numRef>
              <c:f>부곡동10!$L$182:$AN$182</c:f>
              <c:numCache>
                <c:formatCode>General</c:formatCode>
                <c:ptCount val="29"/>
                <c:pt idx="10" formatCode="_-* #,##0_-;\-* #,##0_-;_-* &quot;-&quot;_-;_-@_-">
                  <c:v>7609</c:v>
                </c:pt>
                <c:pt idx="11" formatCode="_-* #,##0_-;\-* #,##0_-;_-* &quot;-&quot;_-;_-@_-">
                  <c:v>7420</c:v>
                </c:pt>
                <c:pt idx="12" formatCode="_-* #,##0_-;\-* #,##0_-;_-* &quot;-&quot;_-;_-@_-">
                  <c:v>7230</c:v>
                </c:pt>
                <c:pt idx="13" formatCode="_-* #,##0_-;\-* #,##0_-;_-* &quot;-&quot;_-;_-@_-">
                  <c:v>7041</c:v>
                </c:pt>
                <c:pt idx="14" formatCode="_-* #,##0_-;\-* #,##0_-;_-* &quot;-&quot;_-;_-@_-">
                  <c:v>6851</c:v>
                </c:pt>
                <c:pt idx="15" formatCode="_-* #,##0_-;\-* #,##0_-;_-* &quot;-&quot;_-;_-@_-">
                  <c:v>6662</c:v>
                </c:pt>
                <c:pt idx="16" formatCode="_-* #,##0_-;\-* #,##0_-;_-* &quot;-&quot;_-;_-@_-">
                  <c:v>6472</c:v>
                </c:pt>
                <c:pt idx="17" formatCode="_-* #,##0_-;\-* #,##0_-;_-* &quot;-&quot;_-;_-@_-">
                  <c:v>6283</c:v>
                </c:pt>
                <c:pt idx="18" formatCode="_-* #,##0_-;\-* #,##0_-;_-* &quot;-&quot;_-;_-@_-">
                  <c:v>6093</c:v>
                </c:pt>
                <c:pt idx="19" formatCode="_-* #,##0_-;\-* #,##0_-;_-* &quot;-&quot;_-;_-@_-">
                  <c:v>5904</c:v>
                </c:pt>
                <c:pt idx="20" formatCode="_-* #,##0_-;\-* #,##0_-;_-* &quot;-&quot;_-;_-@_-">
                  <c:v>5714</c:v>
                </c:pt>
                <c:pt idx="21" formatCode="_-* #,##0_-;\-* #,##0_-;_-* &quot;-&quot;_-;_-@_-">
                  <c:v>5525</c:v>
                </c:pt>
                <c:pt idx="22" formatCode="_-* #,##0_-;\-* #,##0_-;_-* &quot;-&quot;_-;_-@_-">
                  <c:v>5335</c:v>
                </c:pt>
                <c:pt idx="23" formatCode="_-* #,##0_-;\-* #,##0_-;_-* &quot;-&quot;_-;_-@_-">
                  <c:v>5146</c:v>
                </c:pt>
                <c:pt idx="24" formatCode="_-* #,##0_-;\-* #,##0_-;_-* &quot;-&quot;_-;_-@_-">
                  <c:v>4956</c:v>
                </c:pt>
                <c:pt idx="25" formatCode="_-* #,##0_-;\-* #,##0_-;_-* &quot;-&quot;_-;_-@_-">
                  <c:v>4767</c:v>
                </c:pt>
                <c:pt idx="26" formatCode="_-* #,##0_-;\-* #,##0_-;_-* &quot;-&quot;_-;_-@_-">
                  <c:v>4577</c:v>
                </c:pt>
                <c:pt idx="27" formatCode="_-* #,##0_-;\-* #,##0_-;_-* &quot;-&quot;_-;_-@_-">
                  <c:v>4388</c:v>
                </c:pt>
                <c:pt idx="28" formatCode="_-* #,##0_-;\-* #,##0_-;_-* &quot;-&quot;_-;_-@_-">
                  <c:v>4198</c:v>
                </c:pt>
              </c:numCache>
            </c:numRef>
          </c:val>
        </c:ser>
        <c:ser>
          <c:idx val="1"/>
          <c:order val="1"/>
          <c:tx>
            <c:v>최소</c:v>
          </c:tx>
          <c:spPr>
            <a:ln w="3175">
              <a:solidFill>
                <a:srgbClr val="FF00FF"/>
              </a:solidFill>
              <a:prstDash val="solid"/>
            </a:ln>
          </c:spPr>
          <c:marker>
            <c:symbol val="square"/>
            <c:size val="3"/>
            <c:spPr>
              <a:noFill/>
              <a:ln>
                <a:solidFill>
                  <a:srgbClr val="FF00FF"/>
                </a:solidFill>
                <a:prstDash val="solid"/>
              </a:ln>
            </c:spPr>
          </c:marker>
          <c:cat>
            <c:numRef>
              <c:f>부곡동10!$L$181:$AO$181</c:f>
              <c:numCache>
                <c:formatCode>General</c:formatCode>
                <c:ptCount val="30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  <c:pt idx="22">
                  <c:v>2019</c:v>
                </c:pt>
                <c:pt idx="23">
                  <c:v>2020</c:v>
                </c:pt>
                <c:pt idx="24">
                  <c:v>2021</c:v>
                </c:pt>
                <c:pt idx="25">
                  <c:v>2022</c:v>
                </c:pt>
                <c:pt idx="26">
                  <c:v>2023</c:v>
                </c:pt>
                <c:pt idx="27">
                  <c:v>2024</c:v>
                </c:pt>
                <c:pt idx="28">
                  <c:v>2025</c:v>
                </c:pt>
                <c:pt idx="29">
                  <c:v>2026</c:v>
                </c:pt>
              </c:numCache>
            </c:numRef>
          </c:cat>
          <c:val>
            <c:numRef>
              <c:f>부곡동10!$L$183:$AN$183</c:f>
              <c:numCache>
                <c:formatCode>General</c:formatCode>
                <c:ptCount val="29"/>
                <c:pt idx="10" formatCode="_-* #,##0_-;\-* #,##0_-;_-* &quot;-&quot;_-;_-@_-">
                  <c:v>7609</c:v>
                </c:pt>
                <c:pt idx="11" formatCode="_-* #,##0_-;\-* #,##0_-;_-* &quot;-&quot;_-;_-@_-">
                  <c:v>7286</c:v>
                </c:pt>
                <c:pt idx="12" formatCode="_-* #,##0_-;\-* #,##0_-;_-* &quot;-&quot;_-;_-@_-">
                  <c:v>7085</c:v>
                </c:pt>
                <c:pt idx="13" formatCode="_-* #,##0_-;\-* #,##0_-;_-* &quot;-&quot;_-;_-@_-">
                  <c:v>6883</c:v>
                </c:pt>
                <c:pt idx="14" formatCode="_-* #,##0_-;\-* #,##0_-;_-* &quot;-&quot;_-;_-@_-">
                  <c:v>6682</c:v>
                </c:pt>
                <c:pt idx="15" formatCode="_-* #,##0_-;\-* #,##0_-;_-* &quot;-&quot;_-;_-@_-">
                  <c:v>6480</c:v>
                </c:pt>
                <c:pt idx="16" formatCode="_-* #,##0_-;\-* #,##0_-;_-* &quot;-&quot;_-;_-@_-">
                  <c:v>6279</c:v>
                </c:pt>
                <c:pt idx="17" formatCode="_-* #,##0_-;\-* #,##0_-;_-* &quot;-&quot;_-;_-@_-">
                  <c:v>6077</c:v>
                </c:pt>
                <c:pt idx="18" formatCode="_-* #,##0_-;\-* #,##0_-;_-* &quot;-&quot;_-;_-@_-">
                  <c:v>5876</c:v>
                </c:pt>
                <c:pt idx="19" formatCode="_-* #,##0_-;\-* #,##0_-;_-* &quot;-&quot;_-;_-@_-">
                  <c:v>5674</c:v>
                </c:pt>
                <c:pt idx="20" formatCode="_-* #,##0_-;\-* #,##0_-;_-* &quot;-&quot;_-;_-@_-">
                  <c:v>5473</c:v>
                </c:pt>
                <c:pt idx="21" formatCode="_-* #,##0_-;\-* #,##0_-;_-* &quot;-&quot;_-;_-@_-">
                  <c:v>5271</c:v>
                </c:pt>
                <c:pt idx="22" formatCode="_-* #,##0_-;\-* #,##0_-;_-* &quot;-&quot;_-;_-@_-">
                  <c:v>5070</c:v>
                </c:pt>
                <c:pt idx="23" formatCode="_-* #,##0_-;\-* #,##0_-;_-* &quot;-&quot;_-;_-@_-">
                  <c:v>4868</c:v>
                </c:pt>
                <c:pt idx="24" formatCode="_-* #,##0_-;\-* #,##0_-;_-* &quot;-&quot;_-;_-@_-">
                  <c:v>4667</c:v>
                </c:pt>
                <c:pt idx="25" formatCode="_-* #,##0_-;\-* #,##0_-;_-* &quot;-&quot;_-;_-@_-">
                  <c:v>4465</c:v>
                </c:pt>
                <c:pt idx="26" formatCode="_-* #,##0_-;\-* #,##0_-;_-* &quot;-&quot;_-;_-@_-">
                  <c:v>4264</c:v>
                </c:pt>
                <c:pt idx="27" formatCode="_-* #,##0_-;\-* #,##0_-;_-* &quot;-&quot;_-;_-@_-">
                  <c:v>4062</c:v>
                </c:pt>
                <c:pt idx="28" formatCode="_-* #,##0_-;\-* #,##0_-;_-* &quot;-&quot;_-;_-@_-">
                  <c:v>3861</c:v>
                </c:pt>
              </c:numCache>
            </c:numRef>
          </c:val>
        </c:ser>
        <c:ser>
          <c:idx val="4"/>
          <c:order val="2"/>
          <c:tx>
            <c:v>로지스틱</c:v>
          </c:tx>
          <c:spPr>
            <a:ln w="3175">
              <a:solidFill>
                <a:srgbClr val="800080"/>
              </a:solidFill>
              <a:prstDash val="solid"/>
            </a:ln>
          </c:spPr>
          <c:marker>
            <c:symbol val="circle"/>
            <c:size val="3"/>
            <c:spPr>
              <a:noFill/>
              <a:ln>
                <a:solidFill>
                  <a:srgbClr val="800080"/>
                </a:solidFill>
                <a:prstDash val="solid"/>
              </a:ln>
            </c:spPr>
          </c:marker>
          <c:cat>
            <c:numRef>
              <c:f>부곡동10!$L$181:$AO$181</c:f>
              <c:numCache>
                <c:formatCode>General</c:formatCode>
                <c:ptCount val="30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  <c:pt idx="22">
                  <c:v>2019</c:v>
                </c:pt>
                <c:pt idx="23">
                  <c:v>2020</c:v>
                </c:pt>
                <c:pt idx="24">
                  <c:v>2021</c:v>
                </c:pt>
                <c:pt idx="25">
                  <c:v>2022</c:v>
                </c:pt>
                <c:pt idx="26">
                  <c:v>2023</c:v>
                </c:pt>
                <c:pt idx="27">
                  <c:v>2024</c:v>
                </c:pt>
                <c:pt idx="28">
                  <c:v>2025</c:v>
                </c:pt>
                <c:pt idx="29">
                  <c:v>2026</c:v>
                </c:pt>
              </c:numCache>
            </c:numRef>
          </c:cat>
          <c:val>
            <c:numRef>
              <c:f>부곡동10!$L$186:$AN$186</c:f>
              <c:numCache>
                <c:formatCode>General</c:formatCode>
                <c:ptCount val="29"/>
                <c:pt idx="10" formatCode="_-* #,##0_-;\-* #,##0_-;_-* &quot;-&quot;_-;_-@_-">
                  <c:v>7609</c:v>
                </c:pt>
                <c:pt idx="11" formatCode="_-* #,##0_-;\-* #,##0_-;_-* &quot;-&quot;_-;_-@_-">
                  <c:v>7302</c:v>
                </c:pt>
                <c:pt idx="12" formatCode="_-* #,##0_-;\-* #,##0_-;_-* &quot;-&quot;_-;_-@_-">
                  <c:v>7110</c:v>
                </c:pt>
                <c:pt idx="13" formatCode="_-* #,##0_-;\-* #,##0_-;_-* &quot;-&quot;_-;_-@_-">
                  <c:v>6920</c:v>
                </c:pt>
                <c:pt idx="14" formatCode="_-* #,##0_-;\-* #,##0_-;_-* &quot;-&quot;_-;_-@_-">
                  <c:v>6732</c:v>
                </c:pt>
                <c:pt idx="15" formatCode="_-* #,##0_-;\-* #,##0_-;_-* &quot;-&quot;_-;_-@_-">
                  <c:v>6546</c:v>
                </c:pt>
                <c:pt idx="16" formatCode="_-* #,##0_-;\-* #,##0_-;_-* &quot;-&quot;_-;_-@_-">
                  <c:v>6363</c:v>
                </c:pt>
                <c:pt idx="17" formatCode="_-* #,##0_-;\-* #,##0_-;_-* &quot;-&quot;_-;_-@_-">
                  <c:v>6182</c:v>
                </c:pt>
                <c:pt idx="18" formatCode="_-* #,##0_-;\-* #,##0_-;_-* &quot;-&quot;_-;_-@_-">
                  <c:v>6004</c:v>
                </c:pt>
                <c:pt idx="19" formatCode="_-* #,##0_-;\-* #,##0_-;_-* &quot;-&quot;_-;_-@_-">
                  <c:v>5829</c:v>
                </c:pt>
                <c:pt idx="20" formatCode="_-* #,##0_-;\-* #,##0_-;_-* &quot;-&quot;_-;_-@_-">
                  <c:v>5657</c:v>
                </c:pt>
                <c:pt idx="21" formatCode="_-* #,##0_-;\-* #,##0_-;_-* &quot;-&quot;_-;_-@_-">
                  <c:v>5488</c:v>
                </c:pt>
                <c:pt idx="22" formatCode="_-* #,##0_-;\-* #,##0_-;_-* &quot;-&quot;_-;_-@_-">
                  <c:v>5322</c:v>
                </c:pt>
                <c:pt idx="23" formatCode="_-* #,##0_-;\-* #,##0_-;_-* &quot;-&quot;_-;_-@_-">
                  <c:v>5159</c:v>
                </c:pt>
                <c:pt idx="24" formatCode="_-* #,##0_-;\-* #,##0_-;_-* &quot;-&quot;_-;_-@_-">
                  <c:v>4999</c:v>
                </c:pt>
                <c:pt idx="25" formatCode="_-* #,##0_-;\-* #,##0_-;_-* &quot;-&quot;_-;_-@_-">
                  <c:v>4842</c:v>
                </c:pt>
                <c:pt idx="26" formatCode="_-* #,##0_-;\-* #,##0_-;_-* &quot;-&quot;_-;_-@_-">
                  <c:v>4688</c:v>
                </c:pt>
                <c:pt idx="27" formatCode="_-* #,##0_-;\-* #,##0_-;_-* &quot;-&quot;_-;_-@_-">
                  <c:v>4538</c:v>
                </c:pt>
                <c:pt idx="28" formatCode="_-* #,##0_-;\-* #,##0_-;_-* &quot;-&quot;_-;_-@_-">
                  <c:v>4392</c:v>
                </c:pt>
              </c:numCache>
            </c:numRef>
          </c:val>
        </c:ser>
        <c:ser>
          <c:idx val="5"/>
          <c:order val="3"/>
          <c:tx>
            <c:v>평균(최대최소제외)</c:v>
          </c:tx>
          <c:spPr>
            <a:ln w="3175">
              <a:solidFill>
                <a:srgbClr val="800000"/>
              </a:solidFill>
              <a:prstDash val="sysDash"/>
            </a:ln>
          </c:spPr>
          <c:marker>
            <c:symbol val="circle"/>
            <c:size val="3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부곡동10!$L$181:$AO$181</c:f>
              <c:numCache>
                <c:formatCode>General</c:formatCode>
                <c:ptCount val="30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  <c:pt idx="22">
                  <c:v>2019</c:v>
                </c:pt>
                <c:pt idx="23">
                  <c:v>2020</c:v>
                </c:pt>
                <c:pt idx="24">
                  <c:v>2021</c:v>
                </c:pt>
                <c:pt idx="25">
                  <c:v>2022</c:v>
                </c:pt>
                <c:pt idx="26">
                  <c:v>2023</c:v>
                </c:pt>
                <c:pt idx="27">
                  <c:v>2024</c:v>
                </c:pt>
                <c:pt idx="28">
                  <c:v>2025</c:v>
                </c:pt>
                <c:pt idx="29">
                  <c:v>2026</c:v>
                </c:pt>
              </c:numCache>
            </c:numRef>
          </c:cat>
          <c:val>
            <c:numRef>
              <c:f>부곡동10!$L$187:$AN$187</c:f>
              <c:numCache>
                <c:formatCode>General</c:formatCode>
                <c:ptCount val="29"/>
                <c:pt idx="10" formatCode="_-* #,##0_-;\-* #,##0_-;_-* &quot;-&quot;_-;_-@_-">
                  <c:v>7609</c:v>
                </c:pt>
                <c:pt idx="11" formatCode="_-* #,##0_-;\-* #,##0_-;_-* &quot;-&quot;_-;_-@_-">
                  <c:v>7362.5</c:v>
                </c:pt>
                <c:pt idx="12" formatCode="#,##0_ ">
                  <c:v>7175.8</c:v>
                </c:pt>
                <c:pt idx="13" formatCode="#,##0_ ">
                  <c:v>6990.5</c:v>
                </c:pt>
                <c:pt idx="14" formatCode="#,##0_ ">
                  <c:v>6732</c:v>
                </c:pt>
                <c:pt idx="15" formatCode="#,##0_ ">
                  <c:v>6546</c:v>
                </c:pt>
                <c:pt idx="16" formatCode="#,##0_ ">
                  <c:v>6363</c:v>
                </c:pt>
                <c:pt idx="17" formatCode="#,##0_ ">
                  <c:v>6182</c:v>
                </c:pt>
                <c:pt idx="18" formatCode="#,##0_ ">
                  <c:v>6004</c:v>
                </c:pt>
                <c:pt idx="19" formatCode="#,##0_ ">
                  <c:v>5829</c:v>
                </c:pt>
                <c:pt idx="20" formatCode="#,##0_ ">
                  <c:v>5657</c:v>
                </c:pt>
                <c:pt idx="21" formatCode="#,##0_ ">
                  <c:v>5488</c:v>
                </c:pt>
                <c:pt idx="22" formatCode="#,##0_ ">
                  <c:v>5322</c:v>
                </c:pt>
                <c:pt idx="23" formatCode="#,##0_ ">
                  <c:v>5159</c:v>
                </c:pt>
                <c:pt idx="24" formatCode="#,##0_ ">
                  <c:v>4999</c:v>
                </c:pt>
                <c:pt idx="25" formatCode="#,##0_ ">
                  <c:v>4842</c:v>
                </c:pt>
                <c:pt idx="26" formatCode="#,##0_ ">
                  <c:v>4688</c:v>
                </c:pt>
                <c:pt idx="27" formatCode="#,##0_ ">
                  <c:v>4538</c:v>
                </c:pt>
                <c:pt idx="28" formatCode="#,##0_ ">
                  <c:v>4392</c:v>
                </c:pt>
              </c:numCache>
            </c:numRef>
          </c:val>
        </c:ser>
        <c:ser>
          <c:idx val="6"/>
          <c:order val="4"/>
          <c:tx>
            <c:v>과거</c:v>
          </c:tx>
          <c:spPr>
            <a:ln w="12700">
              <a:solidFill>
                <a:srgbClr val="008080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008080"/>
                </a:solidFill>
                <a:prstDash val="solid"/>
              </a:ln>
            </c:spPr>
          </c:marker>
          <c:cat>
            <c:numRef>
              <c:f>부곡동10!$L$181:$AO$181</c:f>
              <c:numCache>
                <c:formatCode>General</c:formatCode>
                <c:ptCount val="30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  <c:pt idx="22">
                  <c:v>2019</c:v>
                </c:pt>
                <c:pt idx="23">
                  <c:v>2020</c:v>
                </c:pt>
                <c:pt idx="24">
                  <c:v>2021</c:v>
                </c:pt>
                <c:pt idx="25">
                  <c:v>2022</c:v>
                </c:pt>
                <c:pt idx="26">
                  <c:v>2023</c:v>
                </c:pt>
                <c:pt idx="27">
                  <c:v>2024</c:v>
                </c:pt>
                <c:pt idx="28">
                  <c:v>2025</c:v>
                </c:pt>
                <c:pt idx="29">
                  <c:v>2026</c:v>
                </c:pt>
              </c:numCache>
            </c:numRef>
          </c:cat>
          <c:val>
            <c:numRef>
              <c:f>부곡동10!$L$179:$X$179</c:f>
              <c:numCache>
                <c:formatCode>_-* #,##0_-;\-* #,##0_-;_-* "-"_-;_-@_-</c:formatCode>
                <c:ptCount val="13"/>
                <c:pt idx="0">
                  <c:v>9504</c:v>
                </c:pt>
                <c:pt idx="1">
                  <c:v>9329</c:v>
                </c:pt>
                <c:pt idx="2">
                  <c:v>9142</c:v>
                </c:pt>
                <c:pt idx="3" formatCode="General">
                  <c:v>8940</c:v>
                </c:pt>
                <c:pt idx="4">
                  <c:v>8630</c:v>
                </c:pt>
                <c:pt idx="5" formatCode="General">
                  <c:v>8501</c:v>
                </c:pt>
                <c:pt idx="6">
                  <c:v>8223</c:v>
                </c:pt>
                <c:pt idx="7">
                  <c:v>8067</c:v>
                </c:pt>
                <c:pt idx="8">
                  <c:v>7803</c:v>
                </c:pt>
                <c:pt idx="9">
                  <c:v>7699</c:v>
                </c:pt>
                <c:pt idx="10">
                  <c:v>7609</c:v>
                </c:pt>
                <c:pt idx="11">
                  <c:v>7420</c:v>
                </c:pt>
              </c:numCache>
            </c:numRef>
          </c:val>
        </c:ser>
        <c:ser>
          <c:idx val="2"/>
          <c:order val="5"/>
          <c:tx>
            <c:v>등비</c:v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FF0000"/>
                </a:solidFill>
                <a:prstDash val="solid"/>
              </a:ln>
            </c:spPr>
          </c:marker>
          <c:val>
            <c:numRef>
              <c:f>부곡동10!$L$184:$AN$184</c:f>
              <c:numCache>
                <c:formatCode>General</c:formatCode>
                <c:ptCount val="29"/>
                <c:pt idx="10" formatCode="_-* #,##0_-;\-* #,##0_-;_-* &quot;-&quot;_-;_-@_-">
                  <c:v>7609</c:v>
                </c:pt>
                <c:pt idx="11" formatCode="_-* #,##0_-;\-* #,##0_-;_-* &quot;-&quot;_-;_-@_-">
                  <c:v>7442</c:v>
                </c:pt>
                <c:pt idx="12" formatCode="_-* #,##0_-;\-* #,##0_-;_-* &quot;-&quot;_-;_-@_-">
                  <c:v>7278</c:v>
                </c:pt>
                <c:pt idx="13" formatCode="_-* #,##0_-;\-* #,##0_-;_-* &quot;-&quot;_-;_-@_-">
                  <c:v>7118</c:v>
                </c:pt>
                <c:pt idx="14" formatCode="_-* #,##0_-;\-* #,##0_-;_-* &quot;-&quot;_-;_-@_-">
                  <c:v>6962</c:v>
                </c:pt>
                <c:pt idx="15" formatCode="_-* #,##0_-;\-* #,##0_-;_-* &quot;-&quot;_-;_-@_-">
                  <c:v>6809</c:v>
                </c:pt>
                <c:pt idx="16" formatCode="_-* #,##0_-;\-* #,##0_-;_-* &quot;-&quot;_-;_-@_-">
                  <c:v>6659</c:v>
                </c:pt>
                <c:pt idx="17" formatCode="_-* #,##0_-;\-* #,##0_-;_-* &quot;-&quot;_-;_-@_-">
                  <c:v>6512</c:v>
                </c:pt>
                <c:pt idx="18" formatCode="_-* #,##0_-;\-* #,##0_-;_-* &quot;-&quot;_-;_-@_-">
                  <c:v>6369</c:v>
                </c:pt>
                <c:pt idx="19" formatCode="_-* #,##0_-;\-* #,##0_-;_-* &quot;-&quot;_-;_-@_-">
                  <c:v>6229</c:v>
                </c:pt>
                <c:pt idx="20" formatCode="_-* #,##0_-;\-* #,##0_-;_-* &quot;-&quot;_-;_-@_-">
                  <c:v>6092</c:v>
                </c:pt>
                <c:pt idx="21" formatCode="_-* #,##0_-;\-* #,##0_-;_-* &quot;-&quot;_-;_-@_-">
                  <c:v>5958</c:v>
                </c:pt>
                <c:pt idx="22" formatCode="_-* #,##0_-;\-* #,##0_-;_-* &quot;-&quot;_-;_-@_-">
                  <c:v>5827</c:v>
                </c:pt>
                <c:pt idx="23" formatCode="_-* #,##0_-;\-* #,##0_-;_-* &quot;-&quot;_-;_-@_-">
                  <c:v>5699</c:v>
                </c:pt>
                <c:pt idx="24" formatCode="_-* #,##0_-;\-* #,##0_-;_-* &quot;-&quot;_-;_-@_-">
                  <c:v>5574</c:v>
                </c:pt>
                <c:pt idx="25" formatCode="_-* #,##0_-;\-* #,##0_-;_-* &quot;-&quot;_-;_-@_-">
                  <c:v>5451</c:v>
                </c:pt>
                <c:pt idx="26" formatCode="_-* #,##0_-;\-* #,##0_-;_-* &quot;-&quot;_-;_-@_-">
                  <c:v>5331</c:v>
                </c:pt>
                <c:pt idx="27" formatCode="_-* #,##0_-;\-* #,##0_-;_-* &quot;-&quot;_-;_-@_-">
                  <c:v>5214</c:v>
                </c:pt>
                <c:pt idx="28" formatCode="_-* #,##0_-;\-* #,##0_-;_-* &quot;-&quot;_-;_-@_-">
                  <c:v>5099</c:v>
                </c:pt>
              </c:numCache>
            </c:numRef>
          </c:val>
        </c:ser>
        <c:marker val="1"/>
        <c:axId val="129449344"/>
        <c:axId val="129456000"/>
      </c:lineChart>
      <c:catAx>
        <c:axId val="129449344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875" b="0" i="0" u="none" strike="noStrike" baseline="0">
                    <a:solidFill>
                      <a:srgbClr val="000000"/>
                    </a:solidFill>
                    <a:latin typeface="돋움"/>
                    <a:ea typeface="돋움"/>
                    <a:cs typeface="돋움"/>
                  </a:defRPr>
                </a:pPr>
                <a:r>
                  <a:rPr altLang="en-US"/>
                  <a:t>연도</a:t>
                </a:r>
              </a:p>
            </c:rich>
          </c:tx>
          <c:layout>
            <c:manualLayout>
              <c:xMode val="edge"/>
              <c:yMode val="edge"/>
              <c:x val="0.50336346409613442"/>
              <c:y val="0.82129357404468961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maj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돋움"/>
                <a:ea typeface="돋움"/>
                <a:cs typeface="돋움"/>
              </a:defRPr>
            </a:pPr>
            <a:endParaRPr lang="ko-KR"/>
          </a:p>
        </c:txPr>
        <c:crossAx val="129456000"/>
        <c:crosses val="autoZero"/>
        <c:auto val="1"/>
        <c:lblAlgn val="ctr"/>
        <c:lblOffset val="100"/>
        <c:tickLblSkip val="2"/>
        <c:tickMarkSkip val="1"/>
      </c:catAx>
      <c:valAx>
        <c:axId val="129456000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맑은 고딕"/>
                    <a:ea typeface="맑은 고딕"/>
                    <a:cs typeface="맑은 고딕"/>
                  </a:defRPr>
                </a:pPr>
                <a:r>
                  <a:rPr lang="ko-KR" altLang="en-US" sz="875" b="0" i="0" strike="noStrike">
                    <a:solidFill>
                      <a:srgbClr val="000000"/>
                    </a:solidFill>
                    <a:latin typeface="돋움"/>
                    <a:ea typeface="돋움"/>
                  </a:rPr>
                  <a:t>인구</a:t>
                </a:r>
                <a:r>
                  <a:rPr lang="en-US" altLang="ko-KR" sz="875" b="0" i="0" strike="noStrike">
                    <a:solidFill>
                      <a:srgbClr val="000000"/>
                    </a:solidFill>
                    <a:latin typeface="돋움"/>
                    <a:ea typeface="돋움"/>
                  </a:rPr>
                  <a:t>(</a:t>
                </a:r>
                <a:r>
                  <a:rPr lang="ko-KR" altLang="en-US" sz="875" b="0" i="0" strike="noStrike">
                    <a:solidFill>
                      <a:srgbClr val="000000"/>
                    </a:solidFill>
                    <a:latin typeface="돋움"/>
                    <a:ea typeface="돋움"/>
                  </a:rPr>
                  <a:t>명</a:t>
                </a:r>
                <a:r>
                  <a:rPr lang="en-US" altLang="ko-KR" sz="875" b="0" i="0" strike="noStrike">
                    <a:solidFill>
                      <a:srgbClr val="000000"/>
                    </a:solidFill>
                    <a:latin typeface="돋움"/>
                    <a:ea typeface="돋움"/>
                  </a:rPr>
                  <a:t>)</a:t>
                </a:r>
              </a:p>
            </c:rich>
          </c:tx>
          <c:layout>
            <c:manualLayout>
              <c:xMode val="edge"/>
              <c:yMode val="edge"/>
              <c:x val="2.6905829596412592E-2"/>
              <c:y val="0.38403081744059558"/>
            </c:manualLayout>
          </c:layout>
          <c:spPr>
            <a:noFill/>
            <a:ln w="25400">
              <a:noFill/>
            </a:ln>
          </c:spPr>
        </c:title>
        <c:numFmt formatCode="#,##0_ " sourceLinked="0"/>
        <c:maj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돋움"/>
                <a:ea typeface="돋움"/>
                <a:cs typeface="돋움"/>
              </a:defRPr>
            </a:pPr>
            <a:endParaRPr lang="ko-KR"/>
          </a:p>
        </c:txPr>
        <c:crossAx val="129449344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wMode val="edge"/>
          <c:hMode val="edge"/>
          <c:x val="0.13004496074761954"/>
          <c:y val="0.90114148278993644"/>
          <c:w val="0.91816202346903941"/>
          <c:h val="0.96197798469107765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돋움"/>
              <a:ea typeface="돋움"/>
              <a:cs typeface="돋움"/>
            </a:defRPr>
          </a:pPr>
          <a:endParaRPr lang="ko-KR"/>
        </a:p>
      </c:txPr>
    </c:legend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75" b="0" i="0" u="none" strike="noStrike" baseline="0">
          <a:solidFill>
            <a:srgbClr val="000000"/>
          </a:solidFill>
          <a:latin typeface="돋움"/>
          <a:ea typeface="돋움"/>
          <a:cs typeface="돋움"/>
        </a:defRPr>
      </a:pPr>
      <a:endParaRPr lang="ko-KR"/>
    </a:p>
  </c:txPr>
  <c:printSettings>
    <c:headerFooter alignWithMargins="0"/>
    <c:pageMargins b="1" l="0.75000000000000144" r="0.75000000000000144" t="1" header="0.5" footer="0.5"/>
    <c:pageSetup paperSize="9" orientation="landscape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ko-KR"/>
  <c:chart>
    <c:title>
      <c:tx>
        <c:rich>
          <a:bodyPr/>
          <a:lstStyle/>
          <a:p>
            <a:pPr>
              <a:defRPr sz="1175" b="1" i="0" u="none" strike="noStrike" baseline="0">
                <a:solidFill>
                  <a:srgbClr val="000000"/>
                </a:solidFill>
                <a:latin typeface="돋움"/>
                <a:ea typeface="돋움"/>
                <a:cs typeface="돋움"/>
              </a:defRPr>
            </a:pPr>
            <a:r>
              <a:rPr altLang="en-US"/>
              <a:t>부곡동</a:t>
            </a:r>
          </a:p>
        </c:rich>
      </c:tx>
      <c:layout>
        <c:manualLayout>
          <c:xMode val="edge"/>
          <c:yMode val="edge"/>
          <c:x val="0.46861010086743682"/>
          <c:y val="2.8517110266159756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9.7533685676984214E-2"/>
          <c:y val="9.1254837562787627E-2"/>
          <c:w val="0.83744440460583214"/>
          <c:h val="0.67680671192400665"/>
        </c:manualLayout>
      </c:layout>
      <c:lineChart>
        <c:grouping val="standard"/>
        <c:ser>
          <c:idx val="0"/>
          <c:order val="0"/>
          <c:tx>
            <c:v>등차</c:v>
          </c:tx>
          <c:spPr>
            <a:ln w="3175">
              <a:solidFill>
                <a:srgbClr val="000080"/>
              </a:solidFill>
              <a:prstDash val="solid"/>
            </a:ln>
          </c:spPr>
          <c:marker>
            <c:symbol val="diamond"/>
            <c:size val="3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부곡동5!$L$156:$AI$156</c:f>
              <c:numCache>
                <c:formatCode>General</c:formatCode>
                <c:ptCount val="24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  <c:pt idx="14">
                  <c:v>2016</c:v>
                </c:pt>
                <c:pt idx="15">
                  <c:v>2017</c:v>
                </c:pt>
                <c:pt idx="16">
                  <c:v>2018</c:v>
                </c:pt>
                <c:pt idx="17">
                  <c:v>2019</c:v>
                </c:pt>
                <c:pt idx="18">
                  <c:v>2020</c:v>
                </c:pt>
                <c:pt idx="19">
                  <c:v>2021</c:v>
                </c:pt>
                <c:pt idx="20">
                  <c:v>2022</c:v>
                </c:pt>
                <c:pt idx="21">
                  <c:v>2023</c:v>
                </c:pt>
                <c:pt idx="22">
                  <c:v>2024</c:v>
                </c:pt>
                <c:pt idx="23">
                  <c:v>2025</c:v>
                </c:pt>
              </c:numCache>
            </c:numRef>
          </c:cat>
          <c:val>
            <c:numRef>
              <c:f>부곡동5!$L$157:$AN$157</c:f>
              <c:numCache>
                <c:formatCode>General</c:formatCode>
                <c:ptCount val="29"/>
                <c:pt idx="5">
                  <c:v>7609</c:v>
                </c:pt>
                <c:pt idx="6" formatCode="_-* #,##0_-;\-* #,##0_-;_-* &quot;-&quot;_-;_-@_-">
                  <c:v>7431</c:v>
                </c:pt>
                <c:pt idx="7" formatCode="_-* #,##0_-;\-* #,##0_-;_-* &quot;-&quot;_-;_-@_-">
                  <c:v>7252</c:v>
                </c:pt>
                <c:pt idx="8" formatCode="_-* #,##0_-;\-* #,##0_-;_-* &quot;-&quot;_-;_-@_-">
                  <c:v>7074</c:v>
                </c:pt>
                <c:pt idx="9" formatCode="_-* #,##0_-;\-* #,##0_-;_-* &quot;-&quot;_-;_-@_-">
                  <c:v>6895</c:v>
                </c:pt>
                <c:pt idx="10" formatCode="_-* #,##0_-;\-* #,##0_-;_-* &quot;-&quot;_-;_-@_-">
                  <c:v>6717</c:v>
                </c:pt>
                <c:pt idx="11" formatCode="_-* #,##0_-;\-* #,##0_-;_-* &quot;-&quot;_-;_-@_-">
                  <c:v>6539</c:v>
                </c:pt>
                <c:pt idx="12" formatCode="_-* #,##0_-;\-* #,##0_-;_-* &quot;-&quot;_-;_-@_-">
                  <c:v>6360</c:v>
                </c:pt>
                <c:pt idx="13" formatCode="_-* #,##0_-;\-* #,##0_-;_-* &quot;-&quot;_-;_-@_-">
                  <c:v>6182</c:v>
                </c:pt>
                <c:pt idx="14" formatCode="_-* #,##0_-;\-* #,##0_-;_-* &quot;-&quot;_-;_-@_-">
                  <c:v>6003</c:v>
                </c:pt>
                <c:pt idx="15" formatCode="_-* #,##0_-;\-* #,##0_-;_-* &quot;-&quot;_-;_-@_-">
                  <c:v>5825</c:v>
                </c:pt>
                <c:pt idx="16" formatCode="_-* #,##0_-;\-* #,##0_-;_-* &quot;-&quot;_-;_-@_-">
                  <c:v>5647</c:v>
                </c:pt>
                <c:pt idx="17" formatCode="_-* #,##0_-;\-* #,##0_-;_-* &quot;-&quot;_-;_-@_-">
                  <c:v>5468</c:v>
                </c:pt>
                <c:pt idx="18" formatCode="_-* #,##0_-;\-* #,##0_-;_-* &quot;-&quot;_-;_-@_-">
                  <c:v>5290</c:v>
                </c:pt>
                <c:pt idx="19" formatCode="_-* #,##0_-;\-* #,##0_-;_-* &quot;-&quot;_-;_-@_-">
                  <c:v>5111</c:v>
                </c:pt>
                <c:pt idx="20" formatCode="_-* #,##0_-;\-* #,##0_-;_-* &quot;-&quot;_-;_-@_-">
                  <c:v>4933</c:v>
                </c:pt>
                <c:pt idx="21" formatCode="_-* #,##0_-;\-* #,##0_-;_-* &quot;-&quot;_-;_-@_-">
                  <c:v>4755</c:v>
                </c:pt>
                <c:pt idx="22" formatCode="_-* #,##0_-;\-* #,##0_-;_-* &quot;-&quot;_-;_-@_-">
                  <c:v>4576</c:v>
                </c:pt>
                <c:pt idx="23" formatCode="_-* #,##0_-;\-* #,##0_-;_-* &quot;-&quot;_-;_-@_-">
                  <c:v>4398</c:v>
                </c:pt>
              </c:numCache>
            </c:numRef>
          </c:val>
        </c:ser>
        <c:ser>
          <c:idx val="1"/>
          <c:order val="1"/>
          <c:tx>
            <c:v>최소</c:v>
          </c:tx>
          <c:spPr>
            <a:ln w="3175">
              <a:solidFill>
                <a:srgbClr val="FF00FF"/>
              </a:solidFill>
              <a:prstDash val="solid"/>
            </a:ln>
          </c:spPr>
          <c:marker>
            <c:symbol val="square"/>
            <c:size val="3"/>
            <c:spPr>
              <a:noFill/>
              <a:ln>
                <a:solidFill>
                  <a:srgbClr val="FF00FF"/>
                </a:solidFill>
                <a:prstDash val="solid"/>
              </a:ln>
            </c:spPr>
          </c:marker>
          <c:cat>
            <c:numRef>
              <c:f>부곡동5!$L$156:$AI$156</c:f>
              <c:numCache>
                <c:formatCode>General</c:formatCode>
                <c:ptCount val="24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  <c:pt idx="14">
                  <c:v>2016</c:v>
                </c:pt>
                <c:pt idx="15">
                  <c:v>2017</c:v>
                </c:pt>
                <c:pt idx="16">
                  <c:v>2018</c:v>
                </c:pt>
                <c:pt idx="17">
                  <c:v>2019</c:v>
                </c:pt>
                <c:pt idx="18">
                  <c:v>2020</c:v>
                </c:pt>
                <c:pt idx="19">
                  <c:v>2021</c:v>
                </c:pt>
                <c:pt idx="20">
                  <c:v>2022</c:v>
                </c:pt>
                <c:pt idx="21">
                  <c:v>2023</c:v>
                </c:pt>
                <c:pt idx="22">
                  <c:v>2024</c:v>
                </c:pt>
                <c:pt idx="23">
                  <c:v>2025</c:v>
                </c:pt>
              </c:numCache>
            </c:numRef>
          </c:cat>
          <c:val>
            <c:numRef>
              <c:f>부곡동5!$L$158:$AN$158</c:f>
              <c:numCache>
                <c:formatCode>General</c:formatCode>
                <c:ptCount val="29"/>
                <c:pt idx="5">
                  <c:v>7609</c:v>
                </c:pt>
                <c:pt idx="6" formatCode="_-* #,##0_-;\-* #,##0_-;_-* &quot;-&quot;_-;_-@_-">
                  <c:v>7354</c:v>
                </c:pt>
                <c:pt idx="7" formatCode="_-* #,##0_-;\-* #,##0_-;_-* &quot;-&quot;_-;_-@_-">
                  <c:v>7174</c:v>
                </c:pt>
                <c:pt idx="8" formatCode="_-* #,##0_-;\-* #,##0_-;_-* &quot;-&quot;_-;_-@_-">
                  <c:v>6994</c:v>
                </c:pt>
                <c:pt idx="9" formatCode="_-* #,##0_-;\-* #,##0_-;_-* &quot;-&quot;_-;_-@_-">
                  <c:v>6814</c:v>
                </c:pt>
                <c:pt idx="10" formatCode="_-* #,##0_-;\-* #,##0_-;_-* &quot;-&quot;_-;_-@_-">
                  <c:v>6635</c:v>
                </c:pt>
                <c:pt idx="11" formatCode="_-* #,##0_-;\-* #,##0_-;_-* &quot;-&quot;_-;_-@_-">
                  <c:v>6455</c:v>
                </c:pt>
                <c:pt idx="12" formatCode="_-* #,##0_-;\-* #,##0_-;_-* &quot;-&quot;_-;_-@_-">
                  <c:v>6275</c:v>
                </c:pt>
                <c:pt idx="13" formatCode="_-* #,##0_-;\-* #,##0_-;_-* &quot;-&quot;_-;_-@_-">
                  <c:v>6095</c:v>
                </c:pt>
                <c:pt idx="14" formatCode="_-* #,##0_-;\-* #,##0_-;_-* &quot;-&quot;_-;_-@_-">
                  <c:v>5915</c:v>
                </c:pt>
                <c:pt idx="15" formatCode="_-* #,##0_-;\-* #,##0_-;_-* &quot;-&quot;_-;_-@_-">
                  <c:v>5735</c:v>
                </c:pt>
                <c:pt idx="16" formatCode="_-* #,##0_-;\-* #,##0_-;_-* &quot;-&quot;_-;_-@_-">
                  <c:v>5555</c:v>
                </c:pt>
                <c:pt idx="17" formatCode="_-* #,##0_-;\-* #,##0_-;_-* &quot;-&quot;_-;_-@_-">
                  <c:v>5375</c:v>
                </c:pt>
                <c:pt idx="18" formatCode="_-* #,##0_-;\-* #,##0_-;_-* &quot;-&quot;_-;_-@_-">
                  <c:v>5195</c:v>
                </c:pt>
                <c:pt idx="19" formatCode="_-* #,##0_-;\-* #,##0_-;_-* &quot;-&quot;_-;_-@_-">
                  <c:v>5016</c:v>
                </c:pt>
                <c:pt idx="20" formatCode="_-* #,##0_-;\-* #,##0_-;_-* &quot;-&quot;_-;_-@_-">
                  <c:v>4836</c:v>
                </c:pt>
                <c:pt idx="21" formatCode="_-* #,##0_-;\-* #,##0_-;_-* &quot;-&quot;_-;_-@_-">
                  <c:v>4656</c:v>
                </c:pt>
                <c:pt idx="22" formatCode="_-* #,##0_-;\-* #,##0_-;_-* &quot;-&quot;_-;_-@_-">
                  <c:v>4476</c:v>
                </c:pt>
                <c:pt idx="23" formatCode="_-* #,##0_-;\-* #,##0_-;_-* &quot;-&quot;_-;_-@_-">
                  <c:v>4296</c:v>
                </c:pt>
              </c:numCache>
            </c:numRef>
          </c:val>
        </c:ser>
        <c:ser>
          <c:idx val="4"/>
          <c:order val="2"/>
          <c:tx>
            <c:v>로지스틱</c:v>
          </c:tx>
          <c:spPr>
            <a:ln w="3175">
              <a:solidFill>
                <a:srgbClr val="800080"/>
              </a:solidFill>
              <a:prstDash val="solid"/>
            </a:ln>
          </c:spPr>
          <c:marker>
            <c:symbol val="circle"/>
            <c:size val="3"/>
            <c:spPr>
              <a:noFill/>
              <a:ln>
                <a:solidFill>
                  <a:srgbClr val="800080"/>
                </a:solidFill>
                <a:prstDash val="solid"/>
              </a:ln>
            </c:spPr>
          </c:marker>
          <c:cat>
            <c:numRef>
              <c:f>부곡동5!$L$156:$AI$156</c:f>
              <c:numCache>
                <c:formatCode>General</c:formatCode>
                <c:ptCount val="24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  <c:pt idx="14">
                  <c:v>2016</c:v>
                </c:pt>
                <c:pt idx="15">
                  <c:v>2017</c:v>
                </c:pt>
                <c:pt idx="16">
                  <c:v>2018</c:v>
                </c:pt>
                <c:pt idx="17">
                  <c:v>2019</c:v>
                </c:pt>
                <c:pt idx="18">
                  <c:v>2020</c:v>
                </c:pt>
                <c:pt idx="19">
                  <c:v>2021</c:v>
                </c:pt>
                <c:pt idx="20">
                  <c:v>2022</c:v>
                </c:pt>
                <c:pt idx="21">
                  <c:v>2023</c:v>
                </c:pt>
                <c:pt idx="22">
                  <c:v>2024</c:v>
                </c:pt>
                <c:pt idx="23">
                  <c:v>2025</c:v>
                </c:pt>
              </c:numCache>
            </c:numRef>
          </c:cat>
          <c:val>
            <c:numRef>
              <c:f>부곡동5!$L$161:$AN$161</c:f>
              <c:numCache>
                <c:formatCode>General</c:formatCode>
                <c:ptCount val="29"/>
                <c:pt idx="5">
                  <c:v>7609</c:v>
                </c:pt>
                <c:pt idx="6" formatCode="_-* #,##0_-;\-* #,##0_-;_-* &quot;-&quot;_-;_-@_-">
                  <c:v>7357</c:v>
                </c:pt>
                <c:pt idx="7" formatCode="_-* #,##0_-;\-* #,##0_-;_-* &quot;-&quot;_-;_-@_-">
                  <c:v>7181</c:v>
                </c:pt>
                <c:pt idx="8" formatCode="_-* #,##0_-;\-* #,##0_-;_-* &quot;-&quot;_-;_-@_-">
                  <c:v>7005</c:v>
                </c:pt>
                <c:pt idx="9" formatCode="_-* #,##0_-;\-* #,##0_-;_-* &quot;-&quot;_-;_-@_-">
                  <c:v>6831</c:v>
                </c:pt>
                <c:pt idx="10" formatCode="_-* #,##0_-;\-* #,##0_-;_-* &quot;-&quot;_-;_-@_-">
                  <c:v>6658</c:v>
                </c:pt>
                <c:pt idx="11" formatCode="_-* #,##0_-;\-* #,##0_-;_-* &quot;-&quot;_-;_-@_-">
                  <c:v>6486</c:v>
                </c:pt>
                <c:pt idx="12" formatCode="_-* #,##0_-;\-* #,##0_-;_-* &quot;-&quot;_-;_-@_-">
                  <c:v>6317</c:v>
                </c:pt>
                <c:pt idx="13" formatCode="_-* #,##0_-;\-* #,##0_-;_-* &quot;-&quot;_-;_-@_-">
                  <c:v>6149</c:v>
                </c:pt>
                <c:pt idx="14" formatCode="_-* #,##0_-;\-* #,##0_-;_-* &quot;-&quot;_-;_-@_-">
                  <c:v>5983</c:v>
                </c:pt>
                <c:pt idx="15" formatCode="_-* #,##0_-;\-* #,##0_-;_-* &quot;-&quot;_-;_-@_-">
                  <c:v>5820</c:v>
                </c:pt>
                <c:pt idx="16" formatCode="_-* #,##0_-;\-* #,##0_-;_-* &quot;-&quot;_-;_-@_-">
                  <c:v>5658</c:v>
                </c:pt>
                <c:pt idx="17" formatCode="_-* #,##0_-;\-* #,##0_-;_-* &quot;-&quot;_-;_-@_-">
                  <c:v>5499</c:v>
                </c:pt>
                <c:pt idx="18" formatCode="_-* #,##0_-;\-* #,##0_-;_-* &quot;-&quot;_-;_-@_-">
                  <c:v>5342</c:v>
                </c:pt>
                <c:pt idx="19" formatCode="_-* #,##0_-;\-* #,##0_-;_-* &quot;-&quot;_-;_-@_-">
                  <c:v>5188</c:v>
                </c:pt>
                <c:pt idx="20" formatCode="_-* #,##0_-;\-* #,##0_-;_-* &quot;-&quot;_-;_-@_-">
                  <c:v>5036</c:v>
                </c:pt>
                <c:pt idx="21" formatCode="_-* #,##0_-;\-* #,##0_-;_-* &quot;-&quot;_-;_-@_-">
                  <c:v>4887</c:v>
                </c:pt>
                <c:pt idx="22" formatCode="_-* #,##0_-;\-* #,##0_-;_-* &quot;-&quot;_-;_-@_-">
                  <c:v>4740</c:v>
                </c:pt>
                <c:pt idx="23" formatCode="_-* #,##0_-;\-* #,##0_-;_-* &quot;-&quot;_-;_-@_-">
                  <c:v>4596</c:v>
                </c:pt>
              </c:numCache>
            </c:numRef>
          </c:val>
        </c:ser>
        <c:ser>
          <c:idx val="5"/>
          <c:order val="3"/>
          <c:tx>
            <c:v>평균(최대최소제외)</c:v>
          </c:tx>
          <c:spPr>
            <a:ln w="3175">
              <a:solidFill>
                <a:srgbClr val="800000"/>
              </a:solidFill>
              <a:prstDash val="sysDash"/>
            </a:ln>
          </c:spPr>
          <c:marker>
            <c:symbol val="circle"/>
            <c:size val="3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부곡동5!$L$156:$AI$156</c:f>
              <c:numCache>
                <c:formatCode>General</c:formatCode>
                <c:ptCount val="24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  <c:pt idx="14">
                  <c:v>2016</c:v>
                </c:pt>
                <c:pt idx="15">
                  <c:v>2017</c:v>
                </c:pt>
                <c:pt idx="16">
                  <c:v>2018</c:v>
                </c:pt>
                <c:pt idx="17">
                  <c:v>2019</c:v>
                </c:pt>
                <c:pt idx="18">
                  <c:v>2020</c:v>
                </c:pt>
                <c:pt idx="19">
                  <c:v>2021</c:v>
                </c:pt>
                <c:pt idx="20">
                  <c:v>2022</c:v>
                </c:pt>
                <c:pt idx="21">
                  <c:v>2023</c:v>
                </c:pt>
                <c:pt idx="22">
                  <c:v>2024</c:v>
                </c:pt>
                <c:pt idx="23">
                  <c:v>2025</c:v>
                </c:pt>
              </c:numCache>
            </c:numRef>
          </c:cat>
          <c:val>
            <c:numRef>
              <c:f>부곡동5!$L$162:$AI$162</c:f>
              <c:numCache>
                <c:formatCode>General</c:formatCode>
                <c:ptCount val="24"/>
                <c:pt idx="5">
                  <c:v>7609</c:v>
                </c:pt>
                <c:pt idx="6" formatCode="#,##0_ ">
                  <c:v>7394</c:v>
                </c:pt>
                <c:pt idx="7" formatCode="#,##0_ ">
                  <c:v>7216.5</c:v>
                </c:pt>
                <c:pt idx="8" formatCode="#,##0_ ">
                  <c:v>7039.5</c:v>
                </c:pt>
                <c:pt idx="9" formatCode="#,##0_ ">
                  <c:v>6863</c:v>
                </c:pt>
                <c:pt idx="10" formatCode="#,##0_ ">
                  <c:v>6687.5</c:v>
                </c:pt>
                <c:pt idx="11" formatCode="_-* #,##0_-;\-* #,##0_-;_-* &quot;-&quot;_-;_-@_-">
                  <c:v>6512.5</c:v>
                </c:pt>
                <c:pt idx="12" formatCode="#,##0_ ">
                  <c:v>6338.5</c:v>
                </c:pt>
                <c:pt idx="13" formatCode="#,##0_ ">
                  <c:v>6165.5</c:v>
                </c:pt>
                <c:pt idx="14" formatCode="#,##0_ ">
                  <c:v>5993</c:v>
                </c:pt>
                <c:pt idx="15" formatCode="#,##0_ ">
                  <c:v>5822.5</c:v>
                </c:pt>
                <c:pt idx="16" formatCode="#,##0_ ">
                  <c:v>5652.5</c:v>
                </c:pt>
                <c:pt idx="17" formatCode="#,##0_ ">
                  <c:v>5483.5</c:v>
                </c:pt>
                <c:pt idx="18" formatCode="#,##0_ ">
                  <c:v>5316</c:v>
                </c:pt>
                <c:pt idx="19" formatCode="#,##0_ ">
                  <c:v>5149.5</c:v>
                </c:pt>
                <c:pt idx="20" formatCode="#,##0_ ">
                  <c:v>4984.5</c:v>
                </c:pt>
                <c:pt idx="21" formatCode="#,##0_ ">
                  <c:v>4821</c:v>
                </c:pt>
                <c:pt idx="22" formatCode="#,##0_ ">
                  <c:v>4658</c:v>
                </c:pt>
                <c:pt idx="23" formatCode="#,##0_ ">
                  <c:v>4497</c:v>
                </c:pt>
              </c:numCache>
            </c:numRef>
          </c:val>
        </c:ser>
        <c:ser>
          <c:idx val="6"/>
          <c:order val="4"/>
          <c:tx>
            <c:v>과거</c:v>
          </c:tx>
          <c:spPr>
            <a:ln w="12700">
              <a:solidFill>
                <a:srgbClr val="008080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008080"/>
                </a:solidFill>
                <a:prstDash val="solid"/>
              </a:ln>
            </c:spPr>
          </c:marker>
          <c:cat>
            <c:numRef>
              <c:f>부곡동5!$L$156:$AI$156</c:f>
              <c:numCache>
                <c:formatCode>General</c:formatCode>
                <c:ptCount val="24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  <c:pt idx="14">
                  <c:v>2016</c:v>
                </c:pt>
                <c:pt idx="15">
                  <c:v>2017</c:v>
                </c:pt>
                <c:pt idx="16">
                  <c:v>2018</c:v>
                </c:pt>
                <c:pt idx="17">
                  <c:v>2019</c:v>
                </c:pt>
                <c:pt idx="18">
                  <c:v>2020</c:v>
                </c:pt>
                <c:pt idx="19">
                  <c:v>2021</c:v>
                </c:pt>
                <c:pt idx="20">
                  <c:v>2022</c:v>
                </c:pt>
                <c:pt idx="21">
                  <c:v>2023</c:v>
                </c:pt>
                <c:pt idx="22">
                  <c:v>2024</c:v>
                </c:pt>
                <c:pt idx="23">
                  <c:v>2025</c:v>
                </c:pt>
              </c:numCache>
            </c:numRef>
          </c:cat>
          <c:val>
            <c:numRef>
              <c:f>부곡동5!$L$154:$X$154</c:f>
              <c:numCache>
                <c:formatCode>_-* #,##0_-;\-* #,##0_-;_-* "-"_-;_-@_-</c:formatCode>
                <c:ptCount val="13"/>
                <c:pt idx="0">
                  <c:v>8501</c:v>
                </c:pt>
                <c:pt idx="1">
                  <c:v>8223</c:v>
                </c:pt>
                <c:pt idx="2">
                  <c:v>8067</c:v>
                </c:pt>
                <c:pt idx="3" formatCode="General">
                  <c:v>7803</c:v>
                </c:pt>
                <c:pt idx="4">
                  <c:v>7699</c:v>
                </c:pt>
                <c:pt idx="5" formatCode="General">
                  <c:v>7609</c:v>
                </c:pt>
                <c:pt idx="6">
                  <c:v>7357</c:v>
                </c:pt>
              </c:numCache>
            </c:numRef>
          </c:val>
        </c:ser>
        <c:ser>
          <c:idx val="2"/>
          <c:order val="5"/>
          <c:tx>
            <c:v>등비</c:v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부곡동5!$L$156:$AI$156</c:f>
              <c:numCache>
                <c:formatCode>General</c:formatCode>
                <c:ptCount val="24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  <c:pt idx="14">
                  <c:v>2016</c:v>
                </c:pt>
                <c:pt idx="15">
                  <c:v>2017</c:v>
                </c:pt>
                <c:pt idx="16">
                  <c:v>2018</c:v>
                </c:pt>
                <c:pt idx="17">
                  <c:v>2019</c:v>
                </c:pt>
                <c:pt idx="18">
                  <c:v>2020</c:v>
                </c:pt>
                <c:pt idx="19">
                  <c:v>2021</c:v>
                </c:pt>
                <c:pt idx="20">
                  <c:v>2022</c:v>
                </c:pt>
                <c:pt idx="21">
                  <c:v>2023</c:v>
                </c:pt>
                <c:pt idx="22">
                  <c:v>2024</c:v>
                </c:pt>
                <c:pt idx="23">
                  <c:v>2025</c:v>
                </c:pt>
              </c:numCache>
            </c:numRef>
          </c:cat>
          <c:val>
            <c:numRef>
              <c:f>부곡동5!$L$159:$AN$159</c:f>
              <c:numCache>
                <c:formatCode>General</c:formatCode>
                <c:ptCount val="29"/>
                <c:pt idx="5">
                  <c:v>7609</c:v>
                </c:pt>
                <c:pt idx="6" formatCode="_-* #,##0_-;\-* #,##0_-;_-* &quot;-&quot;_-;_-@_-">
                  <c:v>7442</c:v>
                </c:pt>
                <c:pt idx="7" formatCode="_-* #,##0_-;\-* #,##0_-;_-* &quot;-&quot;_-;_-@_-">
                  <c:v>7279</c:v>
                </c:pt>
                <c:pt idx="8" formatCode="_-* #,##0_-;\-* #,##0_-;_-* &quot;-&quot;_-;_-@_-">
                  <c:v>7119</c:v>
                </c:pt>
                <c:pt idx="9" formatCode="_-* #,##0_-;\-* #,##0_-;_-* &quot;-&quot;_-;_-@_-">
                  <c:v>6963</c:v>
                </c:pt>
                <c:pt idx="10" formatCode="_-* #,##0_-;\-* #,##0_-;_-* &quot;-&quot;_-;_-@_-">
                  <c:v>6810</c:v>
                </c:pt>
                <c:pt idx="11" formatCode="_-* #,##0_-;\-* #,##0_-;_-* &quot;-&quot;_-;_-@_-">
                  <c:v>6661</c:v>
                </c:pt>
                <c:pt idx="12" formatCode="_-* #,##0_-;\-* #,##0_-;_-* &quot;-&quot;_-;_-@_-">
                  <c:v>6515</c:v>
                </c:pt>
                <c:pt idx="13" formatCode="_-* #,##0_-;\-* #,##0_-;_-* &quot;-&quot;_-;_-@_-">
                  <c:v>6372</c:v>
                </c:pt>
                <c:pt idx="14" formatCode="_-* #,##0_-;\-* #,##0_-;_-* &quot;-&quot;_-;_-@_-">
                  <c:v>6232</c:v>
                </c:pt>
                <c:pt idx="15" formatCode="_-* #,##0_-;\-* #,##0_-;_-* &quot;-&quot;_-;_-@_-">
                  <c:v>6096</c:v>
                </c:pt>
                <c:pt idx="16" formatCode="_-* #,##0_-;\-* #,##0_-;_-* &quot;-&quot;_-;_-@_-">
                  <c:v>5962</c:v>
                </c:pt>
                <c:pt idx="17" formatCode="_-* #,##0_-;\-* #,##0_-;_-* &quot;-&quot;_-;_-@_-">
                  <c:v>5831</c:v>
                </c:pt>
                <c:pt idx="18" formatCode="_-* #,##0_-;\-* #,##0_-;_-* &quot;-&quot;_-;_-@_-">
                  <c:v>5703</c:v>
                </c:pt>
                <c:pt idx="19" formatCode="_-* #,##0_-;\-* #,##0_-;_-* &quot;-&quot;_-;_-@_-">
                  <c:v>5578</c:v>
                </c:pt>
                <c:pt idx="20" formatCode="_-* #,##0_-;\-* #,##0_-;_-* &quot;-&quot;_-;_-@_-">
                  <c:v>5456</c:v>
                </c:pt>
                <c:pt idx="21" formatCode="_-* #,##0_-;\-* #,##0_-;_-* &quot;-&quot;_-;_-@_-">
                  <c:v>5336</c:v>
                </c:pt>
                <c:pt idx="22" formatCode="_-* #,##0_-;\-* #,##0_-;_-* &quot;-&quot;_-;_-@_-">
                  <c:v>5219</c:v>
                </c:pt>
                <c:pt idx="23" formatCode="_-* #,##0_-;\-* #,##0_-;_-* &quot;-&quot;_-;_-@_-">
                  <c:v>5105</c:v>
                </c:pt>
              </c:numCache>
            </c:numRef>
          </c:val>
        </c:ser>
        <c:marker val="1"/>
        <c:axId val="129746432"/>
        <c:axId val="129646592"/>
      </c:lineChart>
      <c:catAx>
        <c:axId val="129746432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875" b="0" i="0" u="none" strike="noStrike" baseline="0">
                    <a:solidFill>
                      <a:srgbClr val="000000"/>
                    </a:solidFill>
                    <a:latin typeface="돋움"/>
                    <a:ea typeface="돋움"/>
                    <a:cs typeface="돋움"/>
                  </a:defRPr>
                </a:pPr>
                <a:r>
                  <a:rPr altLang="en-US"/>
                  <a:t>연도</a:t>
                </a:r>
              </a:p>
            </c:rich>
          </c:tx>
          <c:layout>
            <c:manualLayout>
              <c:xMode val="edge"/>
              <c:yMode val="edge"/>
              <c:x val="0.50000023539658589"/>
              <c:y val="0.81939243336028011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maj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돋움"/>
                <a:ea typeface="돋움"/>
                <a:cs typeface="돋움"/>
              </a:defRPr>
            </a:pPr>
            <a:endParaRPr lang="ko-KR"/>
          </a:p>
        </c:txPr>
        <c:crossAx val="129646592"/>
        <c:crosses val="autoZero"/>
        <c:auto val="1"/>
        <c:lblAlgn val="ctr"/>
        <c:lblOffset val="100"/>
        <c:tickLblSkip val="2"/>
        <c:tickMarkSkip val="1"/>
      </c:catAx>
      <c:valAx>
        <c:axId val="129646592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맑은 고딕"/>
                    <a:ea typeface="맑은 고딕"/>
                    <a:cs typeface="맑은 고딕"/>
                  </a:defRPr>
                </a:pPr>
                <a:r>
                  <a:rPr lang="ko-KR" altLang="en-US" sz="875" b="0" i="0" strike="noStrike">
                    <a:solidFill>
                      <a:srgbClr val="000000"/>
                    </a:solidFill>
                    <a:latin typeface="돋움"/>
                    <a:ea typeface="돋움"/>
                  </a:rPr>
                  <a:t>인구</a:t>
                </a:r>
                <a:r>
                  <a:rPr lang="en-US" altLang="ko-KR" sz="875" b="0" i="0" strike="noStrike">
                    <a:solidFill>
                      <a:srgbClr val="000000"/>
                    </a:solidFill>
                    <a:latin typeface="돋움"/>
                    <a:ea typeface="돋움"/>
                  </a:rPr>
                  <a:t>(</a:t>
                </a:r>
                <a:r>
                  <a:rPr lang="ko-KR" altLang="en-US" sz="875" b="0" i="0" strike="noStrike">
                    <a:solidFill>
                      <a:srgbClr val="000000"/>
                    </a:solidFill>
                    <a:latin typeface="돋움"/>
                    <a:ea typeface="돋움"/>
                  </a:rPr>
                  <a:t>명</a:t>
                </a:r>
                <a:r>
                  <a:rPr lang="en-US" altLang="ko-KR" sz="875" b="0" i="0" strike="noStrike">
                    <a:solidFill>
                      <a:srgbClr val="000000"/>
                    </a:solidFill>
                    <a:latin typeface="돋움"/>
                    <a:ea typeface="돋움"/>
                  </a:rPr>
                  <a:t>)</a:t>
                </a:r>
              </a:p>
            </c:rich>
          </c:tx>
          <c:layout>
            <c:manualLayout>
              <c:xMode val="edge"/>
              <c:yMode val="edge"/>
              <c:x val="2.6905829596412592E-2"/>
              <c:y val="0.38212967675618492"/>
            </c:manualLayout>
          </c:layout>
          <c:spPr>
            <a:noFill/>
            <a:ln w="25400">
              <a:noFill/>
            </a:ln>
          </c:spPr>
        </c:title>
        <c:numFmt formatCode="#,##0_ " sourceLinked="0"/>
        <c:maj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돋움"/>
                <a:ea typeface="돋움"/>
                <a:cs typeface="돋움"/>
              </a:defRPr>
            </a:pPr>
            <a:endParaRPr lang="ko-KR"/>
          </a:p>
        </c:txPr>
        <c:crossAx val="129746432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wMode val="edge"/>
          <c:hMode val="edge"/>
          <c:x val="0.12780280828125185"/>
          <c:y val="0.90114148278993644"/>
          <c:w val="0.91591987100267169"/>
          <c:h val="0.96197798469107765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돋움"/>
              <a:ea typeface="돋움"/>
              <a:cs typeface="돋움"/>
            </a:defRPr>
          </a:pPr>
          <a:endParaRPr lang="ko-KR"/>
        </a:p>
      </c:txPr>
    </c:legend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75" b="0" i="0" u="none" strike="noStrike" baseline="0">
          <a:solidFill>
            <a:srgbClr val="000000"/>
          </a:solidFill>
          <a:latin typeface="돋움"/>
          <a:ea typeface="돋움"/>
          <a:cs typeface="돋움"/>
        </a:defRPr>
      </a:pPr>
      <a:endParaRPr lang="ko-KR"/>
    </a:p>
  </c:txPr>
  <c:printSettings>
    <c:headerFooter alignWithMargins="0"/>
    <c:pageMargins b="1" l="0.75000000000000144" r="0.75000000000000144" t="1" header="0.5" footer="0.5"/>
    <c:pageSetup paperSize="9" orientation="landscape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ko-KR"/>
  <c:chart>
    <c:title>
      <c:tx>
        <c:rich>
          <a:bodyPr/>
          <a:lstStyle/>
          <a:p>
            <a:pPr>
              <a:defRPr sz="1175" b="1" i="0" u="none" strike="noStrike" baseline="0">
                <a:solidFill>
                  <a:srgbClr val="000000"/>
                </a:solidFill>
                <a:latin typeface="돋움"/>
                <a:ea typeface="돋움"/>
                <a:cs typeface="돋움"/>
              </a:defRPr>
            </a:pPr>
            <a:r>
              <a:rPr altLang="en-US"/>
              <a:t>동호동</a:t>
            </a:r>
          </a:p>
        </c:rich>
      </c:tx>
      <c:layout>
        <c:manualLayout>
          <c:xMode val="edge"/>
          <c:yMode val="edge"/>
          <c:x val="0.46861010086743682"/>
          <c:y val="2.8517110266159756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9.6412608830122329E-2"/>
          <c:y val="9.3155980012012529E-2"/>
          <c:w val="0.83856548145269227"/>
          <c:h val="0.67490556947478386"/>
        </c:manualLayout>
      </c:layout>
      <c:lineChart>
        <c:grouping val="standard"/>
        <c:ser>
          <c:idx val="0"/>
          <c:order val="0"/>
          <c:tx>
            <c:v>등차</c:v>
          </c:tx>
          <c:spPr>
            <a:ln w="3175">
              <a:solidFill>
                <a:srgbClr val="000080"/>
              </a:solidFill>
              <a:prstDash val="solid"/>
            </a:ln>
          </c:spPr>
          <c:marker>
            <c:symbol val="diamond"/>
            <c:size val="3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동호동20년!$L$225:$AX$225</c:f>
              <c:numCache>
                <c:formatCode>General</c:formatCode>
                <c:ptCount val="39"/>
                <c:pt idx="0">
                  <c:v>1988</c:v>
                </c:pt>
                <c:pt idx="1">
                  <c:v>1989</c:v>
                </c:pt>
                <c:pt idx="2">
                  <c:v>1990</c:v>
                </c:pt>
                <c:pt idx="3">
                  <c:v>1991</c:v>
                </c:pt>
                <c:pt idx="4">
                  <c:v>1992</c:v>
                </c:pt>
                <c:pt idx="5">
                  <c:v>1993</c:v>
                </c:pt>
                <c:pt idx="6">
                  <c:v>1994</c:v>
                </c:pt>
                <c:pt idx="7">
                  <c:v>1995</c:v>
                </c:pt>
                <c:pt idx="8">
                  <c:v>1996</c:v>
                </c:pt>
                <c:pt idx="9">
                  <c:v>1997</c:v>
                </c:pt>
                <c:pt idx="10">
                  <c:v>1998</c:v>
                </c:pt>
                <c:pt idx="11">
                  <c:v>1999</c:v>
                </c:pt>
                <c:pt idx="12">
                  <c:v>2000</c:v>
                </c:pt>
                <c:pt idx="13">
                  <c:v>2001</c:v>
                </c:pt>
                <c:pt idx="14">
                  <c:v>2002</c:v>
                </c:pt>
                <c:pt idx="15">
                  <c:v>2003</c:v>
                </c:pt>
                <c:pt idx="16">
                  <c:v>2004</c:v>
                </c:pt>
                <c:pt idx="17">
                  <c:v>2005</c:v>
                </c:pt>
                <c:pt idx="18">
                  <c:v>2006</c:v>
                </c:pt>
                <c:pt idx="19">
                  <c:v>2007</c:v>
                </c:pt>
                <c:pt idx="20">
                  <c:v>2008</c:v>
                </c:pt>
                <c:pt idx="21">
                  <c:v>2009</c:v>
                </c:pt>
                <c:pt idx="22">
                  <c:v>2010</c:v>
                </c:pt>
                <c:pt idx="23">
                  <c:v>2011</c:v>
                </c:pt>
                <c:pt idx="24">
                  <c:v>2012</c:v>
                </c:pt>
                <c:pt idx="25">
                  <c:v>2013</c:v>
                </c:pt>
                <c:pt idx="26">
                  <c:v>2014</c:v>
                </c:pt>
                <c:pt idx="27">
                  <c:v>2015</c:v>
                </c:pt>
                <c:pt idx="28">
                  <c:v>2016</c:v>
                </c:pt>
                <c:pt idx="29">
                  <c:v>2017</c:v>
                </c:pt>
                <c:pt idx="30">
                  <c:v>2018</c:v>
                </c:pt>
                <c:pt idx="31">
                  <c:v>2019</c:v>
                </c:pt>
                <c:pt idx="32">
                  <c:v>2020</c:v>
                </c:pt>
                <c:pt idx="33">
                  <c:v>2021</c:v>
                </c:pt>
                <c:pt idx="34">
                  <c:v>2022</c:v>
                </c:pt>
                <c:pt idx="35">
                  <c:v>2023</c:v>
                </c:pt>
                <c:pt idx="36">
                  <c:v>2024</c:v>
                </c:pt>
                <c:pt idx="37">
                  <c:v>2025</c:v>
                </c:pt>
              </c:numCache>
            </c:numRef>
          </c:cat>
          <c:val>
            <c:numRef>
              <c:f>동호동20년!$L$226:$AW$226</c:f>
              <c:numCache>
                <c:formatCode>General</c:formatCode>
                <c:ptCount val="38"/>
                <c:pt idx="19" formatCode="_-* #,##0_-;\-* #,##0_-;_-* &quot;-&quot;_-;_-@_-">
                  <c:v>5531</c:v>
                </c:pt>
                <c:pt idx="20" formatCode="_-* #,##0_-;\-* #,##0_-;_-* &quot;-&quot;_-;_-@_-">
                  <c:v>5443</c:v>
                </c:pt>
                <c:pt idx="21" formatCode="_-* #,##0_-;\-* #,##0_-;_-* &quot;-&quot;_-;_-@_-">
                  <c:v>5355</c:v>
                </c:pt>
                <c:pt idx="22" formatCode="_-* #,##0_-;\-* #,##0_-;_-* &quot;-&quot;_-;_-@_-">
                  <c:v>5266</c:v>
                </c:pt>
                <c:pt idx="23" formatCode="_-* #,##0_-;\-* #,##0_-;_-* &quot;-&quot;_-;_-@_-">
                  <c:v>5178</c:v>
                </c:pt>
                <c:pt idx="24" formatCode="_-* #,##0_-;\-* #,##0_-;_-* &quot;-&quot;_-;_-@_-">
                  <c:v>5090</c:v>
                </c:pt>
                <c:pt idx="25" formatCode="_-* #,##0_-;\-* #,##0_-;_-* &quot;-&quot;_-;_-@_-">
                  <c:v>5002</c:v>
                </c:pt>
                <c:pt idx="26" formatCode="_-* #,##0_-;\-* #,##0_-;_-* &quot;-&quot;_-;_-@_-">
                  <c:v>4914</c:v>
                </c:pt>
                <c:pt idx="27" formatCode="_-* #,##0_-;\-* #,##0_-;_-* &quot;-&quot;_-;_-@_-">
                  <c:v>4825</c:v>
                </c:pt>
                <c:pt idx="28" formatCode="_-* #,##0_-;\-* #,##0_-;_-* &quot;-&quot;_-;_-@_-">
                  <c:v>4737</c:v>
                </c:pt>
                <c:pt idx="29" formatCode="_-* #,##0_-;\-* #,##0_-;_-* &quot;-&quot;_-;_-@_-">
                  <c:v>4649</c:v>
                </c:pt>
                <c:pt idx="30" formatCode="_-* #,##0_-;\-* #,##0_-;_-* &quot;-&quot;_-;_-@_-">
                  <c:v>4561</c:v>
                </c:pt>
                <c:pt idx="31" formatCode="_-* #,##0_-;\-* #,##0_-;_-* &quot;-&quot;_-;_-@_-">
                  <c:v>4472</c:v>
                </c:pt>
                <c:pt idx="32" formatCode="_-* #,##0_-;\-* #,##0_-;_-* &quot;-&quot;_-;_-@_-">
                  <c:v>4384</c:v>
                </c:pt>
                <c:pt idx="33" formatCode="_-* #,##0_-;\-* #,##0_-;_-* &quot;-&quot;_-;_-@_-">
                  <c:v>4296</c:v>
                </c:pt>
                <c:pt idx="34" formatCode="_-* #,##0_-;\-* #,##0_-;_-* &quot;-&quot;_-;_-@_-">
                  <c:v>4208</c:v>
                </c:pt>
                <c:pt idx="35" formatCode="_-* #,##0_-;\-* #,##0_-;_-* &quot;-&quot;_-;_-@_-">
                  <c:v>4120</c:v>
                </c:pt>
                <c:pt idx="36" formatCode="_-* #,##0_-;\-* #,##0_-;_-* &quot;-&quot;_-;_-@_-">
                  <c:v>4031</c:v>
                </c:pt>
                <c:pt idx="37" formatCode="_-* #,##0_-;\-* #,##0_-;_-* &quot;-&quot;_-;_-@_-">
                  <c:v>3943</c:v>
                </c:pt>
              </c:numCache>
            </c:numRef>
          </c:val>
        </c:ser>
        <c:ser>
          <c:idx val="1"/>
          <c:order val="1"/>
          <c:tx>
            <c:v>최소</c:v>
          </c:tx>
          <c:spPr>
            <a:ln w="3175">
              <a:solidFill>
                <a:srgbClr val="FF00FF"/>
              </a:solidFill>
              <a:prstDash val="solid"/>
            </a:ln>
          </c:spPr>
          <c:marker>
            <c:symbol val="square"/>
            <c:size val="3"/>
            <c:spPr>
              <a:noFill/>
              <a:ln>
                <a:solidFill>
                  <a:srgbClr val="FF00FF"/>
                </a:solidFill>
                <a:prstDash val="solid"/>
              </a:ln>
            </c:spPr>
          </c:marker>
          <c:cat>
            <c:numRef>
              <c:f>동호동20년!$L$225:$AX$225</c:f>
              <c:numCache>
                <c:formatCode>General</c:formatCode>
                <c:ptCount val="39"/>
                <c:pt idx="0">
                  <c:v>1988</c:v>
                </c:pt>
                <c:pt idx="1">
                  <c:v>1989</c:v>
                </c:pt>
                <c:pt idx="2">
                  <c:v>1990</c:v>
                </c:pt>
                <c:pt idx="3">
                  <c:v>1991</c:v>
                </c:pt>
                <c:pt idx="4">
                  <c:v>1992</c:v>
                </c:pt>
                <c:pt idx="5">
                  <c:v>1993</c:v>
                </c:pt>
                <c:pt idx="6">
                  <c:v>1994</c:v>
                </c:pt>
                <c:pt idx="7">
                  <c:v>1995</c:v>
                </c:pt>
                <c:pt idx="8">
                  <c:v>1996</c:v>
                </c:pt>
                <c:pt idx="9">
                  <c:v>1997</c:v>
                </c:pt>
                <c:pt idx="10">
                  <c:v>1998</c:v>
                </c:pt>
                <c:pt idx="11">
                  <c:v>1999</c:v>
                </c:pt>
                <c:pt idx="12">
                  <c:v>2000</c:v>
                </c:pt>
                <c:pt idx="13">
                  <c:v>2001</c:v>
                </c:pt>
                <c:pt idx="14">
                  <c:v>2002</c:v>
                </c:pt>
                <c:pt idx="15">
                  <c:v>2003</c:v>
                </c:pt>
                <c:pt idx="16">
                  <c:v>2004</c:v>
                </c:pt>
                <c:pt idx="17">
                  <c:v>2005</c:v>
                </c:pt>
                <c:pt idx="18">
                  <c:v>2006</c:v>
                </c:pt>
                <c:pt idx="19">
                  <c:v>2007</c:v>
                </c:pt>
                <c:pt idx="20">
                  <c:v>2008</c:v>
                </c:pt>
                <c:pt idx="21">
                  <c:v>2009</c:v>
                </c:pt>
                <c:pt idx="22">
                  <c:v>2010</c:v>
                </c:pt>
                <c:pt idx="23">
                  <c:v>2011</c:v>
                </c:pt>
                <c:pt idx="24">
                  <c:v>2012</c:v>
                </c:pt>
                <c:pt idx="25">
                  <c:v>2013</c:v>
                </c:pt>
                <c:pt idx="26">
                  <c:v>2014</c:v>
                </c:pt>
                <c:pt idx="27">
                  <c:v>2015</c:v>
                </c:pt>
                <c:pt idx="28">
                  <c:v>2016</c:v>
                </c:pt>
                <c:pt idx="29">
                  <c:v>2017</c:v>
                </c:pt>
                <c:pt idx="30">
                  <c:v>2018</c:v>
                </c:pt>
                <c:pt idx="31">
                  <c:v>2019</c:v>
                </c:pt>
                <c:pt idx="32">
                  <c:v>2020</c:v>
                </c:pt>
                <c:pt idx="33">
                  <c:v>2021</c:v>
                </c:pt>
                <c:pt idx="34">
                  <c:v>2022</c:v>
                </c:pt>
                <c:pt idx="35">
                  <c:v>2023</c:v>
                </c:pt>
                <c:pt idx="36">
                  <c:v>2024</c:v>
                </c:pt>
                <c:pt idx="37">
                  <c:v>2025</c:v>
                </c:pt>
              </c:numCache>
            </c:numRef>
          </c:cat>
          <c:val>
            <c:numRef>
              <c:f>동호동20년!$L$227:$AW$227</c:f>
              <c:numCache>
                <c:formatCode>General</c:formatCode>
                <c:ptCount val="38"/>
                <c:pt idx="19" formatCode="_-* #,##0_-;\-* #,##0_-;_-* &quot;-&quot;_-;_-@_-">
                  <c:v>5531</c:v>
                </c:pt>
                <c:pt idx="20" formatCode="_-* #,##0_-;\-* #,##0_-;_-* &quot;-&quot;_-;_-@_-">
                  <c:v>5849</c:v>
                </c:pt>
                <c:pt idx="21" formatCode="_-* #,##0_-;\-* #,##0_-;_-* &quot;-&quot;_-;_-@_-">
                  <c:v>5715</c:v>
                </c:pt>
                <c:pt idx="22" formatCode="_-* #,##0_-;\-* #,##0_-;_-* &quot;-&quot;_-;_-@_-">
                  <c:v>5580</c:v>
                </c:pt>
                <c:pt idx="23" formatCode="_-* #,##0_-;\-* #,##0_-;_-* &quot;-&quot;_-;_-@_-">
                  <c:v>5446</c:v>
                </c:pt>
                <c:pt idx="24" formatCode="_-* #,##0_-;\-* #,##0_-;_-* &quot;-&quot;_-;_-@_-">
                  <c:v>5311</c:v>
                </c:pt>
                <c:pt idx="25" formatCode="_-* #,##0_-;\-* #,##0_-;_-* &quot;-&quot;_-;_-@_-">
                  <c:v>5177</c:v>
                </c:pt>
                <c:pt idx="26" formatCode="_-* #,##0_-;\-* #,##0_-;_-* &quot;-&quot;_-;_-@_-">
                  <c:v>5042</c:v>
                </c:pt>
                <c:pt idx="27" formatCode="_-* #,##0_-;\-* #,##0_-;_-* &quot;-&quot;_-;_-@_-">
                  <c:v>4908</c:v>
                </c:pt>
                <c:pt idx="28" formatCode="_-* #,##0_-;\-* #,##0_-;_-* &quot;-&quot;_-;_-@_-">
                  <c:v>4773</c:v>
                </c:pt>
                <c:pt idx="29" formatCode="_-* #,##0_-;\-* #,##0_-;_-* &quot;-&quot;_-;_-@_-">
                  <c:v>4639</c:v>
                </c:pt>
                <c:pt idx="30" formatCode="_-* #,##0_-;\-* #,##0_-;_-* &quot;-&quot;_-;_-@_-">
                  <c:v>4504</c:v>
                </c:pt>
                <c:pt idx="31" formatCode="_-* #,##0_-;\-* #,##0_-;_-* &quot;-&quot;_-;_-@_-">
                  <c:v>4370</c:v>
                </c:pt>
                <c:pt idx="32" formatCode="_-* #,##0_-;\-* #,##0_-;_-* &quot;-&quot;_-;_-@_-">
                  <c:v>4235</c:v>
                </c:pt>
                <c:pt idx="33" formatCode="_-* #,##0_-;\-* #,##0_-;_-* &quot;-&quot;_-;_-@_-">
                  <c:v>4101</c:v>
                </c:pt>
                <c:pt idx="34" formatCode="_-* #,##0_-;\-* #,##0_-;_-* &quot;-&quot;_-;_-@_-">
                  <c:v>3966</c:v>
                </c:pt>
                <c:pt idx="35" formatCode="_-* #,##0_-;\-* #,##0_-;_-* &quot;-&quot;_-;_-@_-">
                  <c:v>3832</c:v>
                </c:pt>
                <c:pt idx="36" formatCode="_-* #,##0_-;\-* #,##0_-;_-* &quot;-&quot;_-;_-@_-">
                  <c:v>3697</c:v>
                </c:pt>
                <c:pt idx="37" formatCode="_-* #,##0_-;\-* #,##0_-;_-* &quot;-&quot;_-;_-@_-">
                  <c:v>3563</c:v>
                </c:pt>
              </c:numCache>
            </c:numRef>
          </c:val>
        </c:ser>
        <c:ser>
          <c:idx val="4"/>
          <c:order val="2"/>
          <c:tx>
            <c:v>로지스틱</c:v>
          </c:tx>
          <c:spPr>
            <a:ln w="3175">
              <a:solidFill>
                <a:srgbClr val="800080"/>
              </a:solidFill>
              <a:prstDash val="solid"/>
            </a:ln>
          </c:spPr>
          <c:marker>
            <c:symbol val="circle"/>
            <c:size val="3"/>
            <c:spPr>
              <a:noFill/>
              <a:ln>
                <a:solidFill>
                  <a:srgbClr val="800080"/>
                </a:solidFill>
                <a:prstDash val="solid"/>
              </a:ln>
            </c:spPr>
          </c:marker>
          <c:cat>
            <c:numRef>
              <c:f>동호동20년!$L$225:$AX$225</c:f>
              <c:numCache>
                <c:formatCode>General</c:formatCode>
                <c:ptCount val="39"/>
                <c:pt idx="0">
                  <c:v>1988</c:v>
                </c:pt>
                <c:pt idx="1">
                  <c:v>1989</c:v>
                </c:pt>
                <c:pt idx="2">
                  <c:v>1990</c:v>
                </c:pt>
                <c:pt idx="3">
                  <c:v>1991</c:v>
                </c:pt>
                <c:pt idx="4">
                  <c:v>1992</c:v>
                </c:pt>
                <c:pt idx="5">
                  <c:v>1993</c:v>
                </c:pt>
                <c:pt idx="6">
                  <c:v>1994</c:v>
                </c:pt>
                <c:pt idx="7">
                  <c:v>1995</c:v>
                </c:pt>
                <c:pt idx="8">
                  <c:v>1996</c:v>
                </c:pt>
                <c:pt idx="9">
                  <c:v>1997</c:v>
                </c:pt>
                <c:pt idx="10">
                  <c:v>1998</c:v>
                </c:pt>
                <c:pt idx="11">
                  <c:v>1999</c:v>
                </c:pt>
                <c:pt idx="12">
                  <c:v>2000</c:v>
                </c:pt>
                <c:pt idx="13">
                  <c:v>2001</c:v>
                </c:pt>
                <c:pt idx="14">
                  <c:v>2002</c:v>
                </c:pt>
                <c:pt idx="15">
                  <c:v>2003</c:v>
                </c:pt>
                <c:pt idx="16">
                  <c:v>2004</c:v>
                </c:pt>
                <c:pt idx="17">
                  <c:v>2005</c:v>
                </c:pt>
                <c:pt idx="18">
                  <c:v>2006</c:v>
                </c:pt>
                <c:pt idx="19">
                  <c:v>2007</c:v>
                </c:pt>
                <c:pt idx="20">
                  <c:v>2008</c:v>
                </c:pt>
                <c:pt idx="21">
                  <c:v>2009</c:v>
                </c:pt>
                <c:pt idx="22">
                  <c:v>2010</c:v>
                </c:pt>
                <c:pt idx="23">
                  <c:v>2011</c:v>
                </c:pt>
                <c:pt idx="24">
                  <c:v>2012</c:v>
                </c:pt>
                <c:pt idx="25">
                  <c:v>2013</c:v>
                </c:pt>
                <c:pt idx="26">
                  <c:v>2014</c:v>
                </c:pt>
                <c:pt idx="27">
                  <c:v>2015</c:v>
                </c:pt>
                <c:pt idx="28">
                  <c:v>2016</c:v>
                </c:pt>
                <c:pt idx="29">
                  <c:v>2017</c:v>
                </c:pt>
                <c:pt idx="30">
                  <c:v>2018</c:v>
                </c:pt>
                <c:pt idx="31">
                  <c:v>2019</c:v>
                </c:pt>
                <c:pt idx="32">
                  <c:v>2020</c:v>
                </c:pt>
                <c:pt idx="33">
                  <c:v>2021</c:v>
                </c:pt>
                <c:pt idx="34">
                  <c:v>2022</c:v>
                </c:pt>
                <c:pt idx="35">
                  <c:v>2023</c:v>
                </c:pt>
                <c:pt idx="36">
                  <c:v>2024</c:v>
                </c:pt>
                <c:pt idx="37">
                  <c:v>2025</c:v>
                </c:pt>
              </c:numCache>
            </c:numRef>
          </c:cat>
          <c:val>
            <c:numRef>
              <c:f>동호동20년!$L$230:$AW$230</c:f>
              <c:numCache>
                <c:formatCode>General</c:formatCode>
                <c:ptCount val="38"/>
                <c:pt idx="19" formatCode="_-* #,##0_-;\-* #,##0_-;_-* &quot;-&quot;_-;_-@_-">
                  <c:v>5531</c:v>
                </c:pt>
                <c:pt idx="20" formatCode="_-* #,##0_-;\-* #,##0_-;_-* &quot;-&quot;_-;_-@_-">
                  <c:v>5860</c:v>
                </c:pt>
                <c:pt idx="21" formatCode="_-* #,##0_-;\-* #,##0_-;_-* &quot;-&quot;_-;_-@_-">
                  <c:v>5734</c:v>
                </c:pt>
                <c:pt idx="22" formatCode="_-* #,##0_-;\-* #,##0_-;_-* &quot;-&quot;_-;_-@_-">
                  <c:v>5610</c:v>
                </c:pt>
                <c:pt idx="23" formatCode="_-* #,##0_-;\-* #,##0_-;_-* &quot;-&quot;_-;_-@_-">
                  <c:v>5487</c:v>
                </c:pt>
                <c:pt idx="24" formatCode="_-* #,##0_-;\-* #,##0_-;_-* &quot;-&quot;_-;_-@_-">
                  <c:v>5366</c:v>
                </c:pt>
                <c:pt idx="25" formatCode="_-* #,##0_-;\-* #,##0_-;_-* &quot;-&quot;_-;_-@_-">
                  <c:v>5246</c:v>
                </c:pt>
                <c:pt idx="26" formatCode="_-* #,##0_-;\-* #,##0_-;_-* &quot;-&quot;_-;_-@_-">
                  <c:v>5128</c:v>
                </c:pt>
                <c:pt idx="27" formatCode="_-* #,##0_-;\-* #,##0_-;_-* &quot;-&quot;_-;_-@_-">
                  <c:v>5012</c:v>
                </c:pt>
                <c:pt idx="28" formatCode="_-* #,##0_-;\-* #,##0_-;_-* &quot;-&quot;_-;_-@_-">
                  <c:v>4896</c:v>
                </c:pt>
                <c:pt idx="29" formatCode="_-* #,##0_-;\-* #,##0_-;_-* &quot;-&quot;_-;_-@_-">
                  <c:v>4783</c:v>
                </c:pt>
                <c:pt idx="30" formatCode="_-* #,##0_-;\-* #,##0_-;_-* &quot;-&quot;_-;_-@_-">
                  <c:v>4671</c:v>
                </c:pt>
                <c:pt idx="31" formatCode="_-* #,##0_-;\-* #,##0_-;_-* &quot;-&quot;_-;_-@_-">
                  <c:v>4561</c:v>
                </c:pt>
                <c:pt idx="32" formatCode="_-* #,##0_-;\-* #,##0_-;_-* &quot;-&quot;_-;_-@_-">
                  <c:v>4452</c:v>
                </c:pt>
                <c:pt idx="33" formatCode="_-* #,##0_-;\-* #,##0_-;_-* &quot;-&quot;_-;_-@_-">
                  <c:v>4345</c:v>
                </c:pt>
                <c:pt idx="34" formatCode="_-* #,##0_-;\-* #,##0_-;_-* &quot;-&quot;_-;_-@_-">
                  <c:v>4240</c:v>
                </c:pt>
                <c:pt idx="35" formatCode="_-* #,##0_-;\-* #,##0_-;_-* &quot;-&quot;_-;_-@_-">
                  <c:v>4137</c:v>
                </c:pt>
                <c:pt idx="36" formatCode="_-* #,##0_-;\-* #,##0_-;_-* &quot;-&quot;_-;_-@_-">
                  <c:v>4035</c:v>
                </c:pt>
                <c:pt idx="37" formatCode="_-* #,##0_-;\-* #,##0_-;_-* &quot;-&quot;_-;_-@_-">
                  <c:v>3935</c:v>
                </c:pt>
              </c:numCache>
            </c:numRef>
          </c:val>
        </c:ser>
        <c:ser>
          <c:idx val="5"/>
          <c:order val="3"/>
          <c:tx>
            <c:v>평균(최대최소제외)</c:v>
          </c:tx>
          <c:spPr>
            <a:ln w="3175">
              <a:solidFill>
                <a:srgbClr val="800000"/>
              </a:solidFill>
              <a:prstDash val="sysDash"/>
            </a:ln>
          </c:spPr>
          <c:marker>
            <c:symbol val="circle"/>
            <c:size val="3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동호동20년!$L$225:$AX$225</c:f>
              <c:numCache>
                <c:formatCode>General</c:formatCode>
                <c:ptCount val="39"/>
                <c:pt idx="0">
                  <c:v>1988</c:v>
                </c:pt>
                <c:pt idx="1">
                  <c:v>1989</c:v>
                </c:pt>
                <c:pt idx="2">
                  <c:v>1990</c:v>
                </c:pt>
                <c:pt idx="3">
                  <c:v>1991</c:v>
                </c:pt>
                <c:pt idx="4">
                  <c:v>1992</c:v>
                </c:pt>
                <c:pt idx="5">
                  <c:v>1993</c:v>
                </c:pt>
                <c:pt idx="6">
                  <c:v>1994</c:v>
                </c:pt>
                <c:pt idx="7">
                  <c:v>1995</c:v>
                </c:pt>
                <c:pt idx="8">
                  <c:v>1996</c:v>
                </c:pt>
                <c:pt idx="9">
                  <c:v>1997</c:v>
                </c:pt>
                <c:pt idx="10">
                  <c:v>1998</c:v>
                </c:pt>
                <c:pt idx="11">
                  <c:v>1999</c:v>
                </c:pt>
                <c:pt idx="12">
                  <c:v>2000</c:v>
                </c:pt>
                <c:pt idx="13">
                  <c:v>2001</c:v>
                </c:pt>
                <c:pt idx="14">
                  <c:v>2002</c:v>
                </c:pt>
                <c:pt idx="15">
                  <c:v>2003</c:v>
                </c:pt>
                <c:pt idx="16">
                  <c:v>2004</c:v>
                </c:pt>
                <c:pt idx="17">
                  <c:v>2005</c:v>
                </c:pt>
                <c:pt idx="18">
                  <c:v>2006</c:v>
                </c:pt>
                <c:pt idx="19">
                  <c:v>2007</c:v>
                </c:pt>
                <c:pt idx="20">
                  <c:v>2008</c:v>
                </c:pt>
                <c:pt idx="21">
                  <c:v>2009</c:v>
                </c:pt>
                <c:pt idx="22">
                  <c:v>2010</c:v>
                </c:pt>
                <c:pt idx="23">
                  <c:v>2011</c:v>
                </c:pt>
                <c:pt idx="24">
                  <c:v>2012</c:v>
                </c:pt>
                <c:pt idx="25">
                  <c:v>2013</c:v>
                </c:pt>
                <c:pt idx="26">
                  <c:v>2014</c:v>
                </c:pt>
                <c:pt idx="27">
                  <c:v>2015</c:v>
                </c:pt>
                <c:pt idx="28">
                  <c:v>2016</c:v>
                </c:pt>
                <c:pt idx="29">
                  <c:v>2017</c:v>
                </c:pt>
                <c:pt idx="30">
                  <c:v>2018</c:v>
                </c:pt>
                <c:pt idx="31">
                  <c:v>2019</c:v>
                </c:pt>
                <c:pt idx="32">
                  <c:v>2020</c:v>
                </c:pt>
                <c:pt idx="33">
                  <c:v>2021</c:v>
                </c:pt>
                <c:pt idx="34">
                  <c:v>2022</c:v>
                </c:pt>
                <c:pt idx="35">
                  <c:v>2023</c:v>
                </c:pt>
                <c:pt idx="36">
                  <c:v>2024</c:v>
                </c:pt>
                <c:pt idx="37">
                  <c:v>2025</c:v>
                </c:pt>
              </c:numCache>
            </c:numRef>
          </c:cat>
          <c:val>
            <c:numRef>
              <c:f>동호동20년!$L$231:$AW$231</c:f>
              <c:numCache>
                <c:formatCode>General</c:formatCode>
                <c:ptCount val="38"/>
                <c:pt idx="19" formatCode="_-* #,##0_-;\-* #,##0_-;_-* &quot;-&quot;_-;_-@_-">
                  <c:v>5531</c:v>
                </c:pt>
                <c:pt idx="20" formatCode="#,##0_ ">
                  <c:v>5652</c:v>
                </c:pt>
                <c:pt idx="21" formatCode="#,##0_ ">
                  <c:v>5547.5</c:v>
                </c:pt>
                <c:pt idx="22" formatCode="#,##0_ ">
                  <c:v>5442.5</c:v>
                </c:pt>
                <c:pt idx="23" formatCode="#,##0_ ">
                  <c:v>5339</c:v>
                </c:pt>
                <c:pt idx="24" formatCode="#,##0_ ">
                  <c:v>5235</c:v>
                </c:pt>
                <c:pt idx="25" formatCode="#,##0_ ">
                  <c:v>5132.5</c:v>
                </c:pt>
                <c:pt idx="26" formatCode="#,##0_ ">
                  <c:v>5030</c:v>
                </c:pt>
                <c:pt idx="27" formatCode="#,##0_ ">
                  <c:v>4928</c:v>
                </c:pt>
                <c:pt idx="28" formatCode="#,##0_ ">
                  <c:v>4826.5</c:v>
                </c:pt>
                <c:pt idx="29" formatCode="#,##0_ ">
                  <c:v>4716</c:v>
                </c:pt>
                <c:pt idx="30" formatCode="#,##0_ ">
                  <c:v>4616</c:v>
                </c:pt>
                <c:pt idx="31" formatCode="#,##0_ ">
                  <c:v>4516.5</c:v>
                </c:pt>
                <c:pt idx="32" formatCode="#,##0_ ">
                  <c:v>4418</c:v>
                </c:pt>
                <c:pt idx="33" formatCode="#,##0_ ">
                  <c:v>4320.5</c:v>
                </c:pt>
                <c:pt idx="34" formatCode="#,##0_ ">
                  <c:v>4224</c:v>
                </c:pt>
                <c:pt idx="35" formatCode="#,##0_ ">
                  <c:v>4128.5</c:v>
                </c:pt>
                <c:pt idx="36" formatCode="#,##0_ ">
                  <c:v>4033</c:v>
                </c:pt>
                <c:pt idx="37" formatCode="#,##0_ ">
                  <c:v>3939</c:v>
                </c:pt>
              </c:numCache>
            </c:numRef>
          </c:val>
        </c:ser>
        <c:ser>
          <c:idx val="6"/>
          <c:order val="4"/>
          <c:tx>
            <c:v>과거</c:v>
          </c:tx>
          <c:spPr>
            <a:ln w="12700">
              <a:solidFill>
                <a:srgbClr val="008080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008080"/>
                </a:solidFill>
                <a:prstDash val="solid"/>
              </a:ln>
            </c:spPr>
          </c:marker>
          <c:cat>
            <c:numRef>
              <c:f>동호동20년!$L$225:$AX$225</c:f>
              <c:numCache>
                <c:formatCode>General</c:formatCode>
                <c:ptCount val="39"/>
                <c:pt idx="0">
                  <c:v>1988</c:v>
                </c:pt>
                <c:pt idx="1">
                  <c:v>1989</c:v>
                </c:pt>
                <c:pt idx="2">
                  <c:v>1990</c:v>
                </c:pt>
                <c:pt idx="3">
                  <c:v>1991</c:v>
                </c:pt>
                <c:pt idx="4">
                  <c:v>1992</c:v>
                </c:pt>
                <c:pt idx="5">
                  <c:v>1993</c:v>
                </c:pt>
                <c:pt idx="6">
                  <c:v>1994</c:v>
                </c:pt>
                <c:pt idx="7">
                  <c:v>1995</c:v>
                </c:pt>
                <c:pt idx="8">
                  <c:v>1996</c:v>
                </c:pt>
                <c:pt idx="9">
                  <c:v>1997</c:v>
                </c:pt>
                <c:pt idx="10">
                  <c:v>1998</c:v>
                </c:pt>
                <c:pt idx="11">
                  <c:v>1999</c:v>
                </c:pt>
                <c:pt idx="12">
                  <c:v>2000</c:v>
                </c:pt>
                <c:pt idx="13">
                  <c:v>2001</c:v>
                </c:pt>
                <c:pt idx="14">
                  <c:v>2002</c:v>
                </c:pt>
                <c:pt idx="15">
                  <c:v>2003</c:v>
                </c:pt>
                <c:pt idx="16">
                  <c:v>2004</c:v>
                </c:pt>
                <c:pt idx="17">
                  <c:v>2005</c:v>
                </c:pt>
                <c:pt idx="18">
                  <c:v>2006</c:v>
                </c:pt>
                <c:pt idx="19">
                  <c:v>2007</c:v>
                </c:pt>
                <c:pt idx="20">
                  <c:v>2008</c:v>
                </c:pt>
                <c:pt idx="21">
                  <c:v>2009</c:v>
                </c:pt>
                <c:pt idx="22">
                  <c:v>2010</c:v>
                </c:pt>
                <c:pt idx="23">
                  <c:v>2011</c:v>
                </c:pt>
                <c:pt idx="24">
                  <c:v>2012</c:v>
                </c:pt>
                <c:pt idx="25">
                  <c:v>2013</c:v>
                </c:pt>
                <c:pt idx="26">
                  <c:v>2014</c:v>
                </c:pt>
                <c:pt idx="27">
                  <c:v>2015</c:v>
                </c:pt>
                <c:pt idx="28">
                  <c:v>2016</c:v>
                </c:pt>
                <c:pt idx="29">
                  <c:v>2017</c:v>
                </c:pt>
                <c:pt idx="30">
                  <c:v>2018</c:v>
                </c:pt>
                <c:pt idx="31">
                  <c:v>2019</c:v>
                </c:pt>
                <c:pt idx="32">
                  <c:v>2020</c:v>
                </c:pt>
                <c:pt idx="33">
                  <c:v>2021</c:v>
                </c:pt>
                <c:pt idx="34">
                  <c:v>2022</c:v>
                </c:pt>
                <c:pt idx="35">
                  <c:v>2023</c:v>
                </c:pt>
                <c:pt idx="36">
                  <c:v>2024</c:v>
                </c:pt>
                <c:pt idx="37">
                  <c:v>2025</c:v>
                </c:pt>
              </c:numCache>
            </c:numRef>
          </c:cat>
          <c:val>
            <c:numRef>
              <c:f>동호동20년!$L$223:$AG$223</c:f>
              <c:numCache>
                <c:formatCode>_-* #,##0_-;\-* #,##0_-;_-* "-"_-;_-@_-</c:formatCode>
                <c:ptCount val="22"/>
                <c:pt idx="0" formatCode="General">
                  <c:v>7207</c:v>
                </c:pt>
                <c:pt idx="1">
                  <c:v>7794</c:v>
                </c:pt>
                <c:pt idx="2" formatCode="General">
                  <c:v>7610</c:v>
                </c:pt>
                <c:pt idx="3">
                  <c:v>8555</c:v>
                </c:pt>
                <c:pt idx="4" formatCode="General">
                  <c:v>8489</c:v>
                </c:pt>
                <c:pt idx="5">
                  <c:v>8453</c:v>
                </c:pt>
                <c:pt idx="6">
                  <c:v>8351</c:v>
                </c:pt>
                <c:pt idx="7">
                  <c:v>8005</c:v>
                </c:pt>
                <c:pt idx="8">
                  <c:v>7874</c:v>
                </c:pt>
                <c:pt idx="9">
                  <c:v>7667</c:v>
                </c:pt>
                <c:pt idx="10">
                  <c:v>7586</c:v>
                </c:pt>
                <c:pt idx="11">
                  <c:v>7436</c:v>
                </c:pt>
                <c:pt idx="12">
                  <c:v>7135</c:v>
                </c:pt>
                <c:pt idx="13">
                  <c:v>6834</c:v>
                </c:pt>
                <c:pt idx="14">
                  <c:v>6429</c:v>
                </c:pt>
                <c:pt idx="15">
                  <c:v>6136</c:v>
                </c:pt>
                <c:pt idx="16">
                  <c:v>6182</c:v>
                </c:pt>
                <c:pt idx="17">
                  <c:v>6155</c:v>
                </c:pt>
                <c:pt idx="18">
                  <c:v>5800</c:v>
                </c:pt>
                <c:pt idx="19">
                  <c:v>5531</c:v>
                </c:pt>
                <c:pt idx="20">
                  <c:v>5860</c:v>
                </c:pt>
              </c:numCache>
            </c:numRef>
          </c:val>
        </c:ser>
        <c:ser>
          <c:idx val="2"/>
          <c:order val="5"/>
          <c:tx>
            <c:v>등비</c:v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FF0000"/>
                </a:solidFill>
                <a:prstDash val="solid"/>
              </a:ln>
            </c:spPr>
          </c:marker>
          <c:val>
            <c:numRef>
              <c:f>동호동20년!$L$228:$AW$228</c:f>
              <c:numCache>
                <c:formatCode>General</c:formatCode>
                <c:ptCount val="38"/>
                <c:pt idx="19" formatCode="_-* #,##0_-;\-* #,##0_-;_-* &quot;-&quot;_-;_-@_-">
                  <c:v>5531</c:v>
                </c:pt>
                <c:pt idx="20" formatCode="_-* #,##0_-;\-* #,##0_-;_-* &quot;-&quot;_-;_-@_-">
                  <c:v>5455</c:v>
                </c:pt>
                <c:pt idx="21" formatCode="_-* #,##0_-;\-* #,##0_-;_-* &quot;-&quot;_-;_-@_-">
                  <c:v>5380</c:v>
                </c:pt>
                <c:pt idx="22" formatCode="_-* #,##0_-;\-* #,##0_-;_-* &quot;-&quot;_-;_-@_-">
                  <c:v>5305</c:v>
                </c:pt>
                <c:pt idx="23" formatCode="_-* #,##0_-;\-* #,##0_-;_-* &quot;-&quot;_-;_-@_-">
                  <c:v>5232</c:v>
                </c:pt>
                <c:pt idx="24" formatCode="_-* #,##0_-;\-* #,##0_-;_-* &quot;-&quot;_-;_-@_-">
                  <c:v>5159</c:v>
                </c:pt>
                <c:pt idx="25" formatCode="_-* #,##0_-;\-* #,##0_-;_-* &quot;-&quot;_-;_-@_-">
                  <c:v>5088</c:v>
                </c:pt>
                <c:pt idx="26" formatCode="_-* #,##0_-;\-* #,##0_-;_-* &quot;-&quot;_-;_-@_-">
                  <c:v>5018</c:v>
                </c:pt>
                <c:pt idx="27" formatCode="_-* #,##0_-;\-* #,##0_-;_-* &quot;-&quot;_-;_-@_-">
                  <c:v>4948</c:v>
                </c:pt>
                <c:pt idx="28" formatCode="_-* #,##0_-;\-* #,##0_-;_-* &quot;-&quot;_-;_-@_-">
                  <c:v>4880</c:v>
                </c:pt>
                <c:pt idx="29" formatCode="_-* #,##0_-;\-* #,##0_-;_-* &quot;-&quot;_-;_-@_-">
                  <c:v>4812</c:v>
                </c:pt>
                <c:pt idx="30" formatCode="_-* #,##0_-;\-* #,##0_-;_-* &quot;-&quot;_-;_-@_-">
                  <c:v>4746</c:v>
                </c:pt>
                <c:pt idx="31" formatCode="_-* #,##0_-;\-* #,##0_-;_-* &quot;-&quot;_-;_-@_-">
                  <c:v>4680</c:v>
                </c:pt>
                <c:pt idx="32" formatCode="_-* #,##0_-;\-* #,##0_-;_-* &quot;-&quot;_-;_-@_-">
                  <c:v>4615</c:v>
                </c:pt>
                <c:pt idx="33" formatCode="_-* #,##0_-;\-* #,##0_-;_-* &quot;-&quot;_-;_-@_-">
                  <c:v>4552</c:v>
                </c:pt>
                <c:pt idx="34" formatCode="_-* #,##0_-;\-* #,##0_-;_-* &quot;-&quot;_-;_-@_-">
                  <c:v>4489</c:v>
                </c:pt>
                <c:pt idx="35" formatCode="_-* #,##0_-;\-* #,##0_-;_-* &quot;-&quot;_-;_-@_-">
                  <c:v>4427</c:v>
                </c:pt>
                <c:pt idx="36" formatCode="_-* #,##0_-;\-* #,##0_-;_-* &quot;-&quot;_-;_-@_-">
                  <c:v>4365</c:v>
                </c:pt>
                <c:pt idx="37" formatCode="_-* #,##0_-;\-* #,##0_-;_-* &quot;-&quot;_-;_-@_-">
                  <c:v>4305</c:v>
                </c:pt>
              </c:numCache>
            </c:numRef>
          </c:val>
        </c:ser>
        <c:marker val="1"/>
        <c:axId val="129763200"/>
        <c:axId val="129870080"/>
      </c:lineChart>
      <c:catAx>
        <c:axId val="129763200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875" b="0" i="0" u="none" strike="noStrike" baseline="0">
                    <a:solidFill>
                      <a:srgbClr val="000000"/>
                    </a:solidFill>
                    <a:latin typeface="돋움"/>
                    <a:ea typeface="돋움"/>
                    <a:cs typeface="돋움"/>
                  </a:defRPr>
                </a:pPr>
                <a:r>
                  <a:rPr altLang="en-US"/>
                  <a:t>연도</a:t>
                </a:r>
              </a:p>
            </c:rich>
          </c:tx>
          <c:layout>
            <c:manualLayout>
              <c:xMode val="edge"/>
              <c:yMode val="edge"/>
              <c:x val="0.50000023539658589"/>
              <c:y val="0.81939243336028011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maj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돋움"/>
                <a:ea typeface="돋움"/>
                <a:cs typeface="돋움"/>
              </a:defRPr>
            </a:pPr>
            <a:endParaRPr lang="ko-KR"/>
          </a:p>
        </c:txPr>
        <c:crossAx val="129870080"/>
        <c:crosses val="autoZero"/>
        <c:auto val="1"/>
        <c:lblAlgn val="ctr"/>
        <c:lblOffset val="100"/>
        <c:tickLblSkip val="2"/>
        <c:tickMarkSkip val="1"/>
      </c:catAx>
      <c:valAx>
        <c:axId val="129870080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맑은 고딕"/>
                    <a:ea typeface="맑은 고딕"/>
                    <a:cs typeface="맑은 고딕"/>
                  </a:defRPr>
                </a:pPr>
                <a:r>
                  <a:rPr lang="ko-KR" altLang="en-US" sz="875" b="0" i="0" strike="noStrike">
                    <a:solidFill>
                      <a:srgbClr val="000000"/>
                    </a:solidFill>
                    <a:latin typeface="돋움"/>
                    <a:ea typeface="돋움"/>
                  </a:rPr>
                  <a:t>인구</a:t>
                </a:r>
                <a:r>
                  <a:rPr lang="en-US" altLang="ko-KR" sz="875" b="0" i="0" strike="noStrike">
                    <a:solidFill>
                      <a:srgbClr val="000000"/>
                    </a:solidFill>
                    <a:latin typeface="돋움"/>
                    <a:ea typeface="돋움"/>
                  </a:rPr>
                  <a:t>(</a:t>
                </a:r>
                <a:r>
                  <a:rPr lang="ko-KR" altLang="en-US" sz="875" b="0" i="0" strike="noStrike">
                    <a:solidFill>
                      <a:srgbClr val="000000"/>
                    </a:solidFill>
                    <a:latin typeface="돋움"/>
                    <a:ea typeface="돋움"/>
                  </a:rPr>
                  <a:t>명</a:t>
                </a:r>
                <a:r>
                  <a:rPr lang="en-US" altLang="ko-KR" sz="875" b="0" i="0" strike="noStrike">
                    <a:solidFill>
                      <a:srgbClr val="000000"/>
                    </a:solidFill>
                    <a:latin typeface="돋움"/>
                    <a:ea typeface="돋움"/>
                  </a:rPr>
                  <a:t>)</a:t>
                </a:r>
              </a:p>
            </c:rich>
          </c:tx>
          <c:layout>
            <c:manualLayout>
              <c:xMode val="edge"/>
              <c:yMode val="edge"/>
              <c:x val="2.5784753363228687E-2"/>
              <c:y val="0.38212967675618492"/>
            </c:manualLayout>
          </c:layout>
          <c:spPr>
            <a:noFill/>
            <a:ln w="25400">
              <a:noFill/>
            </a:ln>
          </c:spPr>
        </c:title>
        <c:numFmt formatCode="#,##0_ " sourceLinked="0"/>
        <c:maj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돋움"/>
                <a:ea typeface="돋움"/>
                <a:cs typeface="돋움"/>
              </a:defRPr>
            </a:pPr>
            <a:endParaRPr lang="ko-KR"/>
          </a:p>
        </c:txPr>
        <c:crossAx val="129763200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wMode val="edge"/>
          <c:hMode val="edge"/>
          <c:x val="0.12668173204806787"/>
          <c:y val="0.89733920142111512"/>
          <c:w val="0.91479879476948922"/>
          <c:h val="0.95817570332225577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돋움"/>
              <a:ea typeface="돋움"/>
              <a:cs typeface="돋움"/>
            </a:defRPr>
          </a:pPr>
          <a:endParaRPr lang="ko-KR"/>
        </a:p>
      </c:txPr>
    </c:legend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75" b="0" i="0" u="none" strike="noStrike" baseline="0">
          <a:solidFill>
            <a:srgbClr val="000000"/>
          </a:solidFill>
          <a:latin typeface="돋움"/>
          <a:ea typeface="돋움"/>
          <a:cs typeface="돋움"/>
        </a:defRPr>
      </a:pPr>
      <a:endParaRPr lang="ko-KR"/>
    </a:p>
  </c:txPr>
  <c:printSettings>
    <c:headerFooter alignWithMargins="0"/>
    <c:pageMargins b="1" l="0.75000000000000144" r="0.75000000000000144" t="1" header="0.5" footer="0.5"/>
    <c:pageSetup paperSize="9" orientation="landscape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ko-KR"/>
  <c:chart>
    <c:title>
      <c:tx>
        <c:rich>
          <a:bodyPr/>
          <a:lstStyle/>
          <a:p>
            <a:pPr>
              <a:defRPr sz="1175" b="1" i="0" u="none" strike="noStrike" baseline="0">
                <a:solidFill>
                  <a:srgbClr val="000000"/>
                </a:solidFill>
                <a:latin typeface="돋움"/>
                <a:ea typeface="돋움"/>
                <a:cs typeface="돋움"/>
              </a:defRPr>
            </a:pPr>
            <a:r>
              <a:rPr altLang="en-US"/>
              <a:t>동호동</a:t>
            </a:r>
          </a:p>
        </c:rich>
      </c:tx>
      <c:layout>
        <c:manualLayout>
          <c:xMode val="edge"/>
          <c:yMode val="edge"/>
          <c:x val="0.46861010086743682"/>
          <c:y val="2.8517110266159756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9.7533685676984214E-2"/>
          <c:y val="9.3155980012012529E-2"/>
          <c:w val="0.83744440460583214"/>
          <c:h val="0.67680671192400665"/>
        </c:manualLayout>
      </c:layout>
      <c:lineChart>
        <c:grouping val="standard"/>
        <c:ser>
          <c:idx val="0"/>
          <c:order val="0"/>
          <c:tx>
            <c:v>등차</c:v>
          </c:tx>
          <c:spPr>
            <a:ln w="3175">
              <a:solidFill>
                <a:srgbClr val="000080"/>
              </a:solidFill>
              <a:prstDash val="solid"/>
            </a:ln>
          </c:spPr>
          <c:marker>
            <c:symbol val="diamond"/>
            <c:size val="3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동호동10!$L$181:$AO$181</c:f>
              <c:numCache>
                <c:formatCode>General</c:formatCode>
                <c:ptCount val="30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  <c:pt idx="22">
                  <c:v>2019</c:v>
                </c:pt>
                <c:pt idx="23">
                  <c:v>2020</c:v>
                </c:pt>
                <c:pt idx="24">
                  <c:v>2021</c:v>
                </c:pt>
                <c:pt idx="25">
                  <c:v>2022</c:v>
                </c:pt>
                <c:pt idx="26">
                  <c:v>2023</c:v>
                </c:pt>
                <c:pt idx="27">
                  <c:v>2024</c:v>
                </c:pt>
                <c:pt idx="28">
                  <c:v>2025</c:v>
                </c:pt>
                <c:pt idx="29">
                  <c:v>2026</c:v>
                </c:pt>
              </c:numCache>
            </c:numRef>
          </c:cat>
          <c:val>
            <c:numRef>
              <c:f>동호동10!$L$182:$AN$182</c:f>
              <c:numCache>
                <c:formatCode>General</c:formatCode>
                <c:ptCount val="29"/>
                <c:pt idx="10" formatCode="_-* #,##0_-;\-* #,##0_-;_-* &quot;-&quot;_-;_-@_-">
                  <c:v>5531</c:v>
                </c:pt>
                <c:pt idx="11" formatCode="_-* #,##0_-;\-* #,##0_-;_-* &quot;-&quot;_-;_-@_-">
                  <c:v>5317</c:v>
                </c:pt>
                <c:pt idx="12" formatCode="_-* #,##0_-;\-* #,##0_-;_-* &quot;-&quot;_-;_-@_-">
                  <c:v>5104</c:v>
                </c:pt>
                <c:pt idx="13" formatCode="_-* #,##0_-;\-* #,##0_-;_-* &quot;-&quot;_-;_-@_-">
                  <c:v>4890</c:v>
                </c:pt>
                <c:pt idx="14" formatCode="_-* #,##0_-;\-* #,##0_-;_-* &quot;-&quot;_-;_-@_-">
                  <c:v>4677</c:v>
                </c:pt>
                <c:pt idx="15" formatCode="_-* #,##0_-;\-* #,##0_-;_-* &quot;-&quot;_-;_-@_-">
                  <c:v>4463</c:v>
                </c:pt>
                <c:pt idx="16" formatCode="_-* #,##0_-;\-* #,##0_-;_-* &quot;-&quot;_-;_-@_-">
                  <c:v>4249</c:v>
                </c:pt>
                <c:pt idx="17" formatCode="_-* #,##0_-;\-* #,##0_-;_-* &quot;-&quot;_-;_-@_-">
                  <c:v>4036</c:v>
                </c:pt>
                <c:pt idx="18" formatCode="_-* #,##0_-;\-* #,##0_-;_-* &quot;-&quot;_-;_-@_-">
                  <c:v>3822</c:v>
                </c:pt>
                <c:pt idx="19" formatCode="_-* #,##0_-;\-* #,##0_-;_-* &quot;-&quot;_-;_-@_-">
                  <c:v>3609</c:v>
                </c:pt>
                <c:pt idx="20" formatCode="_-* #,##0_-;\-* #,##0_-;_-* &quot;-&quot;_-;_-@_-">
                  <c:v>3395</c:v>
                </c:pt>
                <c:pt idx="21" formatCode="_-* #,##0_-;\-* #,##0_-;_-* &quot;-&quot;_-;_-@_-">
                  <c:v>3181</c:v>
                </c:pt>
                <c:pt idx="22" formatCode="_-* #,##0_-;\-* #,##0_-;_-* &quot;-&quot;_-;_-@_-">
                  <c:v>2968</c:v>
                </c:pt>
                <c:pt idx="23" formatCode="_-* #,##0_-;\-* #,##0_-;_-* &quot;-&quot;_-;_-@_-">
                  <c:v>2754</c:v>
                </c:pt>
                <c:pt idx="24" formatCode="_-* #,##0_-;\-* #,##0_-;_-* &quot;-&quot;_-;_-@_-">
                  <c:v>2541</c:v>
                </c:pt>
                <c:pt idx="25" formatCode="_-* #,##0_-;\-* #,##0_-;_-* &quot;-&quot;_-;_-@_-">
                  <c:v>2327</c:v>
                </c:pt>
                <c:pt idx="26" formatCode="_-* #,##0_-;\-* #,##0_-;_-* &quot;-&quot;_-;_-@_-">
                  <c:v>2113</c:v>
                </c:pt>
                <c:pt idx="27" formatCode="_-* #,##0_-;\-* #,##0_-;_-* &quot;-&quot;_-;_-@_-">
                  <c:v>1900</c:v>
                </c:pt>
                <c:pt idx="28" formatCode="_-* #,##0_-;\-* #,##0_-;_-* &quot;-&quot;_-;_-@_-">
                  <c:v>1686</c:v>
                </c:pt>
              </c:numCache>
            </c:numRef>
          </c:val>
        </c:ser>
        <c:ser>
          <c:idx val="1"/>
          <c:order val="1"/>
          <c:tx>
            <c:v>최소</c:v>
          </c:tx>
          <c:spPr>
            <a:ln w="3175">
              <a:solidFill>
                <a:srgbClr val="FF00FF"/>
              </a:solidFill>
              <a:prstDash val="solid"/>
            </a:ln>
          </c:spPr>
          <c:marker>
            <c:symbol val="square"/>
            <c:size val="3"/>
            <c:spPr>
              <a:noFill/>
              <a:ln>
                <a:solidFill>
                  <a:srgbClr val="FF00FF"/>
                </a:solidFill>
                <a:prstDash val="solid"/>
              </a:ln>
            </c:spPr>
          </c:marker>
          <c:cat>
            <c:numRef>
              <c:f>동호동10!$L$181:$AO$181</c:f>
              <c:numCache>
                <c:formatCode>General</c:formatCode>
                <c:ptCount val="30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  <c:pt idx="22">
                  <c:v>2019</c:v>
                </c:pt>
                <c:pt idx="23">
                  <c:v>2020</c:v>
                </c:pt>
                <c:pt idx="24">
                  <c:v>2021</c:v>
                </c:pt>
                <c:pt idx="25">
                  <c:v>2022</c:v>
                </c:pt>
                <c:pt idx="26">
                  <c:v>2023</c:v>
                </c:pt>
                <c:pt idx="27">
                  <c:v>2024</c:v>
                </c:pt>
                <c:pt idx="28">
                  <c:v>2025</c:v>
                </c:pt>
                <c:pt idx="29">
                  <c:v>2026</c:v>
                </c:pt>
              </c:numCache>
            </c:numRef>
          </c:cat>
          <c:val>
            <c:numRef>
              <c:f>동호동10!$L$183:$AN$183</c:f>
              <c:numCache>
                <c:formatCode>General</c:formatCode>
                <c:ptCount val="29"/>
                <c:pt idx="10" formatCode="_-* #,##0_-;\-* #,##0_-;_-* &quot;-&quot;_-;_-@_-">
                  <c:v>5531</c:v>
                </c:pt>
                <c:pt idx="11" formatCode="_-* #,##0_-;\-* #,##0_-;_-* &quot;-&quot;_-;_-@_-">
                  <c:v>5303</c:v>
                </c:pt>
                <c:pt idx="12" formatCode="_-* #,##0_-;\-* #,##0_-;_-* &quot;-&quot;_-;_-@_-">
                  <c:v>5082</c:v>
                </c:pt>
                <c:pt idx="13" formatCode="_-* #,##0_-;\-* #,##0_-;_-* &quot;-&quot;_-;_-@_-">
                  <c:v>4861</c:v>
                </c:pt>
                <c:pt idx="14" formatCode="_-* #,##0_-;\-* #,##0_-;_-* &quot;-&quot;_-;_-@_-">
                  <c:v>4641</c:v>
                </c:pt>
                <c:pt idx="15" formatCode="_-* #,##0_-;\-* #,##0_-;_-* &quot;-&quot;_-;_-@_-">
                  <c:v>4420</c:v>
                </c:pt>
                <c:pt idx="16" formatCode="_-* #,##0_-;\-* #,##0_-;_-* &quot;-&quot;_-;_-@_-">
                  <c:v>4199</c:v>
                </c:pt>
                <c:pt idx="17" formatCode="_-* #,##0_-;\-* #,##0_-;_-* &quot;-&quot;_-;_-@_-">
                  <c:v>3979</c:v>
                </c:pt>
                <c:pt idx="18" formatCode="_-* #,##0_-;\-* #,##0_-;_-* &quot;-&quot;_-;_-@_-">
                  <c:v>3758</c:v>
                </c:pt>
                <c:pt idx="19" formatCode="_-* #,##0_-;\-* #,##0_-;_-* &quot;-&quot;_-;_-@_-">
                  <c:v>3537</c:v>
                </c:pt>
                <c:pt idx="20" formatCode="_-* #,##0_-;\-* #,##0_-;_-* &quot;-&quot;_-;_-@_-">
                  <c:v>3317</c:v>
                </c:pt>
                <c:pt idx="21" formatCode="_-* #,##0_-;\-* #,##0_-;_-* &quot;-&quot;_-;_-@_-">
                  <c:v>3096</c:v>
                </c:pt>
                <c:pt idx="22" formatCode="_-* #,##0_-;\-* #,##0_-;_-* &quot;-&quot;_-;_-@_-">
                  <c:v>2875</c:v>
                </c:pt>
                <c:pt idx="23" formatCode="_-* #,##0_-;\-* #,##0_-;_-* &quot;-&quot;_-;_-@_-">
                  <c:v>2655</c:v>
                </c:pt>
                <c:pt idx="24" formatCode="_-* #,##0_-;\-* #,##0_-;_-* &quot;-&quot;_-;_-@_-">
                  <c:v>2434</c:v>
                </c:pt>
                <c:pt idx="25" formatCode="_-* #,##0_-;\-* #,##0_-;_-* &quot;-&quot;_-;_-@_-">
                  <c:v>2214</c:v>
                </c:pt>
                <c:pt idx="26" formatCode="_-* #,##0_-;\-* #,##0_-;_-* &quot;-&quot;_-;_-@_-">
                  <c:v>1993</c:v>
                </c:pt>
                <c:pt idx="27" formatCode="_-* #,##0_-;\-* #,##0_-;_-* &quot;-&quot;_-;_-@_-">
                  <c:v>1772</c:v>
                </c:pt>
                <c:pt idx="28" formatCode="_-* #,##0_-;\-* #,##0_-;_-* &quot;-&quot;_-;_-@_-">
                  <c:v>1552</c:v>
                </c:pt>
              </c:numCache>
            </c:numRef>
          </c:val>
        </c:ser>
        <c:ser>
          <c:idx val="4"/>
          <c:order val="2"/>
          <c:tx>
            <c:v>로지스틱</c:v>
          </c:tx>
          <c:spPr>
            <a:ln w="3175">
              <a:solidFill>
                <a:srgbClr val="800080"/>
              </a:solidFill>
              <a:prstDash val="solid"/>
            </a:ln>
          </c:spPr>
          <c:marker>
            <c:symbol val="circle"/>
            <c:size val="3"/>
            <c:spPr>
              <a:noFill/>
              <a:ln>
                <a:solidFill>
                  <a:srgbClr val="800080"/>
                </a:solidFill>
                <a:prstDash val="solid"/>
              </a:ln>
            </c:spPr>
          </c:marker>
          <c:cat>
            <c:numRef>
              <c:f>동호동10!$L$181:$AO$181</c:f>
              <c:numCache>
                <c:formatCode>General</c:formatCode>
                <c:ptCount val="30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  <c:pt idx="22">
                  <c:v>2019</c:v>
                </c:pt>
                <c:pt idx="23">
                  <c:v>2020</c:v>
                </c:pt>
                <c:pt idx="24">
                  <c:v>2021</c:v>
                </c:pt>
                <c:pt idx="25">
                  <c:v>2022</c:v>
                </c:pt>
                <c:pt idx="26">
                  <c:v>2023</c:v>
                </c:pt>
                <c:pt idx="27">
                  <c:v>2024</c:v>
                </c:pt>
                <c:pt idx="28">
                  <c:v>2025</c:v>
                </c:pt>
                <c:pt idx="29">
                  <c:v>2026</c:v>
                </c:pt>
              </c:numCache>
            </c:numRef>
          </c:cat>
          <c:val>
            <c:numRef>
              <c:f>동호동10!$L$186:$AN$186</c:f>
              <c:numCache>
                <c:formatCode>General</c:formatCode>
                <c:ptCount val="29"/>
                <c:pt idx="10" formatCode="_-* #,##0_-;\-* #,##0_-;_-* &quot;-&quot;_-;_-@_-">
                  <c:v>5531</c:v>
                </c:pt>
                <c:pt idx="11" formatCode="_-* #,##0_-;\-* #,##0_-;_-* &quot;-&quot;_-;_-@_-">
                  <c:v>5333</c:v>
                </c:pt>
                <c:pt idx="12" formatCode="_-* #,##0_-;\-* #,##0_-;_-* &quot;-&quot;_-;_-@_-">
                  <c:v>5130</c:v>
                </c:pt>
                <c:pt idx="13" formatCode="_-* #,##0_-;\-* #,##0_-;_-* &quot;-&quot;_-;_-@_-">
                  <c:v>4931</c:v>
                </c:pt>
                <c:pt idx="14" formatCode="_-* #,##0_-;\-* #,##0_-;_-* &quot;-&quot;_-;_-@_-">
                  <c:v>4736</c:v>
                </c:pt>
                <c:pt idx="15" formatCode="_-* #,##0_-;\-* #,##0_-;_-* &quot;-&quot;_-;_-@_-">
                  <c:v>4546</c:v>
                </c:pt>
                <c:pt idx="16" formatCode="_-* #,##0_-;\-* #,##0_-;_-* &quot;-&quot;_-;_-@_-">
                  <c:v>4360</c:v>
                </c:pt>
                <c:pt idx="17" formatCode="_-* #,##0_-;\-* #,##0_-;_-* &quot;-&quot;_-;_-@_-">
                  <c:v>4178</c:v>
                </c:pt>
                <c:pt idx="18" formatCode="_-* #,##0_-;\-* #,##0_-;_-* &quot;-&quot;_-;_-@_-">
                  <c:v>4002</c:v>
                </c:pt>
                <c:pt idx="19" formatCode="_-* #,##0_-;\-* #,##0_-;_-* &quot;-&quot;_-;_-@_-">
                  <c:v>3830</c:v>
                </c:pt>
                <c:pt idx="20" formatCode="_-* #,##0_-;\-* #,##0_-;_-* &quot;-&quot;_-;_-@_-">
                  <c:v>3663</c:v>
                </c:pt>
                <c:pt idx="21" formatCode="_-* #,##0_-;\-* #,##0_-;_-* &quot;-&quot;_-;_-@_-">
                  <c:v>3502</c:v>
                </c:pt>
                <c:pt idx="22" formatCode="_-* #,##0_-;\-* #,##0_-;_-* &quot;-&quot;_-;_-@_-">
                  <c:v>3345</c:v>
                </c:pt>
                <c:pt idx="23" formatCode="_-* #,##0_-;\-* #,##0_-;_-* &quot;-&quot;_-;_-@_-">
                  <c:v>3194</c:v>
                </c:pt>
                <c:pt idx="24" formatCode="_-* #,##0_-;\-* #,##0_-;_-* &quot;-&quot;_-;_-@_-">
                  <c:v>3048</c:v>
                </c:pt>
                <c:pt idx="25" formatCode="_-* #,##0_-;\-* #,##0_-;_-* &quot;-&quot;_-;_-@_-">
                  <c:v>2906</c:v>
                </c:pt>
                <c:pt idx="26" formatCode="_-* #,##0_-;\-* #,##0_-;_-* &quot;-&quot;_-;_-@_-">
                  <c:v>2770</c:v>
                </c:pt>
                <c:pt idx="27" formatCode="_-* #,##0_-;\-* #,##0_-;_-* &quot;-&quot;_-;_-@_-">
                  <c:v>2639</c:v>
                </c:pt>
                <c:pt idx="28" formatCode="_-* #,##0_-;\-* #,##0_-;_-* &quot;-&quot;_-;_-@_-">
                  <c:v>2513</c:v>
                </c:pt>
              </c:numCache>
            </c:numRef>
          </c:val>
        </c:ser>
        <c:ser>
          <c:idx val="5"/>
          <c:order val="3"/>
          <c:tx>
            <c:v>평균(최대최소제외)</c:v>
          </c:tx>
          <c:spPr>
            <a:ln w="3175">
              <a:solidFill>
                <a:srgbClr val="800000"/>
              </a:solidFill>
              <a:prstDash val="sysDash"/>
            </a:ln>
          </c:spPr>
          <c:marker>
            <c:symbol val="circle"/>
            <c:size val="3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동호동10!$L$181:$AO$181</c:f>
              <c:numCache>
                <c:formatCode>General</c:formatCode>
                <c:ptCount val="30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  <c:pt idx="22">
                  <c:v>2019</c:v>
                </c:pt>
                <c:pt idx="23">
                  <c:v>2020</c:v>
                </c:pt>
                <c:pt idx="24">
                  <c:v>2021</c:v>
                </c:pt>
                <c:pt idx="25">
                  <c:v>2022</c:v>
                </c:pt>
                <c:pt idx="26">
                  <c:v>2023</c:v>
                </c:pt>
                <c:pt idx="27">
                  <c:v>2024</c:v>
                </c:pt>
                <c:pt idx="28">
                  <c:v>2025</c:v>
                </c:pt>
                <c:pt idx="29">
                  <c:v>2026</c:v>
                </c:pt>
              </c:numCache>
            </c:numRef>
          </c:cat>
          <c:val>
            <c:numRef>
              <c:f>동호동10!$L$187:$AN$187</c:f>
              <c:numCache>
                <c:formatCode>General</c:formatCode>
                <c:ptCount val="29"/>
                <c:pt idx="10" formatCode="_-* #,##0_-;\-* #,##0_-;_-* &quot;-&quot;_-;_-@_-">
                  <c:v>5531</c:v>
                </c:pt>
                <c:pt idx="11" formatCode="_-* #,##0_-;\-* #,##0_-;_-* &quot;-&quot;_-;_-@_-">
                  <c:v>5326.5</c:v>
                </c:pt>
                <c:pt idx="12" formatCode="#,##0_ ">
                  <c:v>5124.3</c:v>
                </c:pt>
                <c:pt idx="13" formatCode="#,##0_ ">
                  <c:v>4924.3</c:v>
                </c:pt>
                <c:pt idx="14" formatCode="#,##0_ ">
                  <c:v>4736</c:v>
                </c:pt>
                <c:pt idx="15" formatCode="#,##0_ ">
                  <c:v>4546</c:v>
                </c:pt>
                <c:pt idx="16" formatCode="#,##0_ ">
                  <c:v>4360</c:v>
                </c:pt>
                <c:pt idx="17" formatCode="#,##0_ ">
                  <c:v>4178</c:v>
                </c:pt>
                <c:pt idx="18" formatCode="#,##0_ ">
                  <c:v>4002</c:v>
                </c:pt>
                <c:pt idx="19" formatCode="#,##0_ ">
                  <c:v>3830</c:v>
                </c:pt>
                <c:pt idx="20" formatCode="#,##0_ ">
                  <c:v>3663</c:v>
                </c:pt>
                <c:pt idx="21" formatCode="#,##0_ ">
                  <c:v>3502</c:v>
                </c:pt>
                <c:pt idx="22" formatCode="#,##0_ ">
                  <c:v>3345</c:v>
                </c:pt>
                <c:pt idx="23" formatCode="#,##0_ ">
                  <c:v>3194</c:v>
                </c:pt>
                <c:pt idx="24" formatCode="#,##0_ ">
                  <c:v>3048</c:v>
                </c:pt>
                <c:pt idx="25" formatCode="#,##0_ ">
                  <c:v>2906</c:v>
                </c:pt>
                <c:pt idx="26" formatCode="#,##0_ ">
                  <c:v>2770</c:v>
                </c:pt>
                <c:pt idx="27" formatCode="#,##0_ ">
                  <c:v>2639</c:v>
                </c:pt>
                <c:pt idx="28" formatCode="#,##0_ ">
                  <c:v>2513</c:v>
                </c:pt>
              </c:numCache>
            </c:numRef>
          </c:val>
        </c:ser>
        <c:ser>
          <c:idx val="6"/>
          <c:order val="4"/>
          <c:tx>
            <c:v>과거</c:v>
          </c:tx>
          <c:spPr>
            <a:ln w="12700">
              <a:solidFill>
                <a:srgbClr val="008080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008080"/>
                </a:solidFill>
                <a:prstDash val="solid"/>
              </a:ln>
            </c:spPr>
          </c:marker>
          <c:cat>
            <c:numRef>
              <c:f>동호동10!$L$181:$AO$181</c:f>
              <c:numCache>
                <c:formatCode>General</c:formatCode>
                <c:ptCount val="30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  <c:pt idx="22">
                  <c:v>2019</c:v>
                </c:pt>
                <c:pt idx="23">
                  <c:v>2020</c:v>
                </c:pt>
                <c:pt idx="24">
                  <c:v>2021</c:v>
                </c:pt>
                <c:pt idx="25">
                  <c:v>2022</c:v>
                </c:pt>
                <c:pt idx="26">
                  <c:v>2023</c:v>
                </c:pt>
                <c:pt idx="27">
                  <c:v>2024</c:v>
                </c:pt>
                <c:pt idx="28">
                  <c:v>2025</c:v>
                </c:pt>
                <c:pt idx="29">
                  <c:v>2026</c:v>
                </c:pt>
              </c:numCache>
            </c:numRef>
          </c:cat>
          <c:val>
            <c:numRef>
              <c:f>동호동10!$L$179:$X$179</c:f>
              <c:numCache>
                <c:formatCode>_-* #,##0_-;\-* #,##0_-;_-* "-"_-;_-@_-</c:formatCode>
                <c:ptCount val="13"/>
                <c:pt idx="0">
                  <c:v>7667</c:v>
                </c:pt>
                <c:pt idx="1">
                  <c:v>7586</c:v>
                </c:pt>
                <c:pt idx="2">
                  <c:v>7436</c:v>
                </c:pt>
                <c:pt idx="3" formatCode="General">
                  <c:v>7135</c:v>
                </c:pt>
                <c:pt idx="4">
                  <c:v>6834</c:v>
                </c:pt>
                <c:pt idx="5" formatCode="General">
                  <c:v>6429</c:v>
                </c:pt>
                <c:pt idx="6">
                  <c:v>6136</c:v>
                </c:pt>
                <c:pt idx="7">
                  <c:v>6182</c:v>
                </c:pt>
                <c:pt idx="8">
                  <c:v>6155</c:v>
                </c:pt>
                <c:pt idx="9">
                  <c:v>5800</c:v>
                </c:pt>
                <c:pt idx="10">
                  <c:v>5531</c:v>
                </c:pt>
                <c:pt idx="11">
                  <c:v>5317</c:v>
                </c:pt>
              </c:numCache>
            </c:numRef>
          </c:val>
        </c:ser>
        <c:ser>
          <c:idx val="2"/>
          <c:order val="5"/>
          <c:tx>
            <c:v>등비</c:v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FF0000"/>
                </a:solidFill>
                <a:prstDash val="solid"/>
              </a:ln>
            </c:spPr>
          </c:marker>
          <c:val>
            <c:numRef>
              <c:f>동호동10!$L$184:$AN$184</c:f>
              <c:numCache>
                <c:formatCode>General</c:formatCode>
                <c:ptCount val="29"/>
                <c:pt idx="10" formatCode="_-* #,##0_-;\-* #,##0_-;_-* &quot;-&quot;_-;_-@_-">
                  <c:v>5531</c:v>
                </c:pt>
                <c:pt idx="11" formatCode="_-* #,##0_-;\-* #,##0_-;_-* &quot;-&quot;_-;_-@_-">
                  <c:v>5353</c:v>
                </c:pt>
                <c:pt idx="12" formatCode="_-* #,##0_-;\-* #,##0_-;_-* &quot;-&quot;_-;_-@_-">
                  <c:v>5181</c:v>
                </c:pt>
                <c:pt idx="13" formatCode="_-* #,##0_-;\-* #,##0_-;_-* &quot;-&quot;_-;_-@_-">
                  <c:v>5015</c:v>
                </c:pt>
                <c:pt idx="14" formatCode="_-* #,##0_-;\-* #,##0_-;_-* &quot;-&quot;_-;_-@_-">
                  <c:v>4854</c:v>
                </c:pt>
                <c:pt idx="15" formatCode="_-* #,##0_-;\-* #,##0_-;_-* &quot;-&quot;_-;_-@_-">
                  <c:v>4698</c:v>
                </c:pt>
                <c:pt idx="16" formatCode="_-* #,##0_-;\-* #,##0_-;_-* &quot;-&quot;_-;_-@_-">
                  <c:v>4547</c:v>
                </c:pt>
                <c:pt idx="17" formatCode="_-* #,##0_-;\-* #,##0_-;_-* &quot;-&quot;_-;_-@_-">
                  <c:v>4401</c:v>
                </c:pt>
                <c:pt idx="18" formatCode="_-* #,##0_-;\-* #,##0_-;_-* &quot;-&quot;_-;_-@_-">
                  <c:v>4259</c:v>
                </c:pt>
                <c:pt idx="19" formatCode="_-* #,##0_-;\-* #,##0_-;_-* &quot;-&quot;_-;_-@_-">
                  <c:v>4122</c:v>
                </c:pt>
                <c:pt idx="20" formatCode="_-* #,##0_-;\-* #,##0_-;_-* &quot;-&quot;_-;_-@_-">
                  <c:v>3990</c:v>
                </c:pt>
                <c:pt idx="21" formatCode="_-* #,##0_-;\-* #,##0_-;_-* &quot;-&quot;_-;_-@_-">
                  <c:v>3862</c:v>
                </c:pt>
                <c:pt idx="22" formatCode="_-* #,##0_-;\-* #,##0_-;_-* &quot;-&quot;_-;_-@_-">
                  <c:v>3738</c:v>
                </c:pt>
                <c:pt idx="23" formatCode="_-* #,##0_-;\-* #,##0_-;_-* &quot;-&quot;_-;_-@_-">
                  <c:v>3618</c:v>
                </c:pt>
                <c:pt idx="24" formatCode="_-* #,##0_-;\-* #,##0_-;_-* &quot;-&quot;_-;_-@_-">
                  <c:v>3501</c:v>
                </c:pt>
                <c:pt idx="25" formatCode="_-* #,##0_-;\-* #,##0_-;_-* &quot;-&quot;_-;_-@_-">
                  <c:v>3389</c:v>
                </c:pt>
                <c:pt idx="26" formatCode="_-* #,##0_-;\-* #,##0_-;_-* &quot;-&quot;_-;_-@_-">
                  <c:v>3280</c:v>
                </c:pt>
                <c:pt idx="27" formatCode="_-* #,##0_-;\-* #,##0_-;_-* &quot;-&quot;_-;_-@_-">
                  <c:v>3175</c:v>
                </c:pt>
                <c:pt idx="28" formatCode="_-* #,##0_-;\-* #,##0_-;_-* &quot;-&quot;_-;_-@_-">
                  <c:v>3073</c:v>
                </c:pt>
              </c:numCache>
            </c:numRef>
          </c:val>
        </c:ser>
        <c:marker val="1"/>
        <c:axId val="130064384"/>
        <c:axId val="130066688"/>
      </c:lineChart>
      <c:catAx>
        <c:axId val="130064384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875" b="0" i="0" u="none" strike="noStrike" baseline="0">
                    <a:solidFill>
                      <a:srgbClr val="000000"/>
                    </a:solidFill>
                    <a:latin typeface="돋움"/>
                    <a:ea typeface="돋움"/>
                    <a:cs typeface="돋움"/>
                  </a:defRPr>
                </a:pPr>
                <a:r>
                  <a:rPr altLang="en-US"/>
                  <a:t>연도</a:t>
                </a:r>
              </a:p>
            </c:rich>
          </c:tx>
          <c:layout>
            <c:manualLayout>
              <c:xMode val="edge"/>
              <c:yMode val="edge"/>
              <c:x val="0.50000023539658589"/>
              <c:y val="0.82129357404468961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maj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돋움"/>
                <a:ea typeface="돋움"/>
                <a:cs typeface="돋움"/>
              </a:defRPr>
            </a:pPr>
            <a:endParaRPr lang="ko-KR"/>
          </a:p>
        </c:txPr>
        <c:crossAx val="130066688"/>
        <c:crosses val="autoZero"/>
        <c:auto val="1"/>
        <c:lblAlgn val="ctr"/>
        <c:lblOffset val="100"/>
        <c:tickLblSkip val="2"/>
        <c:tickMarkSkip val="1"/>
      </c:catAx>
      <c:valAx>
        <c:axId val="130066688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맑은 고딕"/>
                    <a:ea typeface="맑은 고딕"/>
                    <a:cs typeface="맑은 고딕"/>
                  </a:defRPr>
                </a:pPr>
                <a:r>
                  <a:rPr lang="ko-KR" altLang="en-US" sz="875" b="0" i="0" strike="noStrike">
                    <a:solidFill>
                      <a:srgbClr val="000000"/>
                    </a:solidFill>
                    <a:latin typeface="돋움"/>
                    <a:ea typeface="돋움"/>
                  </a:rPr>
                  <a:t>인구</a:t>
                </a:r>
                <a:r>
                  <a:rPr lang="en-US" altLang="ko-KR" sz="875" b="0" i="0" strike="noStrike">
                    <a:solidFill>
                      <a:srgbClr val="000000"/>
                    </a:solidFill>
                    <a:latin typeface="돋움"/>
                    <a:ea typeface="돋움"/>
                  </a:rPr>
                  <a:t>(</a:t>
                </a:r>
                <a:r>
                  <a:rPr lang="ko-KR" altLang="en-US" sz="875" b="0" i="0" strike="noStrike">
                    <a:solidFill>
                      <a:srgbClr val="000000"/>
                    </a:solidFill>
                    <a:latin typeface="돋움"/>
                    <a:ea typeface="돋움"/>
                  </a:rPr>
                  <a:t>명</a:t>
                </a:r>
                <a:r>
                  <a:rPr lang="en-US" altLang="ko-KR" sz="875" b="0" i="0" strike="noStrike">
                    <a:solidFill>
                      <a:srgbClr val="000000"/>
                    </a:solidFill>
                    <a:latin typeface="돋움"/>
                    <a:ea typeface="돋움"/>
                  </a:rPr>
                  <a:t>)</a:t>
                </a:r>
              </a:p>
            </c:rich>
          </c:tx>
          <c:layout>
            <c:manualLayout>
              <c:xMode val="edge"/>
              <c:yMode val="edge"/>
              <c:x val="2.6905829596412592E-2"/>
              <c:y val="0.38403081744059558"/>
            </c:manualLayout>
          </c:layout>
          <c:spPr>
            <a:noFill/>
            <a:ln w="25400">
              <a:noFill/>
            </a:ln>
          </c:spPr>
        </c:title>
        <c:numFmt formatCode="#,##0_ " sourceLinked="0"/>
        <c:maj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돋움"/>
                <a:ea typeface="돋움"/>
                <a:cs typeface="돋움"/>
              </a:defRPr>
            </a:pPr>
            <a:endParaRPr lang="ko-KR"/>
          </a:p>
        </c:txPr>
        <c:crossAx val="130064384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wMode val="edge"/>
          <c:hMode val="edge"/>
          <c:x val="0.12668173204806787"/>
          <c:y val="0.90114148278993644"/>
          <c:w val="0.91479879476948922"/>
          <c:h val="0.96197798469107765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돋움"/>
              <a:ea typeface="돋움"/>
              <a:cs typeface="돋움"/>
            </a:defRPr>
          </a:pPr>
          <a:endParaRPr lang="ko-KR"/>
        </a:p>
      </c:txPr>
    </c:legend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75" b="0" i="0" u="none" strike="noStrike" baseline="0">
          <a:solidFill>
            <a:srgbClr val="000000"/>
          </a:solidFill>
          <a:latin typeface="돋움"/>
          <a:ea typeface="돋움"/>
          <a:cs typeface="돋움"/>
        </a:defRPr>
      </a:pPr>
      <a:endParaRPr lang="ko-KR"/>
    </a:p>
  </c:txPr>
  <c:printSettings>
    <c:headerFooter alignWithMargins="0"/>
    <c:pageMargins b="1" l="0.75000000000000144" r="0.75000000000000144" t="1" header="0.5" footer="0.5"/>
    <c:pageSetup paperSize="9" orientation="landscape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ko-KR"/>
  <c:chart>
    <c:title>
      <c:tx>
        <c:rich>
          <a:bodyPr/>
          <a:lstStyle/>
          <a:p>
            <a:pPr>
              <a:defRPr sz="1175" b="1" i="0" u="none" strike="noStrike" baseline="0">
                <a:solidFill>
                  <a:srgbClr val="000000"/>
                </a:solidFill>
                <a:latin typeface="돋움"/>
                <a:ea typeface="돋움"/>
                <a:cs typeface="돋움"/>
              </a:defRPr>
            </a:pPr>
            <a:r>
              <a:rPr altLang="en-US"/>
              <a:t>동호동</a:t>
            </a:r>
          </a:p>
        </c:rich>
      </c:tx>
      <c:layout>
        <c:manualLayout>
          <c:xMode val="edge"/>
          <c:yMode val="edge"/>
          <c:x val="0.46861010086743682"/>
          <c:y val="2.8517110266159756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9.7533685676984214E-2"/>
          <c:y val="9.1254837562787627E-2"/>
          <c:w val="0.83744440460583214"/>
          <c:h val="0.67680671192400665"/>
        </c:manualLayout>
      </c:layout>
      <c:lineChart>
        <c:grouping val="standard"/>
        <c:ser>
          <c:idx val="0"/>
          <c:order val="0"/>
          <c:tx>
            <c:v>등차</c:v>
          </c:tx>
          <c:spPr>
            <a:ln w="3175">
              <a:solidFill>
                <a:srgbClr val="000080"/>
              </a:solidFill>
              <a:prstDash val="solid"/>
            </a:ln>
          </c:spPr>
          <c:marker>
            <c:symbol val="diamond"/>
            <c:size val="3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동호동5!$L$156:$AI$156</c:f>
              <c:numCache>
                <c:formatCode>General</c:formatCode>
                <c:ptCount val="24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  <c:pt idx="14">
                  <c:v>2016</c:v>
                </c:pt>
                <c:pt idx="15">
                  <c:v>2017</c:v>
                </c:pt>
                <c:pt idx="16">
                  <c:v>2018</c:v>
                </c:pt>
                <c:pt idx="17">
                  <c:v>2019</c:v>
                </c:pt>
                <c:pt idx="18">
                  <c:v>2020</c:v>
                </c:pt>
                <c:pt idx="19">
                  <c:v>2021</c:v>
                </c:pt>
                <c:pt idx="20">
                  <c:v>2022</c:v>
                </c:pt>
                <c:pt idx="21">
                  <c:v>2023</c:v>
                </c:pt>
                <c:pt idx="22">
                  <c:v>2024</c:v>
                </c:pt>
                <c:pt idx="23">
                  <c:v>2025</c:v>
                </c:pt>
              </c:numCache>
            </c:numRef>
          </c:cat>
          <c:val>
            <c:numRef>
              <c:f>동호동5!$L$157:$AN$157</c:f>
              <c:numCache>
                <c:formatCode>General</c:formatCode>
                <c:ptCount val="29"/>
                <c:pt idx="5">
                  <c:v>5531</c:v>
                </c:pt>
                <c:pt idx="6" formatCode="_-* #,##0_-;\-* #,##0_-;_-* &quot;-&quot;_-;_-@_-">
                  <c:v>5351</c:v>
                </c:pt>
                <c:pt idx="7" formatCode="_-* #,##0_-;\-* #,##0_-;_-* &quot;-&quot;_-;_-@_-">
                  <c:v>5172</c:v>
                </c:pt>
                <c:pt idx="8" formatCode="_-* #,##0_-;\-* #,##0_-;_-* &quot;-&quot;_-;_-@_-">
                  <c:v>4992</c:v>
                </c:pt>
                <c:pt idx="9" formatCode="_-* #,##0_-;\-* #,##0_-;_-* &quot;-&quot;_-;_-@_-">
                  <c:v>4813</c:v>
                </c:pt>
                <c:pt idx="10" formatCode="_-* #,##0_-;\-* #,##0_-;_-* &quot;-&quot;_-;_-@_-">
                  <c:v>4633</c:v>
                </c:pt>
                <c:pt idx="11" formatCode="_-* #,##0_-;\-* #,##0_-;_-* &quot;-&quot;_-;_-@_-">
                  <c:v>4453</c:v>
                </c:pt>
                <c:pt idx="12" formatCode="_-* #,##0_-;\-* #,##0_-;_-* &quot;-&quot;_-;_-@_-">
                  <c:v>4274</c:v>
                </c:pt>
                <c:pt idx="13" formatCode="_-* #,##0_-;\-* #,##0_-;_-* &quot;-&quot;_-;_-@_-">
                  <c:v>4094</c:v>
                </c:pt>
                <c:pt idx="14" formatCode="_-* #,##0_-;\-* #,##0_-;_-* &quot;-&quot;_-;_-@_-">
                  <c:v>3915</c:v>
                </c:pt>
                <c:pt idx="15" formatCode="_-* #,##0_-;\-* #,##0_-;_-* &quot;-&quot;_-;_-@_-">
                  <c:v>3735</c:v>
                </c:pt>
                <c:pt idx="16" formatCode="_-* #,##0_-;\-* #,##0_-;_-* &quot;-&quot;_-;_-@_-">
                  <c:v>3555</c:v>
                </c:pt>
                <c:pt idx="17" formatCode="_-* #,##0_-;\-* #,##0_-;_-* &quot;-&quot;_-;_-@_-">
                  <c:v>3376</c:v>
                </c:pt>
                <c:pt idx="18" formatCode="_-* #,##0_-;\-* #,##0_-;_-* &quot;-&quot;_-;_-@_-">
                  <c:v>3196</c:v>
                </c:pt>
                <c:pt idx="19" formatCode="_-* #,##0_-;\-* #,##0_-;_-* &quot;-&quot;_-;_-@_-">
                  <c:v>3017</c:v>
                </c:pt>
                <c:pt idx="20" formatCode="_-* #,##0_-;\-* #,##0_-;_-* &quot;-&quot;_-;_-@_-">
                  <c:v>2837</c:v>
                </c:pt>
                <c:pt idx="21" formatCode="_-* #,##0_-;\-* #,##0_-;_-* &quot;-&quot;_-;_-@_-">
                  <c:v>2657</c:v>
                </c:pt>
                <c:pt idx="22" formatCode="_-* #,##0_-;\-* #,##0_-;_-* &quot;-&quot;_-;_-@_-">
                  <c:v>2478</c:v>
                </c:pt>
                <c:pt idx="23" formatCode="_-* #,##0_-;\-* #,##0_-;_-* &quot;-&quot;_-;_-@_-">
                  <c:v>2298</c:v>
                </c:pt>
              </c:numCache>
            </c:numRef>
          </c:val>
        </c:ser>
        <c:ser>
          <c:idx val="1"/>
          <c:order val="1"/>
          <c:tx>
            <c:v>최소</c:v>
          </c:tx>
          <c:spPr>
            <a:ln w="3175">
              <a:solidFill>
                <a:srgbClr val="FF00FF"/>
              </a:solidFill>
              <a:prstDash val="solid"/>
            </a:ln>
          </c:spPr>
          <c:marker>
            <c:symbol val="square"/>
            <c:size val="3"/>
            <c:spPr>
              <a:noFill/>
              <a:ln>
                <a:solidFill>
                  <a:srgbClr val="FF00FF"/>
                </a:solidFill>
                <a:prstDash val="solid"/>
              </a:ln>
            </c:spPr>
          </c:marker>
          <c:cat>
            <c:numRef>
              <c:f>동호동5!$L$156:$AI$156</c:f>
              <c:numCache>
                <c:formatCode>General</c:formatCode>
                <c:ptCount val="24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  <c:pt idx="14">
                  <c:v>2016</c:v>
                </c:pt>
                <c:pt idx="15">
                  <c:v>2017</c:v>
                </c:pt>
                <c:pt idx="16">
                  <c:v>2018</c:v>
                </c:pt>
                <c:pt idx="17">
                  <c:v>2019</c:v>
                </c:pt>
                <c:pt idx="18">
                  <c:v>2020</c:v>
                </c:pt>
                <c:pt idx="19">
                  <c:v>2021</c:v>
                </c:pt>
                <c:pt idx="20">
                  <c:v>2022</c:v>
                </c:pt>
                <c:pt idx="21">
                  <c:v>2023</c:v>
                </c:pt>
                <c:pt idx="22">
                  <c:v>2024</c:v>
                </c:pt>
                <c:pt idx="23">
                  <c:v>2025</c:v>
                </c:pt>
              </c:numCache>
            </c:numRef>
          </c:cat>
          <c:val>
            <c:numRef>
              <c:f>동호동5!$L$158:$AN$158</c:f>
              <c:numCache>
                <c:formatCode>General</c:formatCode>
                <c:ptCount val="29"/>
                <c:pt idx="5">
                  <c:v>5531</c:v>
                </c:pt>
                <c:pt idx="6" formatCode="_-* #,##0_-;\-* #,##0_-;_-* &quot;-&quot;_-;_-@_-">
                  <c:v>5486</c:v>
                </c:pt>
                <c:pt idx="7" formatCode="_-* #,##0_-;\-* #,##0_-;_-* &quot;-&quot;_-;_-@_-">
                  <c:v>5328</c:v>
                </c:pt>
                <c:pt idx="8" formatCode="_-* #,##0_-;\-* #,##0_-;_-* &quot;-&quot;_-;_-@_-">
                  <c:v>5171</c:v>
                </c:pt>
                <c:pt idx="9" formatCode="_-* #,##0_-;\-* #,##0_-;_-* &quot;-&quot;_-;_-@_-">
                  <c:v>5013</c:v>
                </c:pt>
                <c:pt idx="10" formatCode="_-* #,##0_-;\-* #,##0_-;_-* &quot;-&quot;_-;_-@_-">
                  <c:v>4855</c:v>
                </c:pt>
                <c:pt idx="11" formatCode="_-* #,##0_-;\-* #,##0_-;_-* &quot;-&quot;_-;_-@_-">
                  <c:v>4697</c:v>
                </c:pt>
                <c:pt idx="12" formatCode="_-* #,##0_-;\-* #,##0_-;_-* &quot;-&quot;_-;_-@_-">
                  <c:v>4539</c:v>
                </c:pt>
                <c:pt idx="13" formatCode="_-* #,##0_-;\-* #,##0_-;_-* &quot;-&quot;_-;_-@_-">
                  <c:v>4381</c:v>
                </c:pt>
                <c:pt idx="14" formatCode="_-* #,##0_-;\-* #,##0_-;_-* &quot;-&quot;_-;_-@_-">
                  <c:v>4223</c:v>
                </c:pt>
                <c:pt idx="15" formatCode="_-* #,##0_-;\-* #,##0_-;_-* &quot;-&quot;_-;_-@_-">
                  <c:v>4066</c:v>
                </c:pt>
                <c:pt idx="16" formatCode="_-* #,##0_-;\-* #,##0_-;_-* &quot;-&quot;_-;_-@_-">
                  <c:v>3908</c:v>
                </c:pt>
                <c:pt idx="17" formatCode="_-* #,##0_-;\-* #,##0_-;_-* &quot;-&quot;_-;_-@_-">
                  <c:v>3750</c:v>
                </c:pt>
                <c:pt idx="18" formatCode="_-* #,##0_-;\-* #,##0_-;_-* &quot;-&quot;_-;_-@_-">
                  <c:v>3592</c:v>
                </c:pt>
                <c:pt idx="19" formatCode="_-* #,##0_-;\-* #,##0_-;_-* &quot;-&quot;_-;_-@_-">
                  <c:v>3434</c:v>
                </c:pt>
                <c:pt idx="20" formatCode="_-* #,##0_-;\-* #,##0_-;_-* &quot;-&quot;_-;_-@_-">
                  <c:v>3276</c:v>
                </c:pt>
                <c:pt idx="21" formatCode="_-* #,##0_-;\-* #,##0_-;_-* &quot;-&quot;_-;_-@_-">
                  <c:v>3118</c:v>
                </c:pt>
                <c:pt idx="22" formatCode="_-* #,##0_-;\-* #,##0_-;_-* &quot;-&quot;_-;_-@_-">
                  <c:v>2961</c:v>
                </c:pt>
                <c:pt idx="23" formatCode="_-* #,##0_-;\-* #,##0_-;_-* &quot;-&quot;_-;_-@_-">
                  <c:v>2803</c:v>
                </c:pt>
              </c:numCache>
            </c:numRef>
          </c:val>
        </c:ser>
        <c:ser>
          <c:idx val="4"/>
          <c:order val="2"/>
          <c:tx>
            <c:v>로지스틱</c:v>
          </c:tx>
          <c:spPr>
            <a:ln w="3175">
              <a:solidFill>
                <a:srgbClr val="800080"/>
              </a:solidFill>
              <a:prstDash val="solid"/>
            </a:ln>
          </c:spPr>
          <c:marker>
            <c:symbol val="circle"/>
            <c:size val="3"/>
            <c:spPr>
              <a:noFill/>
              <a:ln>
                <a:solidFill>
                  <a:srgbClr val="800080"/>
                </a:solidFill>
                <a:prstDash val="solid"/>
              </a:ln>
            </c:spPr>
          </c:marker>
          <c:cat>
            <c:numRef>
              <c:f>동호동5!$L$156:$AI$156</c:f>
              <c:numCache>
                <c:formatCode>General</c:formatCode>
                <c:ptCount val="24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  <c:pt idx="14">
                  <c:v>2016</c:v>
                </c:pt>
                <c:pt idx="15">
                  <c:v>2017</c:v>
                </c:pt>
                <c:pt idx="16">
                  <c:v>2018</c:v>
                </c:pt>
                <c:pt idx="17">
                  <c:v>2019</c:v>
                </c:pt>
                <c:pt idx="18">
                  <c:v>2020</c:v>
                </c:pt>
                <c:pt idx="19">
                  <c:v>2021</c:v>
                </c:pt>
                <c:pt idx="20">
                  <c:v>2022</c:v>
                </c:pt>
                <c:pt idx="21">
                  <c:v>2023</c:v>
                </c:pt>
                <c:pt idx="22">
                  <c:v>2024</c:v>
                </c:pt>
                <c:pt idx="23">
                  <c:v>2025</c:v>
                </c:pt>
              </c:numCache>
            </c:numRef>
          </c:cat>
          <c:val>
            <c:numRef>
              <c:f>동호동5!$L$161:$AN$161</c:f>
              <c:numCache>
                <c:formatCode>General</c:formatCode>
                <c:ptCount val="29"/>
                <c:pt idx="5">
                  <c:v>5531</c:v>
                </c:pt>
                <c:pt idx="6" formatCode="_-* #,##0_-;\-* #,##0_-;_-* &quot;-&quot;_-;_-@_-">
                  <c:v>5488</c:v>
                </c:pt>
                <c:pt idx="7" formatCode="_-* #,##0_-;\-* #,##0_-;_-* &quot;-&quot;_-;_-@_-">
                  <c:v>5333</c:v>
                </c:pt>
                <c:pt idx="8" formatCode="_-* #,##0_-;\-* #,##0_-;_-* &quot;-&quot;_-;_-@_-">
                  <c:v>5180</c:v>
                </c:pt>
                <c:pt idx="9" formatCode="_-* #,##0_-;\-* #,##0_-;_-* &quot;-&quot;_-;_-@_-">
                  <c:v>5028</c:v>
                </c:pt>
                <c:pt idx="10" formatCode="_-* #,##0_-;\-* #,##0_-;_-* &quot;-&quot;_-;_-@_-">
                  <c:v>4877</c:v>
                </c:pt>
                <c:pt idx="11" formatCode="_-* #,##0_-;\-* #,##0_-;_-* &quot;-&quot;_-;_-@_-">
                  <c:v>4729</c:v>
                </c:pt>
                <c:pt idx="12" formatCode="_-* #,##0_-;\-* #,##0_-;_-* &quot;-&quot;_-;_-@_-">
                  <c:v>4582</c:v>
                </c:pt>
                <c:pt idx="13" formatCode="_-* #,##0_-;\-* #,##0_-;_-* &quot;-&quot;_-;_-@_-">
                  <c:v>4437</c:v>
                </c:pt>
                <c:pt idx="14" formatCode="_-* #,##0_-;\-* #,##0_-;_-* &quot;-&quot;_-;_-@_-">
                  <c:v>4295</c:v>
                </c:pt>
                <c:pt idx="15" formatCode="_-* #,##0_-;\-* #,##0_-;_-* &quot;-&quot;_-;_-@_-">
                  <c:v>4154</c:v>
                </c:pt>
                <c:pt idx="16" formatCode="_-* #,##0_-;\-* #,##0_-;_-* &quot;-&quot;_-;_-@_-">
                  <c:v>4017</c:v>
                </c:pt>
                <c:pt idx="17" formatCode="_-* #,##0_-;\-* #,##0_-;_-* &quot;-&quot;_-;_-@_-">
                  <c:v>3881</c:v>
                </c:pt>
                <c:pt idx="18" formatCode="_-* #,##0_-;\-* #,##0_-;_-* &quot;-&quot;_-;_-@_-">
                  <c:v>3749</c:v>
                </c:pt>
                <c:pt idx="19" formatCode="_-* #,##0_-;\-* #,##0_-;_-* &quot;-&quot;_-;_-@_-">
                  <c:v>3619</c:v>
                </c:pt>
                <c:pt idx="20" formatCode="_-* #,##0_-;\-* #,##0_-;_-* &quot;-&quot;_-;_-@_-">
                  <c:v>3492</c:v>
                </c:pt>
                <c:pt idx="21" formatCode="_-* #,##0_-;\-* #,##0_-;_-* &quot;-&quot;_-;_-@_-">
                  <c:v>3368</c:v>
                </c:pt>
                <c:pt idx="22" formatCode="_-* #,##0_-;\-* #,##0_-;_-* &quot;-&quot;_-;_-@_-">
                  <c:v>3246</c:v>
                </c:pt>
                <c:pt idx="23" formatCode="_-* #,##0_-;\-* #,##0_-;_-* &quot;-&quot;_-;_-@_-">
                  <c:v>3128</c:v>
                </c:pt>
              </c:numCache>
            </c:numRef>
          </c:val>
        </c:ser>
        <c:ser>
          <c:idx val="5"/>
          <c:order val="3"/>
          <c:tx>
            <c:v>평균(최대최소제외)</c:v>
          </c:tx>
          <c:spPr>
            <a:ln w="3175">
              <a:solidFill>
                <a:srgbClr val="800000"/>
              </a:solidFill>
              <a:prstDash val="sysDash"/>
            </a:ln>
          </c:spPr>
          <c:marker>
            <c:symbol val="circle"/>
            <c:size val="3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동호동5!$L$156:$AI$156</c:f>
              <c:numCache>
                <c:formatCode>General</c:formatCode>
                <c:ptCount val="24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  <c:pt idx="14">
                  <c:v>2016</c:v>
                </c:pt>
                <c:pt idx="15">
                  <c:v>2017</c:v>
                </c:pt>
                <c:pt idx="16">
                  <c:v>2018</c:v>
                </c:pt>
                <c:pt idx="17">
                  <c:v>2019</c:v>
                </c:pt>
                <c:pt idx="18">
                  <c:v>2020</c:v>
                </c:pt>
                <c:pt idx="19">
                  <c:v>2021</c:v>
                </c:pt>
                <c:pt idx="20">
                  <c:v>2022</c:v>
                </c:pt>
                <c:pt idx="21">
                  <c:v>2023</c:v>
                </c:pt>
                <c:pt idx="22">
                  <c:v>2024</c:v>
                </c:pt>
                <c:pt idx="23">
                  <c:v>2025</c:v>
                </c:pt>
              </c:numCache>
            </c:numRef>
          </c:cat>
          <c:val>
            <c:numRef>
              <c:f>동호동5!$L$162:$AI$162</c:f>
              <c:numCache>
                <c:formatCode>General</c:formatCode>
                <c:ptCount val="24"/>
                <c:pt idx="5">
                  <c:v>5531</c:v>
                </c:pt>
                <c:pt idx="6" formatCode="#,##0_ ">
                  <c:v>5426.5</c:v>
                </c:pt>
                <c:pt idx="7" formatCode="#,##0_ ">
                  <c:v>5268</c:v>
                </c:pt>
                <c:pt idx="8" formatCode="#,##0_ ">
                  <c:v>5112.5</c:v>
                </c:pt>
                <c:pt idx="9" formatCode="#,##0_ ">
                  <c:v>4958.5</c:v>
                </c:pt>
                <c:pt idx="10" formatCode="#,##0_ ">
                  <c:v>4807</c:v>
                </c:pt>
                <c:pt idx="11" formatCode="_-* #,##0_-;\-* #,##0_-;_-* &quot;-&quot;_-;_-@_-">
                  <c:v>4657</c:v>
                </c:pt>
                <c:pt idx="12" formatCode="#,##0_ ">
                  <c:v>4510</c:v>
                </c:pt>
                <c:pt idx="13" formatCode="#,##0_ ">
                  <c:v>4364.5</c:v>
                </c:pt>
                <c:pt idx="14" formatCode="#,##0_ ">
                  <c:v>4221</c:v>
                </c:pt>
                <c:pt idx="15" formatCode="#,##0_ ">
                  <c:v>4080</c:v>
                </c:pt>
                <c:pt idx="16" formatCode="#,##0_ ">
                  <c:v>3940.5</c:v>
                </c:pt>
                <c:pt idx="17" formatCode="#,##0_ ">
                  <c:v>3802.5</c:v>
                </c:pt>
                <c:pt idx="18" formatCode="#,##0_ ">
                  <c:v>3666.5</c:v>
                </c:pt>
                <c:pt idx="19" formatCode="#,##0_ ">
                  <c:v>3526.5</c:v>
                </c:pt>
                <c:pt idx="20" formatCode="#,##0_ ">
                  <c:v>3384</c:v>
                </c:pt>
                <c:pt idx="21" formatCode="#,##0_ ">
                  <c:v>3243</c:v>
                </c:pt>
                <c:pt idx="22" formatCode="#,##0_ ">
                  <c:v>3103.5</c:v>
                </c:pt>
                <c:pt idx="23" formatCode="#,##0_ ">
                  <c:v>2965.5</c:v>
                </c:pt>
              </c:numCache>
            </c:numRef>
          </c:val>
        </c:ser>
        <c:ser>
          <c:idx val="6"/>
          <c:order val="4"/>
          <c:tx>
            <c:v>과거</c:v>
          </c:tx>
          <c:spPr>
            <a:ln w="12700">
              <a:solidFill>
                <a:srgbClr val="008080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008080"/>
                </a:solidFill>
                <a:prstDash val="solid"/>
              </a:ln>
            </c:spPr>
          </c:marker>
          <c:cat>
            <c:numRef>
              <c:f>동호동5!$L$156:$AI$156</c:f>
              <c:numCache>
                <c:formatCode>General</c:formatCode>
                <c:ptCount val="24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  <c:pt idx="14">
                  <c:v>2016</c:v>
                </c:pt>
                <c:pt idx="15">
                  <c:v>2017</c:v>
                </c:pt>
                <c:pt idx="16">
                  <c:v>2018</c:v>
                </c:pt>
                <c:pt idx="17">
                  <c:v>2019</c:v>
                </c:pt>
                <c:pt idx="18">
                  <c:v>2020</c:v>
                </c:pt>
                <c:pt idx="19">
                  <c:v>2021</c:v>
                </c:pt>
                <c:pt idx="20">
                  <c:v>2022</c:v>
                </c:pt>
                <c:pt idx="21">
                  <c:v>2023</c:v>
                </c:pt>
                <c:pt idx="22">
                  <c:v>2024</c:v>
                </c:pt>
                <c:pt idx="23">
                  <c:v>2025</c:v>
                </c:pt>
              </c:numCache>
            </c:numRef>
          </c:cat>
          <c:val>
            <c:numRef>
              <c:f>동호동5!$L$154:$X$154</c:f>
              <c:numCache>
                <c:formatCode>_-* #,##0_-;\-* #,##0_-;_-* "-"_-;_-@_-</c:formatCode>
                <c:ptCount val="13"/>
                <c:pt idx="0">
                  <c:v>6429</c:v>
                </c:pt>
                <c:pt idx="1">
                  <c:v>6136</c:v>
                </c:pt>
                <c:pt idx="2">
                  <c:v>6182</c:v>
                </c:pt>
                <c:pt idx="3" formatCode="General">
                  <c:v>6155</c:v>
                </c:pt>
                <c:pt idx="4">
                  <c:v>5800</c:v>
                </c:pt>
                <c:pt idx="5" formatCode="General">
                  <c:v>5531</c:v>
                </c:pt>
                <c:pt idx="6">
                  <c:v>5488</c:v>
                </c:pt>
              </c:numCache>
            </c:numRef>
          </c:val>
        </c:ser>
        <c:ser>
          <c:idx val="2"/>
          <c:order val="5"/>
          <c:tx>
            <c:v>등비</c:v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동호동5!$L$156:$AI$156</c:f>
              <c:numCache>
                <c:formatCode>General</c:formatCode>
                <c:ptCount val="24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  <c:pt idx="14">
                  <c:v>2016</c:v>
                </c:pt>
                <c:pt idx="15">
                  <c:v>2017</c:v>
                </c:pt>
                <c:pt idx="16">
                  <c:v>2018</c:v>
                </c:pt>
                <c:pt idx="17">
                  <c:v>2019</c:v>
                </c:pt>
                <c:pt idx="18">
                  <c:v>2020</c:v>
                </c:pt>
                <c:pt idx="19">
                  <c:v>2021</c:v>
                </c:pt>
                <c:pt idx="20">
                  <c:v>2022</c:v>
                </c:pt>
                <c:pt idx="21">
                  <c:v>2023</c:v>
                </c:pt>
                <c:pt idx="22">
                  <c:v>2024</c:v>
                </c:pt>
                <c:pt idx="23">
                  <c:v>2025</c:v>
                </c:pt>
              </c:numCache>
            </c:numRef>
          </c:cat>
          <c:val>
            <c:numRef>
              <c:f>동호동5!$L$159:$AN$159</c:f>
              <c:numCache>
                <c:formatCode>General</c:formatCode>
                <c:ptCount val="29"/>
                <c:pt idx="5">
                  <c:v>5531</c:v>
                </c:pt>
                <c:pt idx="6" formatCode="_-* #,##0_-;\-* #,##0_-;_-* &quot;-&quot;_-;_-@_-">
                  <c:v>5367</c:v>
                </c:pt>
                <c:pt idx="7" formatCode="_-* #,##0_-;\-* #,##0_-;_-* &quot;-&quot;_-;_-@_-">
                  <c:v>5208</c:v>
                </c:pt>
                <c:pt idx="8" formatCode="_-* #,##0_-;\-* #,##0_-;_-* &quot;-&quot;_-;_-@_-">
                  <c:v>5054</c:v>
                </c:pt>
                <c:pt idx="9" formatCode="_-* #,##0_-;\-* #,##0_-;_-* &quot;-&quot;_-;_-@_-">
                  <c:v>4904</c:v>
                </c:pt>
                <c:pt idx="10" formatCode="_-* #,##0_-;\-* #,##0_-;_-* &quot;-&quot;_-;_-@_-">
                  <c:v>4759</c:v>
                </c:pt>
                <c:pt idx="11" formatCode="_-* #,##0_-;\-* #,##0_-;_-* &quot;-&quot;_-;_-@_-">
                  <c:v>4617</c:v>
                </c:pt>
                <c:pt idx="12" formatCode="_-* #,##0_-;\-* #,##0_-;_-* &quot;-&quot;_-;_-@_-">
                  <c:v>4481</c:v>
                </c:pt>
                <c:pt idx="13" formatCode="_-* #,##0_-;\-* #,##0_-;_-* &quot;-&quot;_-;_-@_-">
                  <c:v>4348</c:v>
                </c:pt>
                <c:pt idx="14" formatCode="_-* #,##0_-;\-* #,##0_-;_-* &quot;-&quot;_-;_-@_-">
                  <c:v>4219</c:v>
                </c:pt>
                <c:pt idx="15" formatCode="_-* #,##0_-;\-* #,##0_-;_-* &quot;-&quot;_-;_-@_-">
                  <c:v>4094</c:v>
                </c:pt>
                <c:pt idx="16" formatCode="_-* #,##0_-;\-* #,##0_-;_-* &quot;-&quot;_-;_-@_-">
                  <c:v>3973</c:v>
                </c:pt>
                <c:pt idx="17" formatCode="_-* #,##0_-;\-* #,##0_-;_-* &quot;-&quot;_-;_-@_-">
                  <c:v>3855</c:v>
                </c:pt>
                <c:pt idx="18" formatCode="_-* #,##0_-;\-* #,##0_-;_-* &quot;-&quot;_-;_-@_-">
                  <c:v>3741</c:v>
                </c:pt>
                <c:pt idx="19" formatCode="_-* #,##0_-;\-* #,##0_-;_-* &quot;-&quot;_-;_-@_-">
                  <c:v>3630</c:v>
                </c:pt>
                <c:pt idx="20" formatCode="_-* #,##0_-;\-* #,##0_-;_-* &quot;-&quot;_-;_-@_-">
                  <c:v>3522</c:v>
                </c:pt>
                <c:pt idx="21" formatCode="_-* #,##0_-;\-* #,##0_-;_-* &quot;-&quot;_-;_-@_-">
                  <c:v>3418</c:v>
                </c:pt>
                <c:pt idx="22" formatCode="_-* #,##0_-;\-* #,##0_-;_-* &quot;-&quot;_-;_-@_-">
                  <c:v>3316</c:v>
                </c:pt>
                <c:pt idx="23" formatCode="_-* #,##0_-;\-* #,##0_-;_-* &quot;-&quot;_-;_-@_-">
                  <c:v>3218</c:v>
                </c:pt>
              </c:numCache>
            </c:numRef>
          </c:val>
        </c:ser>
        <c:marker val="1"/>
        <c:axId val="130193280"/>
        <c:axId val="130199936"/>
      </c:lineChart>
      <c:catAx>
        <c:axId val="130193280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875" b="0" i="0" u="none" strike="noStrike" baseline="0">
                    <a:solidFill>
                      <a:srgbClr val="000000"/>
                    </a:solidFill>
                    <a:latin typeface="돋움"/>
                    <a:ea typeface="돋움"/>
                    <a:cs typeface="돋움"/>
                  </a:defRPr>
                </a:pPr>
                <a:r>
                  <a:rPr altLang="en-US"/>
                  <a:t>연도</a:t>
                </a:r>
              </a:p>
            </c:rich>
          </c:tx>
          <c:layout>
            <c:manualLayout>
              <c:xMode val="edge"/>
              <c:yMode val="edge"/>
              <c:x val="0.50000023539658589"/>
              <c:y val="0.81939243336028011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maj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돋움"/>
                <a:ea typeface="돋움"/>
                <a:cs typeface="돋움"/>
              </a:defRPr>
            </a:pPr>
            <a:endParaRPr lang="ko-KR"/>
          </a:p>
        </c:txPr>
        <c:crossAx val="130199936"/>
        <c:crosses val="autoZero"/>
        <c:auto val="1"/>
        <c:lblAlgn val="ctr"/>
        <c:lblOffset val="100"/>
        <c:tickLblSkip val="2"/>
        <c:tickMarkSkip val="1"/>
      </c:catAx>
      <c:valAx>
        <c:axId val="130199936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맑은 고딕"/>
                    <a:ea typeface="맑은 고딕"/>
                    <a:cs typeface="맑은 고딕"/>
                  </a:defRPr>
                </a:pPr>
                <a:r>
                  <a:rPr lang="ko-KR" altLang="en-US" sz="875" b="0" i="0" strike="noStrike">
                    <a:solidFill>
                      <a:srgbClr val="000000"/>
                    </a:solidFill>
                    <a:latin typeface="돋움"/>
                    <a:ea typeface="돋움"/>
                  </a:rPr>
                  <a:t>인구</a:t>
                </a:r>
                <a:r>
                  <a:rPr lang="en-US" altLang="ko-KR" sz="875" b="0" i="0" strike="noStrike">
                    <a:solidFill>
                      <a:srgbClr val="000000"/>
                    </a:solidFill>
                    <a:latin typeface="돋움"/>
                    <a:ea typeface="돋움"/>
                  </a:rPr>
                  <a:t>(</a:t>
                </a:r>
                <a:r>
                  <a:rPr lang="ko-KR" altLang="en-US" sz="875" b="0" i="0" strike="noStrike">
                    <a:solidFill>
                      <a:srgbClr val="000000"/>
                    </a:solidFill>
                    <a:latin typeface="돋움"/>
                    <a:ea typeface="돋움"/>
                  </a:rPr>
                  <a:t>명</a:t>
                </a:r>
                <a:r>
                  <a:rPr lang="en-US" altLang="ko-KR" sz="875" b="0" i="0" strike="noStrike">
                    <a:solidFill>
                      <a:srgbClr val="000000"/>
                    </a:solidFill>
                    <a:latin typeface="돋움"/>
                    <a:ea typeface="돋움"/>
                  </a:rPr>
                  <a:t>)</a:t>
                </a:r>
              </a:p>
            </c:rich>
          </c:tx>
          <c:layout>
            <c:manualLayout>
              <c:xMode val="edge"/>
              <c:yMode val="edge"/>
              <c:x val="2.6905829596412592E-2"/>
              <c:y val="0.38212967675618492"/>
            </c:manualLayout>
          </c:layout>
          <c:spPr>
            <a:noFill/>
            <a:ln w="25400">
              <a:noFill/>
            </a:ln>
          </c:spPr>
        </c:title>
        <c:numFmt formatCode="#,##0_ " sourceLinked="0"/>
        <c:maj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돋움"/>
                <a:ea typeface="돋움"/>
                <a:cs typeface="돋움"/>
              </a:defRPr>
            </a:pPr>
            <a:endParaRPr lang="ko-KR"/>
          </a:p>
        </c:txPr>
        <c:crossAx val="130193280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wMode val="edge"/>
          <c:hMode val="edge"/>
          <c:x val="0.12780280828125185"/>
          <c:y val="0.90114148278993644"/>
          <c:w val="0.91591987100267169"/>
          <c:h val="0.96197798469107765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돋움"/>
              <a:ea typeface="돋움"/>
              <a:cs typeface="돋움"/>
            </a:defRPr>
          </a:pPr>
          <a:endParaRPr lang="ko-KR"/>
        </a:p>
      </c:txPr>
    </c:legend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75" b="0" i="0" u="none" strike="noStrike" baseline="0">
          <a:solidFill>
            <a:srgbClr val="000000"/>
          </a:solidFill>
          <a:latin typeface="돋움"/>
          <a:ea typeface="돋움"/>
          <a:cs typeface="돋움"/>
        </a:defRPr>
      </a:pPr>
      <a:endParaRPr lang="ko-KR"/>
    </a:p>
  </c:txPr>
  <c:printSettings>
    <c:headerFooter alignWithMargins="0"/>
    <c:pageMargins b="1" l="0.75000000000000144" r="0.75000000000000144" t="1" header="0.5" footer="0.5"/>
    <c:pageSetup paperSize="9" orientation="landscape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ko-KR"/>
  <c:chart>
    <c:title>
      <c:tx>
        <c:rich>
          <a:bodyPr/>
          <a:lstStyle/>
          <a:p>
            <a:pPr>
              <a:defRPr sz="1175" b="1" i="0" u="none" strike="noStrike" baseline="0">
                <a:solidFill>
                  <a:srgbClr val="000000"/>
                </a:solidFill>
                <a:latin typeface="돋움"/>
                <a:ea typeface="돋움"/>
                <a:cs typeface="돋움"/>
              </a:defRPr>
            </a:pPr>
            <a:r>
              <a:rPr altLang="en-US"/>
              <a:t>발한동</a:t>
            </a:r>
          </a:p>
        </c:rich>
      </c:tx>
      <c:layout>
        <c:manualLayout>
          <c:xMode val="edge"/>
          <c:yMode val="edge"/>
          <c:x val="0.46861010086743682"/>
          <c:y val="2.8517110266159756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0313906991129369"/>
          <c:y val="9.3155980012012529E-2"/>
          <c:w val="0.83183902037152235"/>
          <c:h val="0.70912613356082765"/>
        </c:manualLayout>
      </c:layout>
      <c:lineChart>
        <c:grouping val="standard"/>
        <c:ser>
          <c:idx val="0"/>
          <c:order val="0"/>
          <c:tx>
            <c:v>등차</c:v>
          </c:tx>
          <c:spPr>
            <a:ln w="3175">
              <a:solidFill>
                <a:srgbClr val="000080"/>
              </a:solidFill>
              <a:prstDash val="solid"/>
            </a:ln>
          </c:spPr>
          <c:marker>
            <c:symbol val="diamond"/>
            <c:size val="3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발한동20년!$L$225:$AX$225</c:f>
              <c:numCache>
                <c:formatCode>General</c:formatCode>
                <c:ptCount val="39"/>
                <c:pt idx="0">
                  <c:v>1988</c:v>
                </c:pt>
                <c:pt idx="1">
                  <c:v>1989</c:v>
                </c:pt>
                <c:pt idx="2">
                  <c:v>1990</c:v>
                </c:pt>
                <c:pt idx="3">
                  <c:v>1991</c:v>
                </c:pt>
                <c:pt idx="4">
                  <c:v>1992</c:v>
                </c:pt>
                <c:pt idx="5">
                  <c:v>1993</c:v>
                </c:pt>
                <c:pt idx="6">
                  <c:v>1994</c:v>
                </c:pt>
                <c:pt idx="7">
                  <c:v>1995</c:v>
                </c:pt>
                <c:pt idx="8">
                  <c:v>1996</c:v>
                </c:pt>
                <c:pt idx="9">
                  <c:v>1997</c:v>
                </c:pt>
                <c:pt idx="10">
                  <c:v>1998</c:v>
                </c:pt>
                <c:pt idx="11">
                  <c:v>1999</c:v>
                </c:pt>
                <c:pt idx="12">
                  <c:v>2000</c:v>
                </c:pt>
                <c:pt idx="13">
                  <c:v>2001</c:v>
                </c:pt>
                <c:pt idx="14">
                  <c:v>2002</c:v>
                </c:pt>
                <c:pt idx="15">
                  <c:v>2003</c:v>
                </c:pt>
                <c:pt idx="16">
                  <c:v>2004</c:v>
                </c:pt>
                <c:pt idx="17">
                  <c:v>2005</c:v>
                </c:pt>
                <c:pt idx="18">
                  <c:v>2006</c:v>
                </c:pt>
                <c:pt idx="19">
                  <c:v>2007</c:v>
                </c:pt>
                <c:pt idx="20">
                  <c:v>2008</c:v>
                </c:pt>
                <c:pt idx="21">
                  <c:v>2009</c:v>
                </c:pt>
                <c:pt idx="22">
                  <c:v>2010</c:v>
                </c:pt>
                <c:pt idx="23">
                  <c:v>2011</c:v>
                </c:pt>
                <c:pt idx="24">
                  <c:v>2012</c:v>
                </c:pt>
                <c:pt idx="25">
                  <c:v>2013</c:v>
                </c:pt>
                <c:pt idx="26">
                  <c:v>2014</c:v>
                </c:pt>
                <c:pt idx="27">
                  <c:v>2015</c:v>
                </c:pt>
                <c:pt idx="28">
                  <c:v>2016</c:v>
                </c:pt>
                <c:pt idx="29">
                  <c:v>2017</c:v>
                </c:pt>
                <c:pt idx="30">
                  <c:v>2018</c:v>
                </c:pt>
                <c:pt idx="31">
                  <c:v>2019</c:v>
                </c:pt>
                <c:pt idx="32">
                  <c:v>2020</c:v>
                </c:pt>
                <c:pt idx="33">
                  <c:v>2021</c:v>
                </c:pt>
                <c:pt idx="34">
                  <c:v>2022</c:v>
                </c:pt>
                <c:pt idx="35">
                  <c:v>2023</c:v>
                </c:pt>
                <c:pt idx="36">
                  <c:v>2024</c:v>
                </c:pt>
                <c:pt idx="37">
                  <c:v>2025</c:v>
                </c:pt>
                <c:pt idx="38">
                  <c:v>2026</c:v>
                </c:pt>
              </c:numCache>
            </c:numRef>
          </c:cat>
          <c:val>
            <c:numRef>
              <c:f>발한동20년!$L$226:$AW$226</c:f>
              <c:numCache>
                <c:formatCode>General</c:formatCode>
                <c:ptCount val="38"/>
                <c:pt idx="19" formatCode="_-* #,##0_-;\-* #,##0_-;_-* &quot;-&quot;_-;_-@_-">
                  <c:v>5846</c:v>
                </c:pt>
                <c:pt idx="20" formatCode="_-* #,##0_-;\-* #,##0_-;_-* &quot;-&quot;_-;_-@_-">
                  <c:v>5483</c:v>
                </c:pt>
                <c:pt idx="21" formatCode="_-* #,##0_-;\-* #,##0_-;_-* &quot;-&quot;_-;_-@_-">
                  <c:v>5119</c:v>
                </c:pt>
                <c:pt idx="22" formatCode="_-* #,##0_-;\-* #,##0_-;_-* &quot;-&quot;_-;_-@_-">
                  <c:v>4756</c:v>
                </c:pt>
                <c:pt idx="23" formatCode="_-* #,##0_-;\-* #,##0_-;_-* &quot;-&quot;_-;_-@_-">
                  <c:v>4393</c:v>
                </c:pt>
                <c:pt idx="24" formatCode="_-* #,##0_-;\-* #,##0_-;_-* &quot;-&quot;_-;_-@_-">
                  <c:v>4029</c:v>
                </c:pt>
                <c:pt idx="25" formatCode="_-* #,##0_-;\-* #,##0_-;_-* &quot;-&quot;_-;_-@_-">
                  <c:v>3666</c:v>
                </c:pt>
                <c:pt idx="26" formatCode="_-* #,##0_-;\-* #,##0_-;_-* &quot;-&quot;_-;_-@_-">
                  <c:v>3302</c:v>
                </c:pt>
                <c:pt idx="27" formatCode="_-* #,##0_-;\-* #,##0_-;_-* &quot;-&quot;_-;_-@_-">
                  <c:v>2939</c:v>
                </c:pt>
                <c:pt idx="28" formatCode="_-* #,##0_-;\-* #,##0_-;_-* &quot;-&quot;_-;_-@_-">
                  <c:v>2576</c:v>
                </c:pt>
                <c:pt idx="29" formatCode="_-* #,##0_-;\-* #,##0_-;_-* &quot;-&quot;_-;_-@_-">
                  <c:v>2212</c:v>
                </c:pt>
                <c:pt idx="30" formatCode="_-* #,##0_-;\-* #,##0_-;_-* &quot;-&quot;_-;_-@_-">
                  <c:v>1849</c:v>
                </c:pt>
                <c:pt idx="31" formatCode="_-* #,##0_-;\-* #,##0_-;_-* &quot;-&quot;_-;_-@_-">
                  <c:v>1486</c:v>
                </c:pt>
                <c:pt idx="32" formatCode="_-* #,##0_-;\-* #,##0_-;_-* &quot;-&quot;_-;_-@_-">
                  <c:v>1122</c:v>
                </c:pt>
                <c:pt idx="33" formatCode="_-* #,##0_-;\-* #,##0_-;_-* &quot;-&quot;_-;_-@_-">
                  <c:v>759</c:v>
                </c:pt>
                <c:pt idx="34" formatCode="_-* #,##0_-;\-* #,##0_-;_-* &quot;-&quot;_-;_-@_-">
                  <c:v>395</c:v>
                </c:pt>
                <c:pt idx="35" formatCode="_-* #,##0_-;\-* #,##0_-;_-* &quot;-&quot;_-;_-@_-">
                  <c:v>32</c:v>
                </c:pt>
                <c:pt idx="36" formatCode="_-* #,##0_-;\-* #,##0_-;_-* &quot;-&quot;_-;_-@_-">
                  <c:v>-331</c:v>
                </c:pt>
                <c:pt idx="37" formatCode="_-* #,##0_-;\-* #,##0_-;_-* &quot;-&quot;_-;_-@_-">
                  <c:v>-695</c:v>
                </c:pt>
              </c:numCache>
            </c:numRef>
          </c:val>
        </c:ser>
        <c:ser>
          <c:idx val="1"/>
          <c:order val="1"/>
          <c:tx>
            <c:v>최소</c:v>
          </c:tx>
          <c:spPr>
            <a:ln w="3175">
              <a:solidFill>
                <a:srgbClr val="FF00FF"/>
              </a:solidFill>
              <a:prstDash val="solid"/>
            </a:ln>
          </c:spPr>
          <c:marker>
            <c:symbol val="square"/>
            <c:size val="3"/>
            <c:spPr>
              <a:noFill/>
              <a:ln>
                <a:solidFill>
                  <a:srgbClr val="FF00FF"/>
                </a:solidFill>
                <a:prstDash val="solid"/>
              </a:ln>
            </c:spPr>
          </c:marker>
          <c:cat>
            <c:numRef>
              <c:f>발한동20년!$L$225:$AX$225</c:f>
              <c:numCache>
                <c:formatCode>General</c:formatCode>
                <c:ptCount val="39"/>
                <c:pt idx="0">
                  <c:v>1988</c:v>
                </c:pt>
                <c:pt idx="1">
                  <c:v>1989</c:v>
                </c:pt>
                <c:pt idx="2">
                  <c:v>1990</c:v>
                </c:pt>
                <c:pt idx="3">
                  <c:v>1991</c:v>
                </c:pt>
                <c:pt idx="4">
                  <c:v>1992</c:v>
                </c:pt>
                <c:pt idx="5">
                  <c:v>1993</c:v>
                </c:pt>
                <c:pt idx="6">
                  <c:v>1994</c:v>
                </c:pt>
                <c:pt idx="7">
                  <c:v>1995</c:v>
                </c:pt>
                <c:pt idx="8">
                  <c:v>1996</c:v>
                </c:pt>
                <c:pt idx="9">
                  <c:v>1997</c:v>
                </c:pt>
                <c:pt idx="10">
                  <c:v>1998</c:v>
                </c:pt>
                <c:pt idx="11">
                  <c:v>1999</c:v>
                </c:pt>
                <c:pt idx="12">
                  <c:v>2000</c:v>
                </c:pt>
                <c:pt idx="13">
                  <c:v>2001</c:v>
                </c:pt>
                <c:pt idx="14">
                  <c:v>2002</c:v>
                </c:pt>
                <c:pt idx="15">
                  <c:v>2003</c:v>
                </c:pt>
                <c:pt idx="16">
                  <c:v>2004</c:v>
                </c:pt>
                <c:pt idx="17">
                  <c:v>2005</c:v>
                </c:pt>
                <c:pt idx="18">
                  <c:v>2006</c:v>
                </c:pt>
                <c:pt idx="19">
                  <c:v>2007</c:v>
                </c:pt>
                <c:pt idx="20">
                  <c:v>2008</c:v>
                </c:pt>
                <c:pt idx="21">
                  <c:v>2009</c:v>
                </c:pt>
                <c:pt idx="22">
                  <c:v>2010</c:v>
                </c:pt>
                <c:pt idx="23">
                  <c:v>2011</c:v>
                </c:pt>
                <c:pt idx="24">
                  <c:v>2012</c:v>
                </c:pt>
                <c:pt idx="25">
                  <c:v>2013</c:v>
                </c:pt>
                <c:pt idx="26">
                  <c:v>2014</c:v>
                </c:pt>
                <c:pt idx="27">
                  <c:v>2015</c:v>
                </c:pt>
                <c:pt idx="28">
                  <c:v>2016</c:v>
                </c:pt>
                <c:pt idx="29">
                  <c:v>2017</c:v>
                </c:pt>
                <c:pt idx="30">
                  <c:v>2018</c:v>
                </c:pt>
                <c:pt idx="31">
                  <c:v>2019</c:v>
                </c:pt>
                <c:pt idx="32">
                  <c:v>2020</c:v>
                </c:pt>
                <c:pt idx="33">
                  <c:v>2021</c:v>
                </c:pt>
                <c:pt idx="34">
                  <c:v>2022</c:v>
                </c:pt>
                <c:pt idx="35">
                  <c:v>2023</c:v>
                </c:pt>
                <c:pt idx="36">
                  <c:v>2024</c:v>
                </c:pt>
                <c:pt idx="37">
                  <c:v>2025</c:v>
                </c:pt>
                <c:pt idx="38">
                  <c:v>2026</c:v>
                </c:pt>
              </c:numCache>
            </c:numRef>
          </c:cat>
          <c:val>
            <c:numRef>
              <c:f>발한동20년!$L$227:$AW$227</c:f>
              <c:numCache>
                <c:formatCode>General</c:formatCode>
                <c:ptCount val="38"/>
                <c:pt idx="19" formatCode="_-* #,##0_-;\-* #,##0_-;_-* &quot;-&quot;_-;_-@_-">
                  <c:v>5846</c:v>
                </c:pt>
                <c:pt idx="20" formatCode="_-* #,##0_-;\-* #,##0_-;_-* &quot;-&quot;_-;_-@_-">
                  <c:v>4922</c:v>
                </c:pt>
                <c:pt idx="21" formatCode="_-* #,##0_-;\-* #,##0_-;_-* &quot;-&quot;_-;_-@_-">
                  <c:v>4584</c:v>
                </c:pt>
                <c:pt idx="22" formatCode="_-* #,##0_-;\-* #,##0_-;_-* &quot;-&quot;_-;_-@_-">
                  <c:v>4245</c:v>
                </c:pt>
                <c:pt idx="23" formatCode="_-* #,##0_-;\-* #,##0_-;_-* &quot;-&quot;_-;_-@_-">
                  <c:v>3907</c:v>
                </c:pt>
                <c:pt idx="24" formatCode="_-* #,##0_-;\-* #,##0_-;_-* &quot;-&quot;_-;_-@_-">
                  <c:v>3569</c:v>
                </c:pt>
                <c:pt idx="25" formatCode="_-* #,##0_-;\-* #,##0_-;_-* &quot;-&quot;_-;_-@_-">
                  <c:v>3230</c:v>
                </c:pt>
                <c:pt idx="26" formatCode="_-* #,##0_-;\-* #,##0_-;_-* &quot;-&quot;_-;_-@_-">
                  <c:v>2892</c:v>
                </c:pt>
                <c:pt idx="27" formatCode="_-* #,##0_-;\-* #,##0_-;_-* &quot;-&quot;_-;_-@_-">
                  <c:v>2553</c:v>
                </c:pt>
                <c:pt idx="28" formatCode="_-* #,##0_-;\-* #,##0_-;_-* &quot;-&quot;_-;_-@_-">
                  <c:v>2215</c:v>
                </c:pt>
                <c:pt idx="29" formatCode="_-* #,##0_-;\-* #,##0_-;_-* &quot;-&quot;_-;_-@_-">
                  <c:v>1876</c:v>
                </c:pt>
                <c:pt idx="30" formatCode="_-* #,##0_-;\-* #,##0_-;_-* &quot;-&quot;_-;_-@_-">
                  <c:v>1538</c:v>
                </c:pt>
                <c:pt idx="31" formatCode="_-* #,##0_-;\-* #,##0_-;_-* &quot;-&quot;_-;_-@_-">
                  <c:v>1199</c:v>
                </c:pt>
                <c:pt idx="32" formatCode="_-* #,##0_-;\-* #,##0_-;_-* &quot;-&quot;_-;_-@_-">
                  <c:v>861</c:v>
                </c:pt>
                <c:pt idx="33" formatCode="_-* #,##0_-;\-* #,##0_-;_-* &quot;-&quot;_-;_-@_-">
                  <c:v>522</c:v>
                </c:pt>
                <c:pt idx="34" formatCode="_-* #,##0_-;\-* #,##0_-;_-* &quot;-&quot;_-;_-@_-">
                  <c:v>184</c:v>
                </c:pt>
                <c:pt idx="35" formatCode="_-* #,##0_-;\-* #,##0_-;_-* &quot;-&quot;_-;_-@_-">
                  <c:v>-155</c:v>
                </c:pt>
                <c:pt idx="36" formatCode="_-* #,##0_-;\-* #,##0_-;_-* &quot;-&quot;_-;_-@_-">
                  <c:v>-493</c:v>
                </c:pt>
                <c:pt idx="37" formatCode="_-* #,##0_-;\-* #,##0_-;_-* &quot;-&quot;_-;_-@_-">
                  <c:v>-832</c:v>
                </c:pt>
              </c:numCache>
            </c:numRef>
          </c:val>
        </c:ser>
        <c:ser>
          <c:idx val="4"/>
          <c:order val="2"/>
          <c:tx>
            <c:v>로지스틱</c:v>
          </c:tx>
          <c:spPr>
            <a:ln w="3175">
              <a:solidFill>
                <a:srgbClr val="800080"/>
              </a:solidFill>
              <a:prstDash val="solid"/>
            </a:ln>
          </c:spPr>
          <c:marker>
            <c:symbol val="circle"/>
            <c:size val="3"/>
            <c:spPr>
              <a:noFill/>
              <a:ln>
                <a:solidFill>
                  <a:srgbClr val="800080"/>
                </a:solidFill>
                <a:prstDash val="solid"/>
              </a:ln>
            </c:spPr>
          </c:marker>
          <c:cat>
            <c:numRef>
              <c:f>발한동20년!$L$225:$AX$225</c:f>
              <c:numCache>
                <c:formatCode>General</c:formatCode>
                <c:ptCount val="39"/>
                <c:pt idx="0">
                  <c:v>1988</c:v>
                </c:pt>
                <c:pt idx="1">
                  <c:v>1989</c:v>
                </c:pt>
                <c:pt idx="2">
                  <c:v>1990</c:v>
                </c:pt>
                <c:pt idx="3">
                  <c:v>1991</c:v>
                </c:pt>
                <c:pt idx="4">
                  <c:v>1992</c:v>
                </c:pt>
                <c:pt idx="5">
                  <c:v>1993</c:v>
                </c:pt>
                <c:pt idx="6">
                  <c:v>1994</c:v>
                </c:pt>
                <c:pt idx="7">
                  <c:v>1995</c:v>
                </c:pt>
                <c:pt idx="8">
                  <c:v>1996</c:v>
                </c:pt>
                <c:pt idx="9">
                  <c:v>1997</c:v>
                </c:pt>
                <c:pt idx="10">
                  <c:v>1998</c:v>
                </c:pt>
                <c:pt idx="11">
                  <c:v>1999</c:v>
                </c:pt>
                <c:pt idx="12">
                  <c:v>2000</c:v>
                </c:pt>
                <c:pt idx="13">
                  <c:v>2001</c:v>
                </c:pt>
                <c:pt idx="14">
                  <c:v>2002</c:v>
                </c:pt>
                <c:pt idx="15">
                  <c:v>2003</c:v>
                </c:pt>
                <c:pt idx="16">
                  <c:v>2004</c:v>
                </c:pt>
                <c:pt idx="17">
                  <c:v>2005</c:v>
                </c:pt>
                <c:pt idx="18">
                  <c:v>2006</c:v>
                </c:pt>
                <c:pt idx="19">
                  <c:v>2007</c:v>
                </c:pt>
                <c:pt idx="20">
                  <c:v>2008</c:v>
                </c:pt>
                <c:pt idx="21">
                  <c:v>2009</c:v>
                </c:pt>
                <c:pt idx="22">
                  <c:v>2010</c:v>
                </c:pt>
                <c:pt idx="23">
                  <c:v>2011</c:v>
                </c:pt>
                <c:pt idx="24">
                  <c:v>2012</c:v>
                </c:pt>
                <c:pt idx="25">
                  <c:v>2013</c:v>
                </c:pt>
                <c:pt idx="26">
                  <c:v>2014</c:v>
                </c:pt>
                <c:pt idx="27">
                  <c:v>2015</c:v>
                </c:pt>
                <c:pt idx="28">
                  <c:v>2016</c:v>
                </c:pt>
                <c:pt idx="29">
                  <c:v>2017</c:v>
                </c:pt>
                <c:pt idx="30">
                  <c:v>2018</c:v>
                </c:pt>
                <c:pt idx="31">
                  <c:v>2019</c:v>
                </c:pt>
                <c:pt idx="32">
                  <c:v>2020</c:v>
                </c:pt>
                <c:pt idx="33">
                  <c:v>2021</c:v>
                </c:pt>
                <c:pt idx="34">
                  <c:v>2022</c:v>
                </c:pt>
                <c:pt idx="35">
                  <c:v>2023</c:v>
                </c:pt>
                <c:pt idx="36">
                  <c:v>2024</c:v>
                </c:pt>
                <c:pt idx="37">
                  <c:v>2025</c:v>
                </c:pt>
                <c:pt idx="38">
                  <c:v>2026</c:v>
                </c:pt>
              </c:numCache>
            </c:numRef>
          </c:cat>
          <c:val>
            <c:numRef>
              <c:f>발한동20년!$L$230:$AW$230</c:f>
              <c:numCache>
                <c:formatCode>General</c:formatCode>
                <c:ptCount val="38"/>
                <c:pt idx="19" formatCode="_-* #,##0_-;\-* #,##0_-;_-* &quot;-&quot;_-;_-@_-">
                  <c:v>5846</c:v>
                </c:pt>
                <c:pt idx="20" formatCode="_-* #,##0_-;\-* #,##0_-;_-* &quot;-&quot;_-;_-@_-">
                  <c:v>5264</c:v>
                </c:pt>
                <c:pt idx="21" formatCode="_-* #,##0_-;\-* #,##0_-;_-* &quot;-&quot;_-;_-@_-">
                  <c:v>5018</c:v>
                </c:pt>
                <c:pt idx="22" formatCode="_-* #,##0_-;\-* #,##0_-;_-* &quot;-&quot;_-;_-@_-">
                  <c:v>4781</c:v>
                </c:pt>
                <c:pt idx="23" formatCode="_-* #,##0_-;\-* #,##0_-;_-* &quot;-&quot;_-;_-@_-">
                  <c:v>4552</c:v>
                </c:pt>
                <c:pt idx="24" formatCode="_-* #,##0_-;\-* #,##0_-;_-* &quot;-&quot;_-;_-@_-">
                  <c:v>4332</c:v>
                </c:pt>
                <c:pt idx="25" formatCode="_-* #,##0_-;\-* #,##0_-;_-* &quot;-&quot;_-;_-@_-">
                  <c:v>4121</c:v>
                </c:pt>
                <c:pt idx="26" formatCode="_-* #,##0_-;\-* #,##0_-;_-* &quot;-&quot;_-;_-@_-">
                  <c:v>3918</c:v>
                </c:pt>
                <c:pt idx="27" formatCode="_-* #,##0_-;\-* #,##0_-;_-* &quot;-&quot;_-;_-@_-">
                  <c:v>3723</c:v>
                </c:pt>
                <c:pt idx="28" formatCode="_-* #,##0_-;\-* #,##0_-;_-* &quot;-&quot;_-;_-@_-">
                  <c:v>3536</c:v>
                </c:pt>
                <c:pt idx="29" formatCode="_-* #,##0_-;\-* #,##0_-;_-* &quot;-&quot;_-;_-@_-">
                  <c:v>3357</c:v>
                </c:pt>
                <c:pt idx="30" formatCode="_-* #,##0_-;\-* #,##0_-;_-* &quot;-&quot;_-;_-@_-">
                  <c:v>3186</c:v>
                </c:pt>
                <c:pt idx="31" formatCode="_-* #,##0_-;\-* #,##0_-;_-* &quot;-&quot;_-;_-@_-">
                  <c:v>3023</c:v>
                </c:pt>
                <c:pt idx="32" formatCode="_-* #,##0_-;\-* #,##0_-;_-* &quot;-&quot;_-;_-@_-">
                  <c:v>2867</c:v>
                </c:pt>
                <c:pt idx="33" formatCode="_-* #,##0_-;\-* #,##0_-;_-* &quot;-&quot;_-;_-@_-">
                  <c:v>2718</c:v>
                </c:pt>
                <c:pt idx="34" formatCode="_-* #,##0_-;\-* #,##0_-;_-* &quot;-&quot;_-;_-@_-">
                  <c:v>2575</c:v>
                </c:pt>
                <c:pt idx="35" formatCode="_-* #,##0_-;\-* #,##0_-;_-* &quot;-&quot;_-;_-@_-">
                  <c:v>2440</c:v>
                </c:pt>
                <c:pt idx="36" formatCode="_-* #,##0_-;\-* #,##0_-;_-* &quot;-&quot;_-;_-@_-">
                  <c:v>2311</c:v>
                </c:pt>
                <c:pt idx="37" formatCode="_-* #,##0_-;\-* #,##0_-;_-* &quot;-&quot;_-;_-@_-">
                  <c:v>2188</c:v>
                </c:pt>
              </c:numCache>
            </c:numRef>
          </c:val>
        </c:ser>
        <c:ser>
          <c:idx val="5"/>
          <c:order val="3"/>
          <c:tx>
            <c:v>평균(최대최소제외)</c:v>
          </c:tx>
          <c:spPr>
            <a:ln w="3175">
              <a:solidFill>
                <a:srgbClr val="800000"/>
              </a:solidFill>
              <a:prstDash val="sysDash"/>
            </a:ln>
          </c:spPr>
          <c:marker>
            <c:symbol val="circle"/>
            <c:size val="3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발한동20년!$L$225:$AX$225</c:f>
              <c:numCache>
                <c:formatCode>General</c:formatCode>
                <c:ptCount val="39"/>
                <c:pt idx="0">
                  <c:v>1988</c:v>
                </c:pt>
                <c:pt idx="1">
                  <c:v>1989</c:v>
                </c:pt>
                <c:pt idx="2">
                  <c:v>1990</c:v>
                </c:pt>
                <c:pt idx="3">
                  <c:v>1991</c:v>
                </c:pt>
                <c:pt idx="4">
                  <c:v>1992</c:v>
                </c:pt>
                <c:pt idx="5">
                  <c:v>1993</c:v>
                </c:pt>
                <c:pt idx="6">
                  <c:v>1994</c:v>
                </c:pt>
                <c:pt idx="7">
                  <c:v>1995</c:v>
                </c:pt>
                <c:pt idx="8">
                  <c:v>1996</c:v>
                </c:pt>
                <c:pt idx="9">
                  <c:v>1997</c:v>
                </c:pt>
                <c:pt idx="10">
                  <c:v>1998</c:v>
                </c:pt>
                <c:pt idx="11">
                  <c:v>1999</c:v>
                </c:pt>
                <c:pt idx="12">
                  <c:v>2000</c:v>
                </c:pt>
                <c:pt idx="13">
                  <c:v>2001</c:v>
                </c:pt>
                <c:pt idx="14">
                  <c:v>2002</c:v>
                </c:pt>
                <c:pt idx="15">
                  <c:v>2003</c:v>
                </c:pt>
                <c:pt idx="16">
                  <c:v>2004</c:v>
                </c:pt>
                <c:pt idx="17">
                  <c:v>2005</c:v>
                </c:pt>
                <c:pt idx="18">
                  <c:v>2006</c:v>
                </c:pt>
                <c:pt idx="19">
                  <c:v>2007</c:v>
                </c:pt>
                <c:pt idx="20">
                  <c:v>2008</c:v>
                </c:pt>
                <c:pt idx="21">
                  <c:v>2009</c:v>
                </c:pt>
                <c:pt idx="22">
                  <c:v>2010</c:v>
                </c:pt>
                <c:pt idx="23">
                  <c:v>2011</c:v>
                </c:pt>
                <c:pt idx="24">
                  <c:v>2012</c:v>
                </c:pt>
                <c:pt idx="25">
                  <c:v>2013</c:v>
                </c:pt>
                <c:pt idx="26">
                  <c:v>2014</c:v>
                </c:pt>
                <c:pt idx="27">
                  <c:v>2015</c:v>
                </c:pt>
                <c:pt idx="28">
                  <c:v>2016</c:v>
                </c:pt>
                <c:pt idx="29">
                  <c:v>2017</c:v>
                </c:pt>
                <c:pt idx="30">
                  <c:v>2018</c:v>
                </c:pt>
                <c:pt idx="31">
                  <c:v>2019</c:v>
                </c:pt>
                <c:pt idx="32">
                  <c:v>2020</c:v>
                </c:pt>
                <c:pt idx="33">
                  <c:v>2021</c:v>
                </c:pt>
                <c:pt idx="34">
                  <c:v>2022</c:v>
                </c:pt>
                <c:pt idx="35">
                  <c:v>2023</c:v>
                </c:pt>
                <c:pt idx="36">
                  <c:v>2024</c:v>
                </c:pt>
                <c:pt idx="37">
                  <c:v>2025</c:v>
                </c:pt>
                <c:pt idx="38">
                  <c:v>2026</c:v>
                </c:pt>
              </c:numCache>
            </c:numRef>
          </c:cat>
          <c:val>
            <c:numRef>
              <c:f>발한동20년!$L$231:$AW$231</c:f>
              <c:numCache>
                <c:formatCode>General</c:formatCode>
                <c:ptCount val="38"/>
                <c:pt idx="19" formatCode="_-* #,##0_-;\-* #,##0_-;_-* &quot;-&quot;_-;_-@_-">
                  <c:v>5846</c:v>
                </c:pt>
                <c:pt idx="20" formatCode="#,##0_ ">
                  <c:v>5373.5</c:v>
                </c:pt>
                <c:pt idx="21" formatCode="#,##0_ ">
                  <c:v>5068.5</c:v>
                </c:pt>
                <c:pt idx="22" formatCode="#,##0_ ">
                  <c:v>4768.5</c:v>
                </c:pt>
                <c:pt idx="23" formatCode="#,##0_ ">
                  <c:v>4472.5</c:v>
                </c:pt>
                <c:pt idx="24" formatCode="#,##0_ ">
                  <c:v>4180.5</c:v>
                </c:pt>
                <c:pt idx="25" formatCode="#,##0_ ">
                  <c:v>3893.5</c:v>
                </c:pt>
                <c:pt idx="26" formatCode="#,##0_ ">
                  <c:v>3610</c:v>
                </c:pt>
                <c:pt idx="27" formatCode="#,##0_ ">
                  <c:v>3331</c:v>
                </c:pt>
                <c:pt idx="28" formatCode="#,##0_ ">
                  <c:v>3056</c:v>
                </c:pt>
                <c:pt idx="29" formatCode="#,##0_ ">
                  <c:v>2784.5</c:v>
                </c:pt>
                <c:pt idx="30" formatCode="#,##0_ ">
                  <c:v>2517.5</c:v>
                </c:pt>
                <c:pt idx="31" formatCode="#,##0_ ">
                  <c:v>2254.5</c:v>
                </c:pt>
                <c:pt idx="32" formatCode="#,##0_ ">
                  <c:v>1994.5</c:v>
                </c:pt>
                <c:pt idx="33" formatCode="#,##0_ ">
                  <c:v>1738.5</c:v>
                </c:pt>
                <c:pt idx="34" formatCode="#,##0_ ">
                  <c:v>1485</c:v>
                </c:pt>
                <c:pt idx="35" formatCode="#,##0_ ">
                  <c:v>1236</c:v>
                </c:pt>
                <c:pt idx="36" formatCode="#,##0_ ">
                  <c:v>990</c:v>
                </c:pt>
                <c:pt idx="37" formatCode="#,##0_ ">
                  <c:v>746.5</c:v>
                </c:pt>
              </c:numCache>
            </c:numRef>
          </c:val>
        </c:ser>
        <c:ser>
          <c:idx val="6"/>
          <c:order val="4"/>
          <c:tx>
            <c:v>과거</c:v>
          </c:tx>
          <c:spPr>
            <a:ln w="12700">
              <a:solidFill>
                <a:srgbClr val="008080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008080"/>
                </a:solidFill>
                <a:prstDash val="solid"/>
              </a:ln>
            </c:spPr>
          </c:marker>
          <c:cat>
            <c:numRef>
              <c:f>발한동20년!$L$225:$AX$225</c:f>
              <c:numCache>
                <c:formatCode>General</c:formatCode>
                <c:ptCount val="39"/>
                <c:pt idx="0">
                  <c:v>1988</c:v>
                </c:pt>
                <c:pt idx="1">
                  <c:v>1989</c:v>
                </c:pt>
                <c:pt idx="2">
                  <c:v>1990</c:v>
                </c:pt>
                <c:pt idx="3">
                  <c:v>1991</c:v>
                </c:pt>
                <c:pt idx="4">
                  <c:v>1992</c:v>
                </c:pt>
                <c:pt idx="5">
                  <c:v>1993</c:v>
                </c:pt>
                <c:pt idx="6">
                  <c:v>1994</c:v>
                </c:pt>
                <c:pt idx="7">
                  <c:v>1995</c:v>
                </c:pt>
                <c:pt idx="8">
                  <c:v>1996</c:v>
                </c:pt>
                <c:pt idx="9">
                  <c:v>1997</c:v>
                </c:pt>
                <c:pt idx="10">
                  <c:v>1998</c:v>
                </c:pt>
                <c:pt idx="11">
                  <c:v>1999</c:v>
                </c:pt>
                <c:pt idx="12">
                  <c:v>2000</c:v>
                </c:pt>
                <c:pt idx="13">
                  <c:v>2001</c:v>
                </c:pt>
                <c:pt idx="14">
                  <c:v>2002</c:v>
                </c:pt>
                <c:pt idx="15">
                  <c:v>2003</c:v>
                </c:pt>
                <c:pt idx="16">
                  <c:v>2004</c:v>
                </c:pt>
                <c:pt idx="17">
                  <c:v>2005</c:v>
                </c:pt>
                <c:pt idx="18">
                  <c:v>2006</c:v>
                </c:pt>
                <c:pt idx="19">
                  <c:v>2007</c:v>
                </c:pt>
                <c:pt idx="20">
                  <c:v>2008</c:v>
                </c:pt>
                <c:pt idx="21">
                  <c:v>2009</c:v>
                </c:pt>
                <c:pt idx="22">
                  <c:v>2010</c:v>
                </c:pt>
                <c:pt idx="23">
                  <c:v>2011</c:v>
                </c:pt>
                <c:pt idx="24">
                  <c:v>2012</c:v>
                </c:pt>
                <c:pt idx="25">
                  <c:v>2013</c:v>
                </c:pt>
                <c:pt idx="26">
                  <c:v>2014</c:v>
                </c:pt>
                <c:pt idx="27">
                  <c:v>2015</c:v>
                </c:pt>
                <c:pt idx="28">
                  <c:v>2016</c:v>
                </c:pt>
                <c:pt idx="29">
                  <c:v>2017</c:v>
                </c:pt>
                <c:pt idx="30">
                  <c:v>2018</c:v>
                </c:pt>
                <c:pt idx="31">
                  <c:v>2019</c:v>
                </c:pt>
                <c:pt idx="32">
                  <c:v>2020</c:v>
                </c:pt>
                <c:pt idx="33">
                  <c:v>2021</c:v>
                </c:pt>
                <c:pt idx="34">
                  <c:v>2022</c:v>
                </c:pt>
                <c:pt idx="35">
                  <c:v>2023</c:v>
                </c:pt>
                <c:pt idx="36">
                  <c:v>2024</c:v>
                </c:pt>
                <c:pt idx="37">
                  <c:v>2025</c:v>
                </c:pt>
                <c:pt idx="38">
                  <c:v>2026</c:v>
                </c:pt>
              </c:numCache>
            </c:numRef>
          </c:cat>
          <c:val>
            <c:numRef>
              <c:f>발한동20년!$L$223:$AG$223</c:f>
              <c:numCache>
                <c:formatCode>_-* #,##0_-;\-* #,##0_-;_-* "-"_-;_-@_-</c:formatCode>
                <c:ptCount val="22"/>
                <c:pt idx="0" formatCode="General">
                  <c:v>12750</c:v>
                </c:pt>
                <c:pt idx="1">
                  <c:v>11929</c:v>
                </c:pt>
                <c:pt idx="2" formatCode="General">
                  <c:v>10828</c:v>
                </c:pt>
                <c:pt idx="3">
                  <c:v>10840</c:v>
                </c:pt>
                <c:pt idx="4" formatCode="General">
                  <c:v>10430</c:v>
                </c:pt>
                <c:pt idx="5">
                  <c:v>10044</c:v>
                </c:pt>
                <c:pt idx="6">
                  <c:v>9477</c:v>
                </c:pt>
                <c:pt idx="7">
                  <c:v>8906</c:v>
                </c:pt>
                <c:pt idx="8">
                  <c:v>8278</c:v>
                </c:pt>
                <c:pt idx="9">
                  <c:v>7979</c:v>
                </c:pt>
                <c:pt idx="10">
                  <c:v>7754</c:v>
                </c:pt>
                <c:pt idx="11">
                  <c:v>7491</c:v>
                </c:pt>
                <c:pt idx="12">
                  <c:v>7200</c:v>
                </c:pt>
                <c:pt idx="13">
                  <c:v>7096</c:v>
                </c:pt>
                <c:pt idx="14">
                  <c:v>6966</c:v>
                </c:pt>
                <c:pt idx="15">
                  <c:v>6795</c:v>
                </c:pt>
                <c:pt idx="16">
                  <c:v>6582</c:v>
                </c:pt>
                <c:pt idx="17">
                  <c:v>6343</c:v>
                </c:pt>
                <c:pt idx="18">
                  <c:v>5994</c:v>
                </c:pt>
                <c:pt idx="19">
                  <c:v>5846</c:v>
                </c:pt>
                <c:pt idx="20">
                  <c:v>5264</c:v>
                </c:pt>
              </c:numCache>
            </c:numRef>
          </c:val>
        </c:ser>
        <c:ser>
          <c:idx val="2"/>
          <c:order val="5"/>
          <c:tx>
            <c:v>등비</c:v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FF0000"/>
                </a:solidFill>
                <a:prstDash val="solid"/>
              </a:ln>
            </c:spPr>
          </c:marker>
          <c:val>
            <c:numRef>
              <c:f>발한동20년!$L$228:$AW$228</c:f>
              <c:numCache>
                <c:formatCode>General</c:formatCode>
                <c:ptCount val="38"/>
                <c:pt idx="19" formatCode="_-* #,##0_-;\-* #,##0_-;_-* &quot;-&quot;_-;_-@_-">
                  <c:v>5846</c:v>
                </c:pt>
                <c:pt idx="20" formatCode="_-* #,##0_-;\-* #,##0_-;_-* &quot;-&quot;_-;_-@_-">
                  <c:v>5611</c:v>
                </c:pt>
                <c:pt idx="21" formatCode="_-* #,##0_-;\-* #,##0_-;_-* &quot;-&quot;_-;_-@_-">
                  <c:v>5385</c:v>
                </c:pt>
                <c:pt idx="22" formatCode="_-* #,##0_-;\-* #,##0_-;_-* &quot;-&quot;_-;_-@_-">
                  <c:v>5169</c:v>
                </c:pt>
                <c:pt idx="23" formatCode="_-* #,##0_-;\-* #,##0_-;_-* &quot;-&quot;_-;_-@_-">
                  <c:v>4961</c:v>
                </c:pt>
                <c:pt idx="24" formatCode="_-* #,##0_-;\-* #,##0_-;_-* &quot;-&quot;_-;_-@_-">
                  <c:v>4761</c:v>
                </c:pt>
                <c:pt idx="25" formatCode="_-* #,##0_-;\-* #,##0_-;_-* &quot;-&quot;_-;_-@_-">
                  <c:v>4570</c:v>
                </c:pt>
                <c:pt idx="26" formatCode="_-* #,##0_-;\-* #,##0_-;_-* &quot;-&quot;_-;_-@_-">
                  <c:v>4386</c:v>
                </c:pt>
                <c:pt idx="27" formatCode="_-* #,##0_-;\-* #,##0_-;_-* &quot;-&quot;_-;_-@_-">
                  <c:v>4210</c:v>
                </c:pt>
                <c:pt idx="28" formatCode="_-* #,##0_-;\-* #,##0_-;_-* &quot;-&quot;_-;_-@_-">
                  <c:v>4041</c:v>
                </c:pt>
                <c:pt idx="29" formatCode="_-* #,##0_-;\-* #,##0_-;_-* &quot;-&quot;_-;_-@_-">
                  <c:v>3878</c:v>
                </c:pt>
                <c:pt idx="30" formatCode="_-* #,##0_-;\-* #,##0_-;_-* &quot;-&quot;_-;_-@_-">
                  <c:v>3722</c:v>
                </c:pt>
                <c:pt idx="31" formatCode="_-* #,##0_-;\-* #,##0_-;_-* &quot;-&quot;_-;_-@_-">
                  <c:v>3573</c:v>
                </c:pt>
                <c:pt idx="32" formatCode="_-* #,##0_-;\-* #,##0_-;_-* &quot;-&quot;_-;_-@_-">
                  <c:v>3429</c:v>
                </c:pt>
                <c:pt idx="33" formatCode="_-* #,##0_-;\-* #,##0_-;_-* &quot;-&quot;_-;_-@_-">
                  <c:v>3291</c:v>
                </c:pt>
                <c:pt idx="34" formatCode="_-* #,##0_-;\-* #,##0_-;_-* &quot;-&quot;_-;_-@_-">
                  <c:v>3159</c:v>
                </c:pt>
                <c:pt idx="35" formatCode="_-* #,##0_-;\-* #,##0_-;_-* &quot;-&quot;_-;_-@_-">
                  <c:v>3032</c:v>
                </c:pt>
                <c:pt idx="36" formatCode="_-* #,##0_-;\-* #,##0_-;_-* &quot;-&quot;_-;_-@_-">
                  <c:v>2910</c:v>
                </c:pt>
                <c:pt idx="37" formatCode="_-* #,##0_-;\-* #,##0_-;_-* &quot;-&quot;_-;_-@_-">
                  <c:v>2793</c:v>
                </c:pt>
              </c:numCache>
            </c:numRef>
          </c:val>
        </c:ser>
        <c:marker val="1"/>
        <c:axId val="128345984"/>
        <c:axId val="128352640"/>
      </c:lineChart>
      <c:catAx>
        <c:axId val="128345984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875" b="0" i="0" u="none" strike="noStrike" baseline="0">
                    <a:solidFill>
                      <a:srgbClr val="000000"/>
                    </a:solidFill>
                    <a:latin typeface="돋움"/>
                    <a:ea typeface="돋움"/>
                    <a:cs typeface="돋움"/>
                  </a:defRPr>
                </a:pPr>
                <a:r>
                  <a:rPr altLang="en-US"/>
                  <a:t>연도</a:t>
                </a:r>
              </a:p>
            </c:rich>
          </c:tx>
          <c:layout>
            <c:manualLayout>
              <c:xMode val="edge"/>
              <c:yMode val="edge"/>
              <c:x val="0.50336346409613442"/>
              <c:y val="0.81939243336028011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maj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돋움"/>
                <a:ea typeface="돋움"/>
                <a:cs typeface="돋움"/>
              </a:defRPr>
            </a:pPr>
            <a:endParaRPr lang="ko-KR"/>
          </a:p>
        </c:txPr>
        <c:crossAx val="128352640"/>
        <c:crosses val="autoZero"/>
        <c:auto val="1"/>
        <c:lblAlgn val="ctr"/>
        <c:lblOffset val="100"/>
        <c:tickLblSkip val="2"/>
        <c:tickMarkSkip val="1"/>
      </c:catAx>
      <c:valAx>
        <c:axId val="128352640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맑은 고딕"/>
                    <a:ea typeface="맑은 고딕"/>
                    <a:cs typeface="맑은 고딕"/>
                  </a:defRPr>
                </a:pPr>
                <a:r>
                  <a:rPr lang="ko-KR" altLang="en-US" sz="875" b="0" i="0" strike="noStrike">
                    <a:solidFill>
                      <a:srgbClr val="000000"/>
                    </a:solidFill>
                    <a:latin typeface="돋움"/>
                    <a:ea typeface="돋움"/>
                  </a:rPr>
                  <a:t>인구</a:t>
                </a:r>
                <a:r>
                  <a:rPr lang="en-US" altLang="ko-KR" sz="875" b="0" i="0" strike="noStrike">
                    <a:solidFill>
                      <a:srgbClr val="000000"/>
                    </a:solidFill>
                    <a:latin typeface="돋움"/>
                    <a:ea typeface="돋움"/>
                  </a:rPr>
                  <a:t>(</a:t>
                </a:r>
                <a:r>
                  <a:rPr lang="ko-KR" altLang="en-US" sz="875" b="0" i="0" strike="noStrike">
                    <a:solidFill>
                      <a:srgbClr val="000000"/>
                    </a:solidFill>
                    <a:latin typeface="돋움"/>
                    <a:ea typeface="돋움"/>
                  </a:rPr>
                  <a:t>명</a:t>
                </a:r>
                <a:r>
                  <a:rPr lang="en-US" altLang="ko-KR" sz="875" b="0" i="0" strike="noStrike">
                    <a:solidFill>
                      <a:srgbClr val="000000"/>
                    </a:solidFill>
                    <a:latin typeface="돋움"/>
                    <a:ea typeface="돋움"/>
                  </a:rPr>
                  <a:t>)</a:t>
                </a:r>
              </a:p>
            </c:rich>
          </c:tx>
          <c:layout>
            <c:manualLayout>
              <c:xMode val="edge"/>
              <c:yMode val="edge"/>
              <c:x val="2.5784753363228687E-2"/>
              <c:y val="0.39923994291588139"/>
            </c:manualLayout>
          </c:layout>
          <c:spPr>
            <a:noFill/>
            <a:ln w="25400">
              <a:noFill/>
            </a:ln>
          </c:spPr>
        </c:title>
        <c:numFmt formatCode="#,##0_ " sourceLinked="0"/>
        <c:maj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돋움"/>
                <a:ea typeface="돋움"/>
                <a:cs typeface="돋움"/>
              </a:defRPr>
            </a:pPr>
            <a:endParaRPr lang="ko-KR"/>
          </a:p>
        </c:txPr>
        <c:crossAx val="128345984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wMode val="edge"/>
          <c:hMode val="edge"/>
          <c:x val="0.12668173204806787"/>
          <c:y val="0.89733920142111512"/>
          <c:w val="0.91479879476948922"/>
          <c:h val="0.95817570332225577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돋움"/>
              <a:ea typeface="돋움"/>
              <a:cs typeface="돋움"/>
            </a:defRPr>
          </a:pPr>
          <a:endParaRPr lang="ko-KR"/>
        </a:p>
      </c:txPr>
    </c:legend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75" b="0" i="0" u="none" strike="noStrike" baseline="0">
          <a:solidFill>
            <a:srgbClr val="000000"/>
          </a:solidFill>
          <a:latin typeface="돋움"/>
          <a:ea typeface="돋움"/>
          <a:cs typeface="돋움"/>
        </a:defRPr>
      </a:pPr>
      <a:endParaRPr lang="ko-KR"/>
    </a:p>
  </c:txPr>
  <c:printSettings>
    <c:headerFooter alignWithMargins="0"/>
    <c:pageMargins b="1" l="0.75000000000000144" r="0.75000000000000144" t="1" header="0.5" footer="0.5"/>
    <c:pageSetup paperSize="9" orientation="landscape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ko-KR"/>
  <c:chart>
    <c:title>
      <c:tx>
        <c:rich>
          <a:bodyPr/>
          <a:lstStyle/>
          <a:p>
            <a:pPr>
              <a:defRPr sz="1175" b="1" i="0" u="none" strike="noStrike" baseline="0">
                <a:solidFill>
                  <a:srgbClr val="000000"/>
                </a:solidFill>
                <a:latin typeface="돋움"/>
                <a:ea typeface="돋움"/>
                <a:cs typeface="돋움"/>
              </a:defRPr>
            </a:pPr>
            <a:r>
              <a:rPr altLang="en-US"/>
              <a:t>발한동</a:t>
            </a:r>
          </a:p>
        </c:rich>
      </c:tx>
      <c:layout>
        <c:manualLayout>
          <c:xMode val="edge"/>
          <c:yMode val="edge"/>
          <c:x val="0.46861010086743682"/>
          <c:y val="2.8517110266159756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9.7533685676984214E-2"/>
          <c:y val="9.3155980012012529E-2"/>
          <c:w val="0.83744440460583214"/>
          <c:h val="0.67680671192400665"/>
        </c:manualLayout>
      </c:layout>
      <c:lineChart>
        <c:grouping val="standard"/>
        <c:ser>
          <c:idx val="0"/>
          <c:order val="0"/>
          <c:tx>
            <c:v>등차</c:v>
          </c:tx>
          <c:spPr>
            <a:ln w="3175">
              <a:solidFill>
                <a:srgbClr val="000080"/>
              </a:solidFill>
              <a:prstDash val="solid"/>
            </a:ln>
          </c:spPr>
          <c:marker>
            <c:symbol val="diamond"/>
            <c:size val="3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발한동10!$L$181:$AO$181</c:f>
              <c:numCache>
                <c:formatCode>General</c:formatCode>
                <c:ptCount val="30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  <c:pt idx="22">
                  <c:v>2019</c:v>
                </c:pt>
                <c:pt idx="23">
                  <c:v>2020</c:v>
                </c:pt>
                <c:pt idx="24">
                  <c:v>2021</c:v>
                </c:pt>
                <c:pt idx="25">
                  <c:v>2022</c:v>
                </c:pt>
                <c:pt idx="26">
                  <c:v>2023</c:v>
                </c:pt>
                <c:pt idx="27">
                  <c:v>2024</c:v>
                </c:pt>
                <c:pt idx="28">
                  <c:v>2025</c:v>
                </c:pt>
                <c:pt idx="29">
                  <c:v>2026</c:v>
                </c:pt>
              </c:numCache>
            </c:numRef>
          </c:cat>
          <c:val>
            <c:numRef>
              <c:f>발한동10!$L$182:$AN$182</c:f>
              <c:numCache>
                <c:formatCode>General</c:formatCode>
                <c:ptCount val="29"/>
                <c:pt idx="10" formatCode="_-* #,##0_-;\-* #,##0_-;_-* &quot;-&quot;_-;_-@_-">
                  <c:v>5846</c:v>
                </c:pt>
                <c:pt idx="11" formatCode="_-* #,##0_-;\-* #,##0_-;_-* &quot;-&quot;_-;_-@_-">
                  <c:v>5633</c:v>
                </c:pt>
                <c:pt idx="12" formatCode="_-* #,##0_-;\-* #,##0_-;_-* &quot;-&quot;_-;_-@_-">
                  <c:v>5419</c:v>
                </c:pt>
                <c:pt idx="13" formatCode="_-* #,##0_-;\-* #,##0_-;_-* &quot;-&quot;_-;_-@_-">
                  <c:v>5206</c:v>
                </c:pt>
                <c:pt idx="14" formatCode="_-* #,##0_-;\-* #,##0_-;_-* &quot;-&quot;_-;_-@_-">
                  <c:v>4993</c:v>
                </c:pt>
                <c:pt idx="15" formatCode="_-* #,##0_-;\-* #,##0_-;_-* &quot;-&quot;_-;_-@_-">
                  <c:v>4780</c:v>
                </c:pt>
                <c:pt idx="16" formatCode="_-* #,##0_-;\-* #,##0_-;_-* &quot;-&quot;_-;_-@_-">
                  <c:v>4566</c:v>
                </c:pt>
                <c:pt idx="17" formatCode="_-* #,##0_-;\-* #,##0_-;_-* &quot;-&quot;_-;_-@_-">
                  <c:v>4353</c:v>
                </c:pt>
                <c:pt idx="18" formatCode="_-* #,##0_-;\-* #,##0_-;_-* &quot;-&quot;_-;_-@_-">
                  <c:v>4140</c:v>
                </c:pt>
                <c:pt idx="19" formatCode="_-* #,##0_-;\-* #,##0_-;_-* &quot;-&quot;_-;_-@_-">
                  <c:v>3926</c:v>
                </c:pt>
                <c:pt idx="20" formatCode="_-* #,##0_-;\-* #,##0_-;_-* &quot;-&quot;_-;_-@_-">
                  <c:v>3713</c:v>
                </c:pt>
                <c:pt idx="21" formatCode="_-* #,##0_-;\-* #,##0_-;_-* &quot;-&quot;_-;_-@_-">
                  <c:v>3500</c:v>
                </c:pt>
                <c:pt idx="22" formatCode="_-* #,##0_-;\-* #,##0_-;_-* &quot;-&quot;_-;_-@_-">
                  <c:v>3286</c:v>
                </c:pt>
                <c:pt idx="23" formatCode="_-* #,##0_-;\-* #,##0_-;_-* &quot;-&quot;_-;_-@_-">
                  <c:v>3073</c:v>
                </c:pt>
                <c:pt idx="24" formatCode="_-* #,##0_-;\-* #,##0_-;_-* &quot;-&quot;_-;_-@_-">
                  <c:v>2860</c:v>
                </c:pt>
                <c:pt idx="25" formatCode="_-* #,##0_-;\-* #,##0_-;_-* &quot;-&quot;_-;_-@_-">
                  <c:v>2647</c:v>
                </c:pt>
                <c:pt idx="26" formatCode="_-* #,##0_-;\-* #,##0_-;_-* &quot;-&quot;_-;_-@_-">
                  <c:v>2433</c:v>
                </c:pt>
                <c:pt idx="27" formatCode="_-* #,##0_-;\-* #,##0_-;_-* &quot;-&quot;_-;_-@_-">
                  <c:v>2220</c:v>
                </c:pt>
                <c:pt idx="28" formatCode="_-* #,##0_-;\-* #,##0_-;_-* &quot;-&quot;_-;_-@_-">
                  <c:v>2007</c:v>
                </c:pt>
              </c:numCache>
            </c:numRef>
          </c:val>
        </c:ser>
        <c:ser>
          <c:idx val="1"/>
          <c:order val="1"/>
          <c:tx>
            <c:v>최소</c:v>
          </c:tx>
          <c:spPr>
            <a:ln w="3175">
              <a:solidFill>
                <a:srgbClr val="FF00FF"/>
              </a:solidFill>
              <a:prstDash val="solid"/>
            </a:ln>
          </c:spPr>
          <c:marker>
            <c:symbol val="square"/>
            <c:size val="3"/>
            <c:spPr>
              <a:noFill/>
              <a:ln>
                <a:solidFill>
                  <a:srgbClr val="FF00FF"/>
                </a:solidFill>
                <a:prstDash val="solid"/>
              </a:ln>
            </c:spPr>
          </c:marker>
          <c:cat>
            <c:numRef>
              <c:f>발한동10!$L$181:$AO$181</c:f>
              <c:numCache>
                <c:formatCode>General</c:formatCode>
                <c:ptCount val="30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  <c:pt idx="22">
                  <c:v>2019</c:v>
                </c:pt>
                <c:pt idx="23">
                  <c:v>2020</c:v>
                </c:pt>
                <c:pt idx="24">
                  <c:v>2021</c:v>
                </c:pt>
                <c:pt idx="25">
                  <c:v>2022</c:v>
                </c:pt>
                <c:pt idx="26">
                  <c:v>2023</c:v>
                </c:pt>
                <c:pt idx="27">
                  <c:v>2024</c:v>
                </c:pt>
                <c:pt idx="28">
                  <c:v>2025</c:v>
                </c:pt>
                <c:pt idx="29">
                  <c:v>2026</c:v>
                </c:pt>
              </c:numCache>
            </c:numRef>
          </c:cat>
          <c:val>
            <c:numRef>
              <c:f>발한동10!$L$183:$AN$183</c:f>
              <c:numCache>
                <c:formatCode>General</c:formatCode>
                <c:ptCount val="29"/>
                <c:pt idx="10" formatCode="_-* #,##0_-;\-* #,##0_-;_-* &quot;-&quot;_-;_-@_-">
                  <c:v>5846</c:v>
                </c:pt>
                <c:pt idx="11" formatCode="_-* #,##0_-;\-* #,##0_-;_-* &quot;-&quot;_-;_-@_-">
                  <c:v>5676</c:v>
                </c:pt>
                <c:pt idx="12" formatCode="_-* #,##0_-;\-* #,##0_-;_-* &quot;-&quot;_-;_-@_-">
                  <c:v>5470</c:v>
                </c:pt>
                <c:pt idx="13" formatCode="_-* #,##0_-;\-* #,##0_-;_-* &quot;-&quot;_-;_-@_-">
                  <c:v>5263</c:v>
                </c:pt>
                <c:pt idx="14" formatCode="_-* #,##0_-;\-* #,##0_-;_-* &quot;-&quot;_-;_-@_-">
                  <c:v>5057</c:v>
                </c:pt>
                <c:pt idx="15" formatCode="_-* #,##0_-;\-* #,##0_-;_-* &quot;-&quot;_-;_-@_-">
                  <c:v>4851</c:v>
                </c:pt>
                <c:pt idx="16" formatCode="_-* #,##0_-;\-* #,##0_-;_-* &quot;-&quot;_-;_-@_-">
                  <c:v>4645</c:v>
                </c:pt>
                <c:pt idx="17" formatCode="_-* #,##0_-;\-* #,##0_-;_-* &quot;-&quot;_-;_-@_-">
                  <c:v>4438</c:v>
                </c:pt>
                <c:pt idx="18" formatCode="_-* #,##0_-;\-* #,##0_-;_-* &quot;-&quot;_-;_-@_-">
                  <c:v>4232</c:v>
                </c:pt>
                <c:pt idx="19" formatCode="_-* #,##0_-;\-* #,##0_-;_-* &quot;-&quot;_-;_-@_-">
                  <c:v>4026</c:v>
                </c:pt>
                <c:pt idx="20" formatCode="_-* #,##0_-;\-* #,##0_-;_-* &quot;-&quot;_-;_-@_-">
                  <c:v>3820</c:v>
                </c:pt>
                <c:pt idx="21" formatCode="_-* #,##0_-;\-* #,##0_-;_-* &quot;-&quot;_-;_-@_-">
                  <c:v>3613</c:v>
                </c:pt>
                <c:pt idx="22" formatCode="_-* #,##0_-;\-* #,##0_-;_-* &quot;-&quot;_-;_-@_-">
                  <c:v>3407</c:v>
                </c:pt>
                <c:pt idx="23" formatCode="_-* #,##0_-;\-* #,##0_-;_-* &quot;-&quot;_-;_-@_-">
                  <c:v>3201</c:v>
                </c:pt>
                <c:pt idx="24" formatCode="_-* #,##0_-;\-* #,##0_-;_-* &quot;-&quot;_-;_-@_-">
                  <c:v>2995</c:v>
                </c:pt>
                <c:pt idx="25" formatCode="_-* #,##0_-;\-* #,##0_-;_-* &quot;-&quot;_-;_-@_-">
                  <c:v>2789</c:v>
                </c:pt>
                <c:pt idx="26" formatCode="_-* #,##0_-;\-* #,##0_-;_-* &quot;-&quot;_-;_-@_-">
                  <c:v>2582</c:v>
                </c:pt>
                <c:pt idx="27" formatCode="_-* #,##0_-;\-* #,##0_-;_-* &quot;-&quot;_-;_-@_-">
                  <c:v>2376</c:v>
                </c:pt>
                <c:pt idx="28" formatCode="_-* #,##0_-;\-* #,##0_-;_-* &quot;-&quot;_-;_-@_-">
                  <c:v>2170</c:v>
                </c:pt>
              </c:numCache>
            </c:numRef>
          </c:val>
        </c:ser>
        <c:ser>
          <c:idx val="4"/>
          <c:order val="2"/>
          <c:tx>
            <c:v>로지스틱</c:v>
          </c:tx>
          <c:spPr>
            <a:ln w="3175">
              <a:solidFill>
                <a:srgbClr val="800080"/>
              </a:solidFill>
              <a:prstDash val="solid"/>
            </a:ln>
          </c:spPr>
          <c:marker>
            <c:symbol val="circle"/>
            <c:size val="3"/>
            <c:spPr>
              <a:noFill/>
              <a:ln>
                <a:solidFill>
                  <a:srgbClr val="800080"/>
                </a:solidFill>
                <a:prstDash val="solid"/>
              </a:ln>
            </c:spPr>
          </c:marker>
          <c:cat>
            <c:numRef>
              <c:f>발한동10!$L$181:$AO$181</c:f>
              <c:numCache>
                <c:formatCode>General</c:formatCode>
                <c:ptCount val="30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  <c:pt idx="22">
                  <c:v>2019</c:v>
                </c:pt>
                <c:pt idx="23">
                  <c:v>2020</c:v>
                </c:pt>
                <c:pt idx="24">
                  <c:v>2021</c:v>
                </c:pt>
                <c:pt idx="25">
                  <c:v>2022</c:v>
                </c:pt>
                <c:pt idx="26">
                  <c:v>2023</c:v>
                </c:pt>
                <c:pt idx="27">
                  <c:v>2024</c:v>
                </c:pt>
                <c:pt idx="28">
                  <c:v>2025</c:v>
                </c:pt>
                <c:pt idx="29">
                  <c:v>2026</c:v>
                </c:pt>
              </c:numCache>
            </c:numRef>
          </c:cat>
          <c:val>
            <c:numRef>
              <c:f>발한동10!$L$186:$AN$186</c:f>
              <c:numCache>
                <c:formatCode>General</c:formatCode>
                <c:ptCount val="29"/>
                <c:pt idx="10" formatCode="_-* #,##0_-;\-* #,##0_-;_-* &quot;-&quot;_-;_-@_-">
                  <c:v>5846</c:v>
                </c:pt>
                <c:pt idx="11" formatCode="_-* #,##0_-;\-* #,##0_-;_-* &quot;-&quot;_-;_-@_-">
                  <c:v>5698</c:v>
                </c:pt>
                <c:pt idx="12" formatCode="_-* #,##0_-;\-* #,##0_-;_-* &quot;-&quot;_-;_-@_-">
                  <c:v>5506</c:v>
                </c:pt>
                <c:pt idx="13" formatCode="_-* #,##0_-;\-* #,##0_-;_-* &quot;-&quot;_-;_-@_-">
                  <c:v>5317</c:v>
                </c:pt>
                <c:pt idx="14" formatCode="_-* #,##0_-;\-* #,##0_-;_-* &quot;-&quot;_-;_-@_-">
                  <c:v>5131</c:v>
                </c:pt>
                <c:pt idx="15" formatCode="_-* #,##0_-;\-* #,##0_-;_-* &quot;-&quot;_-;_-@_-">
                  <c:v>4948</c:v>
                </c:pt>
                <c:pt idx="16" formatCode="_-* #,##0_-;\-* #,##0_-;_-* &quot;-&quot;_-;_-@_-">
                  <c:v>4769</c:v>
                </c:pt>
                <c:pt idx="17" formatCode="_-* #,##0_-;\-* #,##0_-;_-* &quot;-&quot;_-;_-@_-">
                  <c:v>4594</c:v>
                </c:pt>
                <c:pt idx="18" formatCode="_-* #,##0_-;\-* #,##0_-;_-* &quot;-&quot;_-;_-@_-">
                  <c:v>4423</c:v>
                </c:pt>
                <c:pt idx="19" formatCode="_-* #,##0_-;\-* #,##0_-;_-* &quot;-&quot;_-;_-@_-">
                  <c:v>4256</c:v>
                </c:pt>
                <c:pt idx="20" formatCode="_-* #,##0_-;\-* #,##0_-;_-* &quot;-&quot;_-;_-@_-">
                  <c:v>4093</c:v>
                </c:pt>
                <c:pt idx="21" formatCode="_-* #,##0_-;\-* #,##0_-;_-* &quot;-&quot;_-;_-@_-">
                  <c:v>3934</c:v>
                </c:pt>
                <c:pt idx="22" formatCode="_-* #,##0_-;\-* #,##0_-;_-* &quot;-&quot;_-;_-@_-">
                  <c:v>3779</c:v>
                </c:pt>
                <c:pt idx="23" formatCode="_-* #,##0_-;\-* #,##0_-;_-* &quot;-&quot;_-;_-@_-">
                  <c:v>3629</c:v>
                </c:pt>
                <c:pt idx="24" formatCode="_-* #,##0_-;\-* #,##0_-;_-* &quot;-&quot;_-;_-@_-">
                  <c:v>3483</c:v>
                </c:pt>
                <c:pt idx="25" formatCode="_-* #,##0_-;\-* #,##0_-;_-* &quot;-&quot;_-;_-@_-">
                  <c:v>3341</c:v>
                </c:pt>
                <c:pt idx="26" formatCode="_-* #,##0_-;\-* #,##0_-;_-* &quot;-&quot;_-;_-@_-">
                  <c:v>3203</c:v>
                </c:pt>
                <c:pt idx="27" formatCode="_-* #,##0_-;\-* #,##0_-;_-* &quot;-&quot;_-;_-@_-">
                  <c:v>3070</c:v>
                </c:pt>
                <c:pt idx="28" formatCode="_-* #,##0_-;\-* #,##0_-;_-* &quot;-&quot;_-;_-@_-">
                  <c:v>2941</c:v>
                </c:pt>
              </c:numCache>
            </c:numRef>
          </c:val>
        </c:ser>
        <c:ser>
          <c:idx val="5"/>
          <c:order val="3"/>
          <c:tx>
            <c:v>평균(최대최소제외)</c:v>
          </c:tx>
          <c:spPr>
            <a:ln w="3175">
              <a:solidFill>
                <a:srgbClr val="800000"/>
              </a:solidFill>
              <a:prstDash val="sysDash"/>
            </a:ln>
          </c:spPr>
          <c:marker>
            <c:symbol val="circle"/>
            <c:size val="3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발한동10!$L$181:$AO$181</c:f>
              <c:numCache>
                <c:formatCode>General</c:formatCode>
                <c:ptCount val="30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  <c:pt idx="22">
                  <c:v>2019</c:v>
                </c:pt>
                <c:pt idx="23">
                  <c:v>2020</c:v>
                </c:pt>
                <c:pt idx="24">
                  <c:v>2021</c:v>
                </c:pt>
                <c:pt idx="25">
                  <c:v>2022</c:v>
                </c:pt>
                <c:pt idx="26">
                  <c:v>2023</c:v>
                </c:pt>
                <c:pt idx="27">
                  <c:v>2024</c:v>
                </c:pt>
                <c:pt idx="28">
                  <c:v>2025</c:v>
                </c:pt>
                <c:pt idx="29">
                  <c:v>2026</c:v>
                </c:pt>
              </c:numCache>
            </c:numRef>
          </c:cat>
          <c:val>
            <c:numRef>
              <c:f>발한동10!$L$187:$AN$187</c:f>
              <c:numCache>
                <c:formatCode>General</c:formatCode>
                <c:ptCount val="29"/>
                <c:pt idx="10" formatCode="_-* #,##0_-;\-* #,##0_-;_-* &quot;-&quot;_-;_-@_-">
                  <c:v>5846</c:v>
                </c:pt>
                <c:pt idx="11" formatCode="_-* #,##0_-;\-* #,##0_-;_-* &quot;-&quot;_-;_-@_-">
                  <c:v>5668.5</c:v>
                </c:pt>
                <c:pt idx="12" formatCode="#,##0_ ">
                  <c:v>5472</c:v>
                </c:pt>
                <c:pt idx="13" formatCode="#,##0_ ">
                  <c:v>5277.8</c:v>
                </c:pt>
                <c:pt idx="14" formatCode="#,##0_ ">
                  <c:v>5131</c:v>
                </c:pt>
                <c:pt idx="15" formatCode="#,##0_ ">
                  <c:v>4948</c:v>
                </c:pt>
                <c:pt idx="16" formatCode="#,##0_ ">
                  <c:v>4769</c:v>
                </c:pt>
                <c:pt idx="17" formatCode="#,##0_ ">
                  <c:v>4594</c:v>
                </c:pt>
                <c:pt idx="18" formatCode="#,##0_ ">
                  <c:v>4423</c:v>
                </c:pt>
                <c:pt idx="19" formatCode="#,##0_ ">
                  <c:v>4256</c:v>
                </c:pt>
                <c:pt idx="20" formatCode="#,##0_ ">
                  <c:v>4093</c:v>
                </c:pt>
                <c:pt idx="21" formatCode="#,##0_ ">
                  <c:v>3934</c:v>
                </c:pt>
                <c:pt idx="22" formatCode="#,##0_ ">
                  <c:v>3779</c:v>
                </c:pt>
                <c:pt idx="23" formatCode="#,##0_ ">
                  <c:v>3629</c:v>
                </c:pt>
                <c:pt idx="24" formatCode="#,##0_ ">
                  <c:v>3483</c:v>
                </c:pt>
                <c:pt idx="25" formatCode="#,##0_ ">
                  <c:v>3341</c:v>
                </c:pt>
                <c:pt idx="26" formatCode="#,##0_ ">
                  <c:v>3203</c:v>
                </c:pt>
                <c:pt idx="27" formatCode="#,##0_ ">
                  <c:v>3070</c:v>
                </c:pt>
                <c:pt idx="28" formatCode="#,##0_ ">
                  <c:v>2941</c:v>
                </c:pt>
              </c:numCache>
            </c:numRef>
          </c:val>
        </c:ser>
        <c:ser>
          <c:idx val="6"/>
          <c:order val="4"/>
          <c:tx>
            <c:v>과거</c:v>
          </c:tx>
          <c:spPr>
            <a:ln w="12700">
              <a:solidFill>
                <a:srgbClr val="008080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008080"/>
                </a:solidFill>
                <a:prstDash val="solid"/>
              </a:ln>
            </c:spPr>
          </c:marker>
          <c:cat>
            <c:numRef>
              <c:f>발한동10!$L$181:$AO$181</c:f>
              <c:numCache>
                <c:formatCode>General</c:formatCode>
                <c:ptCount val="30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  <c:pt idx="22">
                  <c:v>2019</c:v>
                </c:pt>
                <c:pt idx="23">
                  <c:v>2020</c:v>
                </c:pt>
                <c:pt idx="24">
                  <c:v>2021</c:v>
                </c:pt>
                <c:pt idx="25">
                  <c:v>2022</c:v>
                </c:pt>
                <c:pt idx="26">
                  <c:v>2023</c:v>
                </c:pt>
                <c:pt idx="27">
                  <c:v>2024</c:v>
                </c:pt>
                <c:pt idx="28">
                  <c:v>2025</c:v>
                </c:pt>
                <c:pt idx="29">
                  <c:v>2026</c:v>
                </c:pt>
              </c:numCache>
            </c:numRef>
          </c:cat>
          <c:val>
            <c:numRef>
              <c:f>발한동10!$L$179:$X$179</c:f>
              <c:numCache>
                <c:formatCode>_-* #,##0_-;\-* #,##0_-;_-* "-"_-;_-@_-</c:formatCode>
                <c:ptCount val="13"/>
                <c:pt idx="0">
                  <c:v>7979</c:v>
                </c:pt>
                <c:pt idx="1">
                  <c:v>7754</c:v>
                </c:pt>
                <c:pt idx="2">
                  <c:v>7491</c:v>
                </c:pt>
                <c:pt idx="3" formatCode="General">
                  <c:v>7200</c:v>
                </c:pt>
                <c:pt idx="4">
                  <c:v>7096</c:v>
                </c:pt>
                <c:pt idx="5" formatCode="General">
                  <c:v>6966</c:v>
                </c:pt>
                <c:pt idx="6">
                  <c:v>6795</c:v>
                </c:pt>
                <c:pt idx="7">
                  <c:v>6582</c:v>
                </c:pt>
                <c:pt idx="8">
                  <c:v>6343</c:v>
                </c:pt>
                <c:pt idx="9">
                  <c:v>5994</c:v>
                </c:pt>
                <c:pt idx="10">
                  <c:v>5846</c:v>
                </c:pt>
                <c:pt idx="11">
                  <c:v>5633</c:v>
                </c:pt>
              </c:numCache>
            </c:numRef>
          </c:val>
        </c:ser>
        <c:ser>
          <c:idx val="2"/>
          <c:order val="5"/>
          <c:tx>
            <c:v>등비</c:v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FF0000"/>
                </a:solidFill>
                <a:prstDash val="solid"/>
              </a:ln>
            </c:spPr>
          </c:marker>
          <c:val>
            <c:numRef>
              <c:f>발한동10!$L$184:$AN$184</c:f>
              <c:numCache>
                <c:formatCode>General</c:formatCode>
                <c:ptCount val="29"/>
                <c:pt idx="10" formatCode="_-* #,##0_-;\-* #,##0_-;_-* &quot;-&quot;_-;_-@_-">
                  <c:v>5846</c:v>
                </c:pt>
                <c:pt idx="11" formatCode="_-* #,##0_-;\-* #,##0_-;_-* &quot;-&quot;_-;_-@_-">
                  <c:v>5667</c:v>
                </c:pt>
                <c:pt idx="12" formatCode="_-* #,##0_-;\-* #,##0_-;_-* &quot;-&quot;_-;_-@_-">
                  <c:v>5493</c:v>
                </c:pt>
                <c:pt idx="13" formatCode="_-* #,##0_-;\-* #,##0_-;_-* &quot;-&quot;_-;_-@_-">
                  <c:v>5325</c:v>
                </c:pt>
                <c:pt idx="14" formatCode="_-* #,##0_-;\-* #,##0_-;_-* &quot;-&quot;_-;_-@_-">
                  <c:v>5162</c:v>
                </c:pt>
                <c:pt idx="15" formatCode="_-* #,##0_-;\-* #,##0_-;_-* &quot;-&quot;_-;_-@_-">
                  <c:v>5004</c:v>
                </c:pt>
                <c:pt idx="16" formatCode="_-* #,##0_-;\-* #,##0_-;_-* &quot;-&quot;_-;_-@_-">
                  <c:v>4850</c:v>
                </c:pt>
                <c:pt idx="17" formatCode="_-* #,##0_-;\-* #,##0_-;_-* &quot;-&quot;_-;_-@_-">
                  <c:v>4702</c:v>
                </c:pt>
                <c:pt idx="18" formatCode="_-* #,##0_-;\-* #,##0_-;_-* &quot;-&quot;_-;_-@_-">
                  <c:v>4558</c:v>
                </c:pt>
                <c:pt idx="19" formatCode="_-* #,##0_-;\-* #,##0_-;_-* &quot;-&quot;_-;_-@_-">
                  <c:v>4418</c:v>
                </c:pt>
                <c:pt idx="20" formatCode="_-* #,##0_-;\-* #,##0_-;_-* &quot;-&quot;_-;_-@_-">
                  <c:v>4283</c:v>
                </c:pt>
                <c:pt idx="21" formatCode="_-* #,##0_-;\-* #,##0_-;_-* &quot;-&quot;_-;_-@_-">
                  <c:v>4152</c:v>
                </c:pt>
                <c:pt idx="22" formatCode="_-* #,##0_-;\-* #,##0_-;_-* &quot;-&quot;_-;_-@_-">
                  <c:v>4025</c:v>
                </c:pt>
                <c:pt idx="23" formatCode="_-* #,##0_-;\-* #,##0_-;_-* &quot;-&quot;_-;_-@_-">
                  <c:v>3901</c:v>
                </c:pt>
                <c:pt idx="24" formatCode="_-* #,##0_-;\-* #,##0_-;_-* &quot;-&quot;_-;_-@_-">
                  <c:v>3782</c:v>
                </c:pt>
                <c:pt idx="25" formatCode="_-* #,##0_-;\-* #,##0_-;_-* &quot;-&quot;_-;_-@_-">
                  <c:v>3666</c:v>
                </c:pt>
                <c:pt idx="26" formatCode="_-* #,##0_-;\-* #,##0_-;_-* &quot;-&quot;_-;_-@_-">
                  <c:v>3554</c:v>
                </c:pt>
                <c:pt idx="27" formatCode="_-* #,##0_-;\-* #,##0_-;_-* &quot;-&quot;_-;_-@_-">
                  <c:v>3445</c:v>
                </c:pt>
                <c:pt idx="28" formatCode="_-* #,##0_-;\-* #,##0_-;_-* &quot;-&quot;_-;_-@_-">
                  <c:v>3339</c:v>
                </c:pt>
              </c:numCache>
            </c:numRef>
          </c:val>
        </c:ser>
        <c:marker val="1"/>
        <c:axId val="130642304"/>
        <c:axId val="130644608"/>
      </c:lineChart>
      <c:catAx>
        <c:axId val="130642304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875" b="0" i="0" u="none" strike="noStrike" baseline="0">
                    <a:solidFill>
                      <a:srgbClr val="000000"/>
                    </a:solidFill>
                    <a:latin typeface="돋움"/>
                    <a:ea typeface="돋움"/>
                    <a:cs typeface="돋움"/>
                  </a:defRPr>
                </a:pPr>
                <a:r>
                  <a:rPr altLang="en-US"/>
                  <a:t>연도</a:t>
                </a:r>
              </a:p>
            </c:rich>
          </c:tx>
          <c:layout>
            <c:manualLayout>
              <c:xMode val="edge"/>
              <c:yMode val="edge"/>
              <c:x val="0.50000023539658589"/>
              <c:y val="0.82129357404468961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maj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돋움"/>
                <a:ea typeface="돋움"/>
                <a:cs typeface="돋움"/>
              </a:defRPr>
            </a:pPr>
            <a:endParaRPr lang="ko-KR"/>
          </a:p>
        </c:txPr>
        <c:crossAx val="130644608"/>
        <c:crosses val="autoZero"/>
        <c:auto val="1"/>
        <c:lblAlgn val="ctr"/>
        <c:lblOffset val="100"/>
        <c:tickLblSkip val="2"/>
        <c:tickMarkSkip val="1"/>
      </c:catAx>
      <c:valAx>
        <c:axId val="130644608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맑은 고딕"/>
                    <a:ea typeface="맑은 고딕"/>
                    <a:cs typeface="맑은 고딕"/>
                  </a:defRPr>
                </a:pPr>
                <a:r>
                  <a:rPr lang="ko-KR" altLang="en-US" sz="875" b="0" i="0" strike="noStrike">
                    <a:solidFill>
                      <a:srgbClr val="000000"/>
                    </a:solidFill>
                    <a:latin typeface="돋움"/>
                    <a:ea typeface="돋움"/>
                  </a:rPr>
                  <a:t>인구</a:t>
                </a:r>
                <a:r>
                  <a:rPr lang="en-US" altLang="ko-KR" sz="875" b="0" i="0" strike="noStrike">
                    <a:solidFill>
                      <a:srgbClr val="000000"/>
                    </a:solidFill>
                    <a:latin typeface="돋움"/>
                    <a:ea typeface="돋움"/>
                  </a:rPr>
                  <a:t>(</a:t>
                </a:r>
                <a:r>
                  <a:rPr lang="ko-KR" altLang="en-US" sz="875" b="0" i="0" strike="noStrike">
                    <a:solidFill>
                      <a:srgbClr val="000000"/>
                    </a:solidFill>
                    <a:latin typeface="돋움"/>
                    <a:ea typeface="돋움"/>
                  </a:rPr>
                  <a:t>명</a:t>
                </a:r>
                <a:r>
                  <a:rPr lang="en-US" altLang="ko-KR" sz="875" b="0" i="0" strike="noStrike">
                    <a:solidFill>
                      <a:srgbClr val="000000"/>
                    </a:solidFill>
                    <a:latin typeface="돋움"/>
                    <a:ea typeface="돋움"/>
                  </a:rPr>
                  <a:t>)</a:t>
                </a:r>
              </a:p>
            </c:rich>
          </c:tx>
          <c:layout>
            <c:manualLayout>
              <c:xMode val="edge"/>
              <c:yMode val="edge"/>
              <c:x val="2.6905829596412592E-2"/>
              <c:y val="0.38403081744059558"/>
            </c:manualLayout>
          </c:layout>
          <c:spPr>
            <a:noFill/>
            <a:ln w="25400">
              <a:noFill/>
            </a:ln>
          </c:spPr>
        </c:title>
        <c:numFmt formatCode="#,##0_ " sourceLinked="0"/>
        <c:maj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돋움"/>
                <a:ea typeface="돋움"/>
                <a:cs typeface="돋움"/>
              </a:defRPr>
            </a:pPr>
            <a:endParaRPr lang="ko-KR"/>
          </a:p>
        </c:txPr>
        <c:crossAx val="130642304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wMode val="edge"/>
          <c:hMode val="edge"/>
          <c:x val="0.12892388451443612"/>
          <c:y val="0.90114148278993644"/>
          <c:w val="0.91704094723585561"/>
          <c:h val="0.96197798469107765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돋움"/>
              <a:ea typeface="돋움"/>
              <a:cs typeface="돋움"/>
            </a:defRPr>
          </a:pPr>
          <a:endParaRPr lang="ko-KR"/>
        </a:p>
      </c:txPr>
    </c:legend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75" b="0" i="0" u="none" strike="noStrike" baseline="0">
          <a:solidFill>
            <a:srgbClr val="000000"/>
          </a:solidFill>
          <a:latin typeface="돋움"/>
          <a:ea typeface="돋움"/>
          <a:cs typeface="돋움"/>
        </a:defRPr>
      </a:pPr>
      <a:endParaRPr lang="ko-KR"/>
    </a:p>
  </c:txPr>
  <c:printSettings>
    <c:headerFooter alignWithMargins="0"/>
    <c:pageMargins b="1" l="0.75000000000000144" r="0.75000000000000144" t="1" header="0.5" footer="0.5"/>
    <c:pageSetup paperSize="9" orientation="landscape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ko-KR"/>
  <c:chart>
    <c:title>
      <c:tx>
        <c:rich>
          <a:bodyPr/>
          <a:lstStyle/>
          <a:p>
            <a:pPr>
              <a:defRPr sz="1175" b="1" i="0" u="none" strike="noStrike" baseline="0">
                <a:solidFill>
                  <a:srgbClr val="000000"/>
                </a:solidFill>
                <a:latin typeface="돋움"/>
                <a:ea typeface="돋움"/>
                <a:cs typeface="돋움"/>
              </a:defRPr>
            </a:pPr>
            <a:r>
              <a:rPr altLang="en-US"/>
              <a:t>발한동</a:t>
            </a:r>
          </a:p>
        </c:rich>
      </c:tx>
      <c:layout>
        <c:manualLayout>
          <c:xMode val="edge"/>
          <c:yMode val="edge"/>
          <c:x val="0.46861010086743682"/>
          <c:y val="2.8517110266159756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9.7533685676984214E-2"/>
          <c:y val="9.1254837562787627E-2"/>
          <c:w val="0.83744440460583214"/>
          <c:h val="0.67680671192400665"/>
        </c:manualLayout>
      </c:layout>
      <c:lineChart>
        <c:grouping val="standard"/>
        <c:ser>
          <c:idx val="0"/>
          <c:order val="0"/>
          <c:tx>
            <c:v>등차</c:v>
          </c:tx>
          <c:spPr>
            <a:ln w="3175">
              <a:solidFill>
                <a:srgbClr val="000080"/>
              </a:solidFill>
              <a:prstDash val="solid"/>
            </a:ln>
          </c:spPr>
          <c:marker>
            <c:symbol val="diamond"/>
            <c:size val="3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발한동5!$L$156:$AI$156</c:f>
              <c:numCache>
                <c:formatCode>General</c:formatCode>
                <c:ptCount val="24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  <c:pt idx="14">
                  <c:v>2016</c:v>
                </c:pt>
                <c:pt idx="15">
                  <c:v>2017</c:v>
                </c:pt>
                <c:pt idx="16">
                  <c:v>2018</c:v>
                </c:pt>
                <c:pt idx="17">
                  <c:v>2019</c:v>
                </c:pt>
                <c:pt idx="18">
                  <c:v>2020</c:v>
                </c:pt>
                <c:pt idx="19">
                  <c:v>2021</c:v>
                </c:pt>
                <c:pt idx="20">
                  <c:v>2022</c:v>
                </c:pt>
                <c:pt idx="21">
                  <c:v>2023</c:v>
                </c:pt>
                <c:pt idx="22">
                  <c:v>2024</c:v>
                </c:pt>
                <c:pt idx="23">
                  <c:v>2025</c:v>
                </c:pt>
              </c:numCache>
            </c:numRef>
          </c:cat>
          <c:val>
            <c:numRef>
              <c:f>발한동5!$L$157:$AN$157</c:f>
              <c:numCache>
                <c:formatCode>General</c:formatCode>
                <c:ptCount val="29"/>
                <c:pt idx="5">
                  <c:v>5846</c:v>
                </c:pt>
                <c:pt idx="6" formatCode="_-* #,##0_-;\-* #,##0_-;_-* &quot;-&quot;_-;_-@_-">
                  <c:v>5622</c:v>
                </c:pt>
                <c:pt idx="7" formatCode="_-* #,##0_-;\-* #,##0_-;_-* &quot;-&quot;_-;_-@_-">
                  <c:v>5398</c:v>
                </c:pt>
                <c:pt idx="8" formatCode="_-* #,##0_-;\-* #,##0_-;_-* &quot;-&quot;_-;_-@_-">
                  <c:v>5174</c:v>
                </c:pt>
                <c:pt idx="9" formatCode="_-* #,##0_-;\-* #,##0_-;_-* &quot;-&quot;_-;_-@_-">
                  <c:v>4950</c:v>
                </c:pt>
                <c:pt idx="10" formatCode="_-* #,##0_-;\-* #,##0_-;_-* &quot;-&quot;_-;_-@_-">
                  <c:v>4726</c:v>
                </c:pt>
                <c:pt idx="11" formatCode="_-* #,##0_-;\-* #,##0_-;_-* &quot;-&quot;_-;_-@_-">
                  <c:v>4502</c:v>
                </c:pt>
                <c:pt idx="12" formatCode="_-* #,##0_-;\-* #,##0_-;_-* &quot;-&quot;_-;_-@_-">
                  <c:v>4278</c:v>
                </c:pt>
                <c:pt idx="13" formatCode="_-* #,##0_-;\-* #,##0_-;_-* &quot;-&quot;_-;_-@_-">
                  <c:v>4054</c:v>
                </c:pt>
                <c:pt idx="14" formatCode="_-* #,##0_-;\-* #,##0_-;_-* &quot;-&quot;_-;_-@_-">
                  <c:v>3830</c:v>
                </c:pt>
                <c:pt idx="15" formatCode="_-* #,##0_-;\-* #,##0_-;_-* &quot;-&quot;_-;_-@_-">
                  <c:v>3606</c:v>
                </c:pt>
                <c:pt idx="16" formatCode="_-* #,##0_-;\-* #,##0_-;_-* &quot;-&quot;_-;_-@_-">
                  <c:v>3382</c:v>
                </c:pt>
                <c:pt idx="17" formatCode="_-* #,##0_-;\-* #,##0_-;_-* &quot;-&quot;_-;_-@_-">
                  <c:v>3158</c:v>
                </c:pt>
                <c:pt idx="18" formatCode="_-* #,##0_-;\-* #,##0_-;_-* &quot;-&quot;_-;_-@_-">
                  <c:v>2934</c:v>
                </c:pt>
                <c:pt idx="19" formatCode="_-* #,##0_-;\-* #,##0_-;_-* &quot;-&quot;_-;_-@_-">
                  <c:v>2710</c:v>
                </c:pt>
                <c:pt idx="20" formatCode="_-* #,##0_-;\-* #,##0_-;_-* &quot;-&quot;_-;_-@_-">
                  <c:v>2486</c:v>
                </c:pt>
                <c:pt idx="21" formatCode="_-* #,##0_-;\-* #,##0_-;_-* &quot;-&quot;_-;_-@_-">
                  <c:v>2262</c:v>
                </c:pt>
                <c:pt idx="22" formatCode="_-* #,##0_-;\-* #,##0_-;_-* &quot;-&quot;_-;_-@_-">
                  <c:v>2038</c:v>
                </c:pt>
                <c:pt idx="23" formatCode="_-* #,##0_-;\-* #,##0_-;_-* &quot;-&quot;_-;_-@_-">
                  <c:v>1814</c:v>
                </c:pt>
              </c:numCache>
            </c:numRef>
          </c:val>
        </c:ser>
        <c:ser>
          <c:idx val="1"/>
          <c:order val="1"/>
          <c:tx>
            <c:v>최소</c:v>
          </c:tx>
          <c:spPr>
            <a:ln w="3175">
              <a:solidFill>
                <a:srgbClr val="FF00FF"/>
              </a:solidFill>
              <a:prstDash val="solid"/>
            </a:ln>
          </c:spPr>
          <c:marker>
            <c:symbol val="square"/>
            <c:size val="3"/>
            <c:spPr>
              <a:noFill/>
              <a:ln>
                <a:solidFill>
                  <a:srgbClr val="FF00FF"/>
                </a:solidFill>
                <a:prstDash val="solid"/>
              </a:ln>
            </c:spPr>
          </c:marker>
          <c:cat>
            <c:numRef>
              <c:f>발한동5!$L$156:$AI$156</c:f>
              <c:numCache>
                <c:formatCode>General</c:formatCode>
                <c:ptCount val="24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  <c:pt idx="14">
                  <c:v>2016</c:v>
                </c:pt>
                <c:pt idx="15">
                  <c:v>2017</c:v>
                </c:pt>
                <c:pt idx="16">
                  <c:v>2018</c:v>
                </c:pt>
                <c:pt idx="17">
                  <c:v>2019</c:v>
                </c:pt>
                <c:pt idx="18">
                  <c:v>2020</c:v>
                </c:pt>
                <c:pt idx="19">
                  <c:v>2021</c:v>
                </c:pt>
                <c:pt idx="20">
                  <c:v>2022</c:v>
                </c:pt>
                <c:pt idx="21">
                  <c:v>2023</c:v>
                </c:pt>
                <c:pt idx="22">
                  <c:v>2024</c:v>
                </c:pt>
                <c:pt idx="23">
                  <c:v>2025</c:v>
                </c:pt>
              </c:numCache>
            </c:numRef>
          </c:cat>
          <c:val>
            <c:numRef>
              <c:f>발한동5!$L$158:$AN$158</c:f>
              <c:numCache>
                <c:formatCode>General</c:formatCode>
                <c:ptCount val="29"/>
                <c:pt idx="5">
                  <c:v>5846</c:v>
                </c:pt>
                <c:pt idx="6" formatCode="_-* #,##0_-;\-* #,##0_-;_-* &quot;-&quot;_-;_-@_-">
                  <c:v>5597</c:v>
                </c:pt>
                <c:pt idx="7" formatCode="_-* #,##0_-;\-* #,##0_-;_-* &quot;-&quot;_-;_-@_-">
                  <c:v>5361</c:v>
                </c:pt>
                <c:pt idx="8" formatCode="_-* #,##0_-;\-* #,##0_-;_-* &quot;-&quot;_-;_-@_-">
                  <c:v>5126</c:v>
                </c:pt>
                <c:pt idx="9" formatCode="_-* #,##0_-;\-* #,##0_-;_-* &quot;-&quot;_-;_-@_-">
                  <c:v>4890</c:v>
                </c:pt>
                <c:pt idx="10" formatCode="_-* #,##0_-;\-* #,##0_-;_-* &quot;-&quot;_-;_-@_-">
                  <c:v>4655</c:v>
                </c:pt>
                <c:pt idx="11" formatCode="_-* #,##0_-;\-* #,##0_-;_-* &quot;-&quot;_-;_-@_-">
                  <c:v>4419</c:v>
                </c:pt>
                <c:pt idx="12" formatCode="_-* #,##0_-;\-* #,##0_-;_-* &quot;-&quot;_-;_-@_-">
                  <c:v>4184</c:v>
                </c:pt>
                <c:pt idx="13" formatCode="_-* #,##0_-;\-* #,##0_-;_-* &quot;-&quot;_-;_-@_-">
                  <c:v>3948</c:v>
                </c:pt>
                <c:pt idx="14" formatCode="_-* #,##0_-;\-* #,##0_-;_-* &quot;-&quot;_-;_-@_-">
                  <c:v>3713</c:v>
                </c:pt>
                <c:pt idx="15" formatCode="_-* #,##0_-;\-* #,##0_-;_-* &quot;-&quot;_-;_-@_-">
                  <c:v>3477</c:v>
                </c:pt>
                <c:pt idx="16" formatCode="_-* #,##0_-;\-* #,##0_-;_-* &quot;-&quot;_-;_-@_-">
                  <c:v>3242</c:v>
                </c:pt>
                <c:pt idx="17" formatCode="_-* #,##0_-;\-* #,##0_-;_-* &quot;-&quot;_-;_-@_-">
                  <c:v>3006</c:v>
                </c:pt>
                <c:pt idx="18" formatCode="_-* #,##0_-;\-* #,##0_-;_-* &quot;-&quot;_-;_-@_-">
                  <c:v>2771</c:v>
                </c:pt>
                <c:pt idx="19" formatCode="_-* #,##0_-;\-* #,##0_-;_-* &quot;-&quot;_-;_-@_-">
                  <c:v>2535</c:v>
                </c:pt>
                <c:pt idx="20" formatCode="_-* #,##0_-;\-* #,##0_-;_-* &quot;-&quot;_-;_-@_-">
                  <c:v>2300</c:v>
                </c:pt>
                <c:pt idx="21" formatCode="_-* #,##0_-;\-* #,##0_-;_-* &quot;-&quot;_-;_-@_-">
                  <c:v>2065</c:v>
                </c:pt>
                <c:pt idx="22" formatCode="_-* #,##0_-;\-* #,##0_-;_-* &quot;-&quot;_-;_-@_-">
                  <c:v>1829</c:v>
                </c:pt>
                <c:pt idx="23" formatCode="_-* #,##0_-;\-* #,##0_-;_-* &quot;-&quot;_-;_-@_-">
                  <c:v>1594</c:v>
                </c:pt>
              </c:numCache>
            </c:numRef>
          </c:val>
        </c:ser>
        <c:ser>
          <c:idx val="4"/>
          <c:order val="2"/>
          <c:tx>
            <c:v>로지스틱</c:v>
          </c:tx>
          <c:spPr>
            <a:ln w="3175">
              <a:solidFill>
                <a:srgbClr val="800080"/>
              </a:solidFill>
              <a:prstDash val="solid"/>
            </a:ln>
          </c:spPr>
          <c:marker>
            <c:symbol val="circle"/>
            <c:size val="3"/>
            <c:spPr>
              <a:noFill/>
              <a:ln>
                <a:solidFill>
                  <a:srgbClr val="800080"/>
                </a:solidFill>
                <a:prstDash val="solid"/>
              </a:ln>
            </c:spPr>
          </c:marker>
          <c:cat>
            <c:numRef>
              <c:f>발한동5!$L$156:$AI$156</c:f>
              <c:numCache>
                <c:formatCode>General</c:formatCode>
                <c:ptCount val="24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  <c:pt idx="14">
                  <c:v>2016</c:v>
                </c:pt>
                <c:pt idx="15">
                  <c:v>2017</c:v>
                </c:pt>
                <c:pt idx="16">
                  <c:v>2018</c:v>
                </c:pt>
                <c:pt idx="17">
                  <c:v>2019</c:v>
                </c:pt>
                <c:pt idx="18">
                  <c:v>2020</c:v>
                </c:pt>
                <c:pt idx="19">
                  <c:v>2021</c:v>
                </c:pt>
                <c:pt idx="20">
                  <c:v>2022</c:v>
                </c:pt>
                <c:pt idx="21">
                  <c:v>2023</c:v>
                </c:pt>
                <c:pt idx="22">
                  <c:v>2024</c:v>
                </c:pt>
                <c:pt idx="23">
                  <c:v>2025</c:v>
                </c:pt>
              </c:numCache>
            </c:numRef>
          </c:cat>
          <c:val>
            <c:numRef>
              <c:f>발한동5!$L$161:$AN$161</c:f>
              <c:numCache>
                <c:formatCode>General</c:formatCode>
                <c:ptCount val="29"/>
                <c:pt idx="5">
                  <c:v>5846</c:v>
                </c:pt>
                <c:pt idx="6" formatCode="_-* #,##0_-;\-* #,##0_-;_-* &quot;-&quot;_-;_-@_-">
                  <c:v>5605</c:v>
                </c:pt>
                <c:pt idx="7" formatCode="_-* #,##0_-;\-* #,##0_-;_-* &quot;-&quot;_-;_-@_-">
                  <c:v>5378</c:v>
                </c:pt>
                <c:pt idx="8" formatCode="_-* #,##0_-;\-* #,##0_-;_-* &quot;-&quot;_-;_-@_-">
                  <c:v>5154</c:v>
                </c:pt>
                <c:pt idx="9" formatCode="_-* #,##0_-;\-* #,##0_-;_-* &quot;-&quot;_-;_-@_-">
                  <c:v>4935</c:v>
                </c:pt>
                <c:pt idx="10" formatCode="_-* #,##0_-;\-* #,##0_-;_-* &quot;-&quot;_-;_-@_-">
                  <c:v>4720</c:v>
                </c:pt>
                <c:pt idx="11" formatCode="_-* #,##0_-;\-* #,##0_-;_-* &quot;-&quot;_-;_-@_-">
                  <c:v>4510</c:v>
                </c:pt>
                <c:pt idx="12" formatCode="_-* #,##0_-;\-* #,##0_-;_-* &quot;-&quot;_-;_-@_-">
                  <c:v>4304</c:v>
                </c:pt>
                <c:pt idx="13" formatCode="_-* #,##0_-;\-* #,##0_-;_-* &quot;-&quot;_-;_-@_-">
                  <c:v>4104</c:v>
                </c:pt>
                <c:pt idx="14" formatCode="_-* #,##0_-;\-* #,##0_-;_-* &quot;-&quot;_-;_-@_-">
                  <c:v>3910</c:v>
                </c:pt>
                <c:pt idx="15" formatCode="_-* #,##0_-;\-* #,##0_-;_-* &quot;-&quot;_-;_-@_-">
                  <c:v>3721</c:v>
                </c:pt>
                <c:pt idx="16" formatCode="_-* #,##0_-;\-* #,##0_-;_-* &quot;-&quot;_-;_-@_-">
                  <c:v>3538</c:v>
                </c:pt>
                <c:pt idx="17" formatCode="_-* #,##0_-;\-* #,##0_-;_-* &quot;-&quot;_-;_-@_-">
                  <c:v>3361</c:v>
                </c:pt>
                <c:pt idx="18" formatCode="_-* #,##0_-;\-* #,##0_-;_-* &quot;-&quot;_-;_-@_-">
                  <c:v>3190</c:v>
                </c:pt>
                <c:pt idx="19" formatCode="_-* #,##0_-;\-* #,##0_-;_-* &quot;-&quot;_-;_-@_-">
                  <c:v>3025</c:v>
                </c:pt>
                <c:pt idx="20" formatCode="_-* #,##0_-;\-* #,##0_-;_-* &quot;-&quot;_-;_-@_-">
                  <c:v>2867</c:v>
                </c:pt>
                <c:pt idx="21" formatCode="_-* #,##0_-;\-* #,##0_-;_-* &quot;-&quot;_-;_-@_-">
                  <c:v>2715</c:v>
                </c:pt>
                <c:pt idx="22" formatCode="_-* #,##0_-;\-* #,##0_-;_-* &quot;-&quot;_-;_-@_-">
                  <c:v>2569</c:v>
                </c:pt>
                <c:pt idx="23" formatCode="_-* #,##0_-;\-* #,##0_-;_-* &quot;-&quot;_-;_-@_-">
                  <c:v>2429</c:v>
                </c:pt>
              </c:numCache>
            </c:numRef>
          </c:val>
        </c:ser>
        <c:ser>
          <c:idx val="5"/>
          <c:order val="3"/>
          <c:tx>
            <c:v>평균(최대최소제외)</c:v>
          </c:tx>
          <c:spPr>
            <a:ln w="3175">
              <a:solidFill>
                <a:srgbClr val="800000"/>
              </a:solidFill>
              <a:prstDash val="sysDash"/>
            </a:ln>
          </c:spPr>
          <c:marker>
            <c:symbol val="circle"/>
            <c:size val="3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발한동5!$L$156:$AI$156</c:f>
              <c:numCache>
                <c:formatCode>General</c:formatCode>
                <c:ptCount val="24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  <c:pt idx="14">
                  <c:v>2016</c:v>
                </c:pt>
                <c:pt idx="15">
                  <c:v>2017</c:v>
                </c:pt>
                <c:pt idx="16">
                  <c:v>2018</c:v>
                </c:pt>
                <c:pt idx="17">
                  <c:v>2019</c:v>
                </c:pt>
                <c:pt idx="18">
                  <c:v>2020</c:v>
                </c:pt>
                <c:pt idx="19">
                  <c:v>2021</c:v>
                </c:pt>
                <c:pt idx="20">
                  <c:v>2022</c:v>
                </c:pt>
                <c:pt idx="21">
                  <c:v>2023</c:v>
                </c:pt>
                <c:pt idx="22">
                  <c:v>2024</c:v>
                </c:pt>
                <c:pt idx="23">
                  <c:v>2025</c:v>
                </c:pt>
              </c:numCache>
            </c:numRef>
          </c:cat>
          <c:val>
            <c:numRef>
              <c:f>발한동5!$L$162:$AI$162</c:f>
              <c:numCache>
                <c:formatCode>General</c:formatCode>
                <c:ptCount val="24"/>
                <c:pt idx="5">
                  <c:v>5846</c:v>
                </c:pt>
                <c:pt idx="6" formatCode="#,##0_ ">
                  <c:v>5613.5</c:v>
                </c:pt>
                <c:pt idx="7" formatCode="#,##0_ ">
                  <c:v>5388</c:v>
                </c:pt>
                <c:pt idx="8" formatCode="#,##0_ ">
                  <c:v>5164</c:v>
                </c:pt>
                <c:pt idx="9" formatCode="#,##0_ ">
                  <c:v>4942.5</c:v>
                </c:pt>
                <c:pt idx="10" formatCode="#,##0_ ">
                  <c:v>4723</c:v>
                </c:pt>
                <c:pt idx="11" formatCode="_-* #,##0_-;\-* #,##0_-;_-* &quot;-&quot;_-;_-@_-">
                  <c:v>4506</c:v>
                </c:pt>
                <c:pt idx="12" formatCode="#,##0_ ">
                  <c:v>4291</c:v>
                </c:pt>
                <c:pt idx="13" formatCode="#,##0_ ">
                  <c:v>4079</c:v>
                </c:pt>
                <c:pt idx="14" formatCode="#,##0_ ">
                  <c:v>3870</c:v>
                </c:pt>
                <c:pt idx="15" formatCode="#,##0_ ">
                  <c:v>3663.5</c:v>
                </c:pt>
                <c:pt idx="16" formatCode="#,##0_ ">
                  <c:v>3460</c:v>
                </c:pt>
                <c:pt idx="17" formatCode="#,##0_ ">
                  <c:v>3259.5</c:v>
                </c:pt>
                <c:pt idx="18" formatCode="#,##0_ ">
                  <c:v>3062</c:v>
                </c:pt>
                <c:pt idx="19" formatCode="#,##0_ ">
                  <c:v>2867.5</c:v>
                </c:pt>
                <c:pt idx="20" formatCode="#,##0_ ">
                  <c:v>2676.5</c:v>
                </c:pt>
                <c:pt idx="21" formatCode="#,##0_ ">
                  <c:v>2488.5</c:v>
                </c:pt>
                <c:pt idx="22" formatCode="#,##0_ ">
                  <c:v>2303.5</c:v>
                </c:pt>
                <c:pt idx="23" formatCode="#,##0_ ">
                  <c:v>2121.5</c:v>
                </c:pt>
              </c:numCache>
            </c:numRef>
          </c:val>
        </c:ser>
        <c:ser>
          <c:idx val="6"/>
          <c:order val="4"/>
          <c:tx>
            <c:v>과거</c:v>
          </c:tx>
          <c:spPr>
            <a:ln w="12700">
              <a:solidFill>
                <a:srgbClr val="008080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008080"/>
                </a:solidFill>
                <a:prstDash val="solid"/>
              </a:ln>
            </c:spPr>
          </c:marker>
          <c:cat>
            <c:numRef>
              <c:f>발한동5!$L$156:$AI$156</c:f>
              <c:numCache>
                <c:formatCode>General</c:formatCode>
                <c:ptCount val="24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  <c:pt idx="14">
                  <c:v>2016</c:v>
                </c:pt>
                <c:pt idx="15">
                  <c:v>2017</c:v>
                </c:pt>
                <c:pt idx="16">
                  <c:v>2018</c:v>
                </c:pt>
                <c:pt idx="17">
                  <c:v>2019</c:v>
                </c:pt>
                <c:pt idx="18">
                  <c:v>2020</c:v>
                </c:pt>
                <c:pt idx="19">
                  <c:v>2021</c:v>
                </c:pt>
                <c:pt idx="20">
                  <c:v>2022</c:v>
                </c:pt>
                <c:pt idx="21">
                  <c:v>2023</c:v>
                </c:pt>
                <c:pt idx="22">
                  <c:v>2024</c:v>
                </c:pt>
                <c:pt idx="23">
                  <c:v>2025</c:v>
                </c:pt>
              </c:numCache>
            </c:numRef>
          </c:cat>
          <c:val>
            <c:numRef>
              <c:f>발한동5!$L$154:$X$154</c:f>
              <c:numCache>
                <c:formatCode>_-* #,##0_-;\-* #,##0_-;_-* "-"_-;_-@_-</c:formatCode>
                <c:ptCount val="13"/>
                <c:pt idx="0">
                  <c:v>6966</c:v>
                </c:pt>
                <c:pt idx="1">
                  <c:v>6795</c:v>
                </c:pt>
                <c:pt idx="2">
                  <c:v>6582</c:v>
                </c:pt>
                <c:pt idx="3" formatCode="General">
                  <c:v>6343</c:v>
                </c:pt>
                <c:pt idx="4">
                  <c:v>5994</c:v>
                </c:pt>
                <c:pt idx="5" formatCode="General">
                  <c:v>5846</c:v>
                </c:pt>
                <c:pt idx="6">
                  <c:v>5605</c:v>
                </c:pt>
              </c:numCache>
            </c:numRef>
          </c:val>
        </c:ser>
        <c:ser>
          <c:idx val="2"/>
          <c:order val="5"/>
          <c:tx>
            <c:v>등비</c:v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발한동5!$L$156:$AI$156</c:f>
              <c:numCache>
                <c:formatCode>General</c:formatCode>
                <c:ptCount val="24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  <c:pt idx="14">
                  <c:v>2016</c:v>
                </c:pt>
                <c:pt idx="15">
                  <c:v>2017</c:v>
                </c:pt>
                <c:pt idx="16">
                  <c:v>2018</c:v>
                </c:pt>
                <c:pt idx="17">
                  <c:v>2019</c:v>
                </c:pt>
                <c:pt idx="18">
                  <c:v>2020</c:v>
                </c:pt>
                <c:pt idx="19">
                  <c:v>2021</c:v>
                </c:pt>
                <c:pt idx="20">
                  <c:v>2022</c:v>
                </c:pt>
                <c:pt idx="21">
                  <c:v>2023</c:v>
                </c:pt>
                <c:pt idx="22">
                  <c:v>2024</c:v>
                </c:pt>
                <c:pt idx="23">
                  <c:v>2025</c:v>
                </c:pt>
              </c:numCache>
            </c:numRef>
          </c:cat>
          <c:val>
            <c:numRef>
              <c:f>발한동5!$L$159:$AN$159</c:f>
              <c:numCache>
                <c:formatCode>General</c:formatCode>
                <c:ptCount val="29"/>
                <c:pt idx="5">
                  <c:v>5846</c:v>
                </c:pt>
                <c:pt idx="6" formatCode="_-* #,##0_-;\-* #,##0_-;_-* &quot;-&quot;_-;_-@_-">
                  <c:v>5645</c:v>
                </c:pt>
                <c:pt idx="7" formatCode="_-* #,##0_-;\-* #,##0_-;_-* &quot;-&quot;_-;_-@_-">
                  <c:v>5450</c:v>
                </c:pt>
                <c:pt idx="8" formatCode="_-* #,##0_-;\-* #,##0_-;_-* &quot;-&quot;_-;_-@_-">
                  <c:v>5262</c:v>
                </c:pt>
                <c:pt idx="9" formatCode="_-* #,##0_-;\-* #,##0_-;_-* &quot;-&quot;_-;_-@_-">
                  <c:v>5081</c:v>
                </c:pt>
                <c:pt idx="10" formatCode="_-* #,##0_-;\-* #,##0_-;_-* &quot;-&quot;_-;_-@_-">
                  <c:v>4906</c:v>
                </c:pt>
                <c:pt idx="11" formatCode="_-* #,##0_-;\-* #,##0_-;_-* &quot;-&quot;_-;_-@_-">
                  <c:v>4737</c:v>
                </c:pt>
                <c:pt idx="12" formatCode="_-* #,##0_-;\-* #,##0_-;_-* &quot;-&quot;_-;_-@_-">
                  <c:v>4574</c:v>
                </c:pt>
                <c:pt idx="13" formatCode="_-* #,##0_-;\-* #,##0_-;_-* &quot;-&quot;_-;_-@_-">
                  <c:v>4416</c:v>
                </c:pt>
                <c:pt idx="14" formatCode="_-* #,##0_-;\-* #,##0_-;_-* &quot;-&quot;_-;_-@_-">
                  <c:v>4264</c:v>
                </c:pt>
                <c:pt idx="15" formatCode="_-* #,##0_-;\-* #,##0_-;_-* &quot;-&quot;_-;_-@_-">
                  <c:v>4117</c:v>
                </c:pt>
                <c:pt idx="16" formatCode="_-* #,##0_-;\-* #,##0_-;_-* &quot;-&quot;_-;_-@_-">
                  <c:v>3975</c:v>
                </c:pt>
                <c:pt idx="17" formatCode="_-* #,##0_-;\-* #,##0_-;_-* &quot;-&quot;_-;_-@_-">
                  <c:v>3838</c:v>
                </c:pt>
                <c:pt idx="18" formatCode="_-* #,##0_-;\-* #,##0_-;_-* &quot;-&quot;_-;_-@_-">
                  <c:v>3706</c:v>
                </c:pt>
                <c:pt idx="19" formatCode="_-* #,##0_-;\-* #,##0_-;_-* &quot;-&quot;_-;_-@_-">
                  <c:v>3579</c:v>
                </c:pt>
                <c:pt idx="20" formatCode="_-* #,##0_-;\-* #,##0_-;_-* &quot;-&quot;_-;_-@_-">
                  <c:v>3455</c:v>
                </c:pt>
                <c:pt idx="21" formatCode="_-* #,##0_-;\-* #,##0_-;_-* &quot;-&quot;_-;_-@_-">
                  <c:v>3336</c:v>
                </c:pt>
                <c:pt idx="22" formatCode="_-* #,##0_-;\-* #,##0_-;_-* &quot;-&quot;_-;_-@_-">
                  <c:v>3221</c:v>
                </c:pt>
                <c:pt idx="23" formatCode="_-* #,##0_-;\-* #,##0_-;_-* &quot;-&quot;_-;_-@_-">
                  <c:v>3110</c:v>
                </c:pt>
              </c:numCache>
            </c:numRef>
          </c:val>
        </c:ser>
        <c:marker val="1"/>
        <c:axId val="130796928"/>
        <c:axId val="130795008"/>
      </c:lineChart>
      <c:catAx>
        <c:axId val="130796928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875" b="0" i="0" u="none" strike="noStrike" baseline="0">
                    <a:solidFill>
                      <a:srgbClr val="000000"/>
                    </a:solidFill>
                    <a:latin typeface="돋움"/>
                    <a:ea typeface="돋움"/>
                    <a:cs typeface="돋움"/>
                  </a:defRPr>
                </a:pPr>
                <a:r>
                  <a:rPr altLang="en-US"/>
                  <a:t>연도</a:t>
                </a:r>
              </a:p>
            </c:rich>
          </c:tx>
          <c:layout>
            <c:manualLayout>
              <c:xMode val="edge"/>
              <c:yMode val="edge"/>
              <c:x val="0.50000023539658589"/>
              <c:y val="0.81939243336028011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maj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돋움"/>
                <a:ea typeface="돋움"/>
                <a:cs typeface="돋움"/>
              </a:defRPr>
            </a:pPr>
            <a:endParaRPr lang="ko-KR"/>
          </a:p>
        </c:txPr>
        <c:crossAx val="130795008"/>
        <c:crosses val="autoZero"/>
        <c:auto val="1"/>
        <c:lblAlgn val="ctr"/>
        <c:lblOffset val="100"/>
        <c:tickLblSkip val="2"/>
        <c:tickMarkSkip val="1"/>
      </c:catAx>
      <c:valAx>
        <c:axId val="130795008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맑은 고딕"/>
                    <a:ea typeface="맑은 고딕"/>
                    <a:cs typeface="맑은 고딕"/>
                  </a:defRPr>
                </a:pPr>
                <a:r>
                  <a:rPr lang="ko-KR" altLang="en-US" sz="875" b="0" i="0" strike="noStrike">
                    <a:solidFill>
                      <a:srgbClr val="000000"/>
                    </a:solidFill>
                    <a:latin typeface="돋움"/>
                    <a:ea typeface="돋움"/>
                  </a:rPr>
                  <a:t>인구</a:t>
                </a:r>
                <a:r>
                  <a:rPr lang="en-US" altLang="ko-KR" sz="875" b="0" i="0" strike="noStrike">
                    <a:solidFill>
                      <a:srgbClr val="000000"/>
                    </a:solidFill>
                    <a:latin typeface="돋움"/>
                    <a:ea typeface="돋움"/>
                  </a:rPr>
                  <a:t>(</a:t>
                </a:r>
                <a:r>
                  <a:rPr lang="ko-KR" altLang="en-US" sz="875" b="0" i="0" strike="noStrike">
                    <a:solidFill>
                      <a:srgbClr val="000000"/>
                    </a:solidFill>
                    <a:latin typeface="돋움"/>
                    <a:ea typeface="돋움"/>
                  </a:rPr>
                  <a:t>명</a:t>
                </a:r>
                <a:r>
                  <a:rPr lang="en-US" altLang="ko-KR" sz="875" b="0" i="0" strike="noStrike">
                    <a:solidFill>
                      <a:srgbClr val="000000"/>
                    </a:solidFill>
                    <a:latin typeface="돋움"/>
                    <a:ea typeface="돋움"/>
                  </a:rPr>
                  <a:t>)</a:t>
                </a:r>
              </a:p>
            </c:rich>
          </c:tx>
          <c:layout>
            <c:manualLayout>
              <c:xMode val="edge"/>
              <c:yMode val="edge"/>
              <c:x val="2.6905829596412592E-2"/>
              <c:y val="0.38212967675618492"/>
            </c:manualLayout>
          </c:layout>
          <c:spPr>
            <a:noFill/>
            <a:ln w="25400">
              <a:noFill/>
            </a:ln>
          </c:spPr>
        </c:title>
        <c:numFmt formatCode="#,##0_ " sourceLinked="0"/>
        <c:maj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돋움"/>
                <a:ea typeface="돋움"/>
                <a:cs typeface="돋움"/>
              </a:defRPr>
            </a:pPr>
            <a:endParaRPr lang="ko-KR"/>
          </a:p>
        </c:txPr>
        <c:crossAx val="130796928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wMode val="edge"/>
          <c:hMode val="edge"/>
          <c:x val="0.12780280828125185"/>
          <c:y val="0.90114148278993644"/>
          <c:w val="0.91591987100267169"/>
          <c:h val="0.96197798469107765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돋움"/>
              <a:ea typeface="돋움"/>
              <a:cs typeface="돋움"/>
            </a:defRPr>
          </a:pPr>
          <a:endParaRPr lang="ko-KR"/>
        </a:p>
      </c:txPr>
    </c:legend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75" b="0" i="0" u="none" strike="noStrike" baseline="0">
          <a:solidFill>
            <a:srgbClr val="000000"/>
          </a:solidFill>
          <a:latin typeface="돋움"/>
          <a:ea typeface="돋움"/>
          <a:cs typeface="돋움"/>
        </a:defRPr>
      </a:pPr>
      <a:endParaRPr lang="ko-KR"/>
    </a:p>
  </c:txPr>
  <c:printSettings>
    <c:headerFooter alignWithMargins="0"/>
    <c:pageMargins b="1" l="0.75000000000000144" r="0.75000000000000144" t="1" header="0.5" footer="0.5"/>
    <c:pageSetup paperSize="9" orientation="landscape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ko-KR"/>
  <c:chart>
    <c:title>
      <c:tx>
        <c:rich>
          <a:bodyPr/>
          <a:lstStyle/>
          <a:p>
            <a:pPr>
              <a:defRPr sz="1175" b="1" i="0" u="none" strike="noStrike" baseline="0">
                <a:solidFill>
                  <a:srgbClr val="000000"/>
                </a:solidFill>
                <a:latin typeface="돋움"/>
                <a:ea typeface="돋움"/>
                <a:cs typeface="돋움"/>
              </a:defRPr>
            </a:pPr>
            <a:r>
              <a:rPr altLang="en-US"/>
              <a:t>묵호동</a:t>
            </a:r>
          </a:p>
        </c:rich>
      </c:tx>
      <c:layout>
        <c:manualLayout>
          <c:xMode val="edge"/>
          <c:yMode val="edge"/>
          <c:x val="0.46861010086743682"/>
          <c:y val="2.8517110266159756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0313906991129369"/>
          <c:y val="9.3155980012012529E-2"/>
          <c:w val="0.83183902037152235"/>
          <c:h val="0.70912613356082765"/>
        </c:manualLayout>
      </c:layout>
      <c:lineChart>
        <c:grouping val="standard"/>
        <c:ser>
          <c:idx val="0"/>
          <c:order val="0"/>
          <c:tx>
            <c:v>등차</c:v>
          </c:tx>
          <c:spPr>
            <a:ln w="3175">
              <a:solidFill>
                <a:srgbClr val="000080"/>
              </a:solidFill>
              <a:prstDash val="solid"/>
            </a:ln>
          </c:spPr>
          <c:marker>
            <c:symbol val="diamond"/>
            <c:size val="3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묵호동20년!$L$225:$AX$225</c:f>
              <c:numCache>
                <c:formatCode>General</c:formatCode>
                <c:ptCount val="39"/>
                <c:pt idx="0">
                  <c:v>1988</c:v>
                </c:pt>
                <c:pt idx="1">
                  <c:v>1989</c:v>
                </c:pt>
                <c:pt idx="2">
                  <c:v>1990</c:v>
                </c:pt>
                <c:pt idx="3">
                  <c:v>1991</c:v>
                </c:pt>
                <c:pt idx="4">
                  <c:v>1992</c:v>
                </c:pt>
                <c:pt idx="5">
                  <c:v>1993</c:v>
                </c:pt>
                <c:pt idx="6">
                  <c:v>1994</c:v>
                </c:pt>
                <c:pt idx="7">
                  <c:v>1995</c:v>
                </c:pt>
                <c:pt idx="8">
                  <c:v>1996</c:v>
                </c:pt>
                <c:pt idx="9">
                  <c:v>1997</c:v>
                </c:pt>
                <c:pt idx="10">
                  <c:v>1998</c:v>
                </c:pt>
                <c:pt idx="11">
                  <c:v>1999</c:v>
                </c:pt>
                <c:pt idx="12">
                  <c:v>2000</c:v>
                </c:pt>
                <c:pt idx="13">
                  <c:v>2001</c:v>
                </c:pt>
                <c:pt idx="14">
                  <c:v>2002</c:v>
                </c:pt>
                <c:pt idx="15">
                  <c:v>2003</c:v>
                </c:pt>
                <c:pt idx="16">
                  <c:v>2004</c:v>
                </c:pt>
                <c:pt idx="17">
                  <c:v>2005</c:v>
                </c:pt>
                <c:pt idx="18">
                  <c:v>2006</c:v>
                </c:pt>
                <c:pt idx="19">
                  <c:v>2007</c:v>
                </c:pt>
                <c:pt idx="20">
                  <c:v>2008</c:v>
                </c:pt>
                <c:pt idx="21">
                  <c:v>2009</c:v>
                </c:pt>
                <c:pt idx="22">
                  <c:v>2010</c:v>
                </c:pt>
                <c:pt idx="23">
                  <c:v>2011</c:v>
                </c:pt>
                <c:pt idx="24">
                  <c:v>2012</c:v>
                </c:pt>
                <c:pt idx="25">
                  <c:v>2013</c:v>
                </c:pt>
                <c:pt idx="26">
                  <c:v>2014</c:v>
                </c:pt>
                <c:pt idx="27">
                  <c:v>2015</c:v>
                </c:pt>
                <c:pt idx="28">
                  <c:v>2016</c:v>
                </c:pt>
                <c:pt idx="29">
                  <c:v>2017</c:v>
                </c:pt>
                <c:pt idx="30">
                  <c:v>2018</c:v>
                </c:pt>
                <c:pt idx="31">
                  <c:v>2019</c:v>
                </c:pt>
                <c:pt idx="32">
                  <c:v>2020</c:v>
                </c:pt>
                <c:pt idx="33">
                  <c:v>2021</c:v>
                </c:pt>
                <c:pt idx="34">
                  <c:v>2022</c:v>
                </c:pt>
                <c:pt idx="35">
                  <c:v>2023</c:v>
                </c:pt>
                <c:pt idx="36">
                  <c:v>2024</c:v>
                </c:pt>
                <c:pt idx="37">
                  <c:v>2025</c:v>
                </c:pt>
                <c:pt idx="38">
                  <c:v>2026</c:v>
                </c:pt>
              </c:numCache>
            </c:numRef>
          </c:cat>
          <c:val>
            <c:numRef>
              <c:f>묵호동20년!$L$226:$AW$226</c:f>
              <c:numCache>
                <c:formatCode>General</c:formatCode>
                <c:ptCount val="38"/>
                <c:pt idx="19" formatCode="_-* #,##0_-;\-* #,##0_-;_-* &quot;-&quot;_-;_-@_-">
                  <c:v>4826</c:v>
                </c:pt>
                <c:pt idx="20" formatCode="_-* #,##0_-;\-* #,##0_-;_-* &quot;-&quot;_-;_-@_-">
                  <c:v>4462</c:v>
                </c:pt>
                <c:pt idx="21" formatCode="_-* #,##0_-;\-* #,##0_-;_-* &quot;-&quot;_-;_-@_-">
                  <c:v>4098</c:v>
                </c:pt>
                <c:pt idx="22" formatCode="_-* #,##0_-;\-* #,##0_-;_-* &quot;-&quot;_-;_-@_-">
                  <c:v>3734</c:v>
                </c:pt>
                <c:pt idx="23" formatCode="_-* #,##0_-;\-* #,##0_-;_-* &quot;-&quot;_-;_-@_-">
                  <c:v>3369</c:v>
                </c:pt>
                <c:pt idx="24" formatCode="_-* #,##0_-;\-* #,##0_-;_-* &quot;-&quot;_-;_-@_-">
                  <c:v>3005</c:v>
                </c:pt>
                <c:pt idx="25" formatCode="_-* #,##0_-;\-* #,##0_-;_-* &quot;-&quot;_-;_-@_-">
                  <c:v>2641</c:v>
                </c:pt>
                <c:pt idx="26" formatCode="_-* #,##0_-;\-* #,##0_-;_-* &quot;-&quot;_-;_-@_-">
                  <c:v>2277</c:v>
                </c:pt>
                <c:pt idx="27" formatCode="_-* #,##0_-;\-* #,##0_-;_-* &quot;-&quot;_-;_-@_-">
                  <c:v>1913</c:v>
                </c:pt>
                <c:pt idx="28" formatCode="_-* #,##0_-;\-* #,##0_-;_-* &quot;-&quot;_-;_-@_-">
                  <c:v>1549</c:v>
                </c:pt>
                <c:pt idx="29" formatCode="_-* #,##0_-;\-* #,##0_-;_-* &quot;-&quot;_-;_-@_-">
                  <c:v>1184</c:v>
                </c:pt>
                <c:pt idx="30" formatCode="_-* #,##0_-;\-* #,##0_-;_-* &quot;-&quot;_-;_-@_-">
                  <c:v>820</c:v>
                </c:pt>
                <c:pt idx="31" formatCode="_-* #,##0_-;\-* #,##0_-;_-* &quot;-&quot;_-;_-@_-">
                  <c:v>456</c:v>
                </c:pt>
                <c:pt idx="32" formatCode="_-* #,##0_-;\-* #,##0_-;_-* &quot;-&quot;_-;_-@_-">
                  <c:v>92</c:v>
                </c:pt>
                <c:pt idx="33" formatCode="_-* #,##0_-;\-* #,##0_-;_-* &quot;-&quot;_-;_-@_-">
                  <c:v>-272</c:v>
                </c:pt>
                <c:pt idx="34" formatCode="_-* #,##0_-;\-* #,##0_-;_-* &quot;-&quot;_-;_-@_-">
                  <c:v>-636</c:v>
                </c:pt>
                <c:pt idx="35" formatCode="_-* #,##0_-;\-* #,##0_-;_-* &quot;-&quot;_-;_-@_-">
                  <c:v>-1001</c:v>
                </c:pt>
                <c:pt idx="36" formatCode="_-* #,##0_-;\-* #,##0_-;_-* &quot;-&quot;_-;_-@_-">
                  <c:v>-1365</c:v>
                </c:pt>
                <c:pt idx="37" formatCode="_-* #,##0_-;\-* #,##0_-;_-* &quot;-&quot;_-;_-@_-">
                  <c:v>-1729</c:v>
                </c:pt>
              </c:numCache>
            </c:numRef>
          </c:val>
        </c:ser>
        <c:ser>
          <c:idx val="1"/>
          <c:order val="1"/>
          <c:tx>
            <c:v>최소</c:v>
          </c:tx>
          <c:spPr>
            <a:ln w="3175">
              <a:solidFill>
                <a:srgbClr val="FF00FF"/>
              </a:solidFill>
              <a:prstDash val="solid"/>
            </a:ln>
          </c:spPr>
          <c:marker>
            <c:symbol val="square"/>
            <c:size val="3"/>
            <c:spPr>
              <a:noFill/>
              <a:ln>
                <a:solidFill>
                  <a:srgbClr val="FF00FF"/>
                </a:solidFill>
                <a:prstDash val="solid"/>
              </a:ln>
            </c:spPr>
          </c:marker>
          <c:cat>
            <c:numRef>
              <c:f>묵호동20년!$L$225:$AX$225</c:f>
              <c:numCache>
                <c:formatCode>General</c:formatCode>
                <c:ptCount val="39"/>
                <c:pt idx="0">
                  <c:v>1988</c:v>
                </c:pt>
                <c:pt idx="1">
                  <c:v>1989</c:v>
                </c:pt>
                <c:pt idx="2">
                  <c:v>1990</c:v>
                </c:pt>
                <c:pt idx="3">
                  <c:v>1991</c:v>
                </c:pt>
                <c:pt idx="4">
                  <c:v>1992</c:v>
                </c:pt>
                <c:pt idx="5">
                  <c:v>1993</c:v>
                </c:pt>
                <c:pt idx="6">
                  <c:v>1994</c:v>
                </c:pt>
                <c:pt idx="7">
                  <c:v>1995</c:v>
                </c:pt>
                <c:pt idx="8">
                  <c:v>1996</c:v>
                </c:pt>
                <c:pt idx="9">
                  <c:v>1997</c:v>
                </c:pt>
                <c:pt idx="10">
                  <c:v>1998</c:v>
                </c:pt>
                <c:pt idx="11">
                  <c:v>1999</c:v>
                </c:pt>
                <c:pt idx="12">
                  <c:v>2000</c:v>
                </c:pt>
                <c:pt idx="13">
                  <c:v>2001</c:v>
                </c:pt>
                <c:pt idx="14">
                  <c:v>2002</c:v>
                </c:pt>
                <c:pt idx="15">
                  <c:v>2003</c:v>
                </c:pt>
                <c:pt idx="16">
                  <c:v>2004</c:v>
                </c:pt>
                <c:pt idx="17">
                  <c:v>2005</c:v>
                </c:pt>
                <c:pt idx="18">
                  <c:v>2006</c:v>
                </c:pt>
                <c:pt idx="19">
                  <c:v>2007</c:v>
                </c:pt>
                <c:pt idx="20">
                  <c:v>2008</c:v>
                </c:pt>
                <c:pt idx="21">
                  <c:v>2009</c:v>
                </c:pt>
                <c:pt idx="22">
                  <c:v>2010</c:v>
                </c:pt>
                <c:pt idx="23">
                  <c:v>2011</c:v>
                </c:pt>
                <c:pt idx="24">
                  <c:v>2012</c:v>
                </c:pt>
                <c:pt idx="25">
                  <c:v>2013</c:v>
                </c:pt>
                <c:pt idx="26">
                  <c:v>2014</c:v>
                </c:pt>
                <c:pt idx="27">
                  <c:v>2015</c:v>
                </c:pt>
                <c:pt idx="28">
                  <c:v>2016</c:v>
                </c:pt>
                <c:pt idx="29">
                  <c:v>2017</c:v>
                </c:pt>
                <c:pt idx="30">
                  <c:v>2018</c:v>
                </c:pt>
                <c:pt idx="31">
                  <c:v>2019</c:v>
                </c:pt>
                <c:pt idx="32">
                  <c:v>2020</c:v>
                </c:pt>
                <c:pt idx="33">
                  <c:v>2021</c:v>
                </c:pt>
                <c:pt idx="34">
                  <c:v>2022</c:v>
                </c:pt>
                <c:pt idx="35">
                  <c:v>2023</c:v>
                </c:pt>
                <c:pt idx="36">
                  <c:v>2024</c:v>
                </c:pt>
                <c:pt idx="37">
                  <c:v>2025</c:v>
                </c:pt>
                <c:pt idx="38">
                  <c:v>2026</c:v>
                </c:pt>
              </c:numCache>
            </c:numRef>
          </c:cat>
          <c:val>
            <c:numRef>
              <c:f>묵호동20년!$L$227:$AW$227</c:f>
              <c:numCache>
                <c:formatCode>General</c:formatCode>
                <c:ptCount val="38"/>
                <c:pt idx="19" formatCode="_-* #,##0_-;\-* #,##0_-;_-* &quot;-&quot;_-;_-@_-">
                  <c:v>4826</c:v>
                </c:pt>
                <c:pt idx="20" formatCode="_-* #,##0_-;\-* #,##0_-;_-* &quot;-&quot;_-;_-@_-">
                  <c:v>3596</c:v>
                </c:pt>
                <c:pt idx="21" formatCode="_-* #,##0_-;\-* #,##0_-;_-* &quot;-&quot;_-;_-@_-">
                  <c:v>3225</c:v>
                </c:pt>
                <c:pt idx="22" formatCode="_-* #,##0_-;\-* #,##0_-;_-* &quot;-&quot;_-;_-@_-">
                  <c:v>2855</c:v>
                </c:pt>
                <c:pt idx="23" formatCode="_-* #,##0_-;\-* #,##0_-;_-* &quot;-&quot;_-;_-@_-">
                  <c:v>2485</c:v>
                </c:pt>
                <c:pt idx="24" formatCode="_-* #,##0_-;\-* #,##0_-;_-* &quot;-&quot;_-;_-@_-">
                  <c:v>2115</c:v>
                </c:pt>
                <c:pt idx="25" formatCode="_-* #,##0_-;\-* #,##0_-;_-* &quot;-&quot;_-;_-@_-">
                  <c:v>1745</c:v>
                </c:pt>
                <c:pt idx="26" formatCode="_-* #,##0_-;\-* #,##0_-;_-* &quot;-&quot;_-;_-@_-">
                  <c:v>1375</c:v>
                </c:pt>
                <c:pt idx="27" formatCode="_-* #,##0_-;\-* #,##0_-;_-* &quot;-&quot;_-;_-@_-">
                  <c:v>1005</c:v>
                </c:pt>
                <c:pt idx="28" formatCode="_-* #,##0_-;\-* #,##0_-;_-* &quot;-&quot;_-;_-@_-">
                  <c:v>635</c:v>
                </c:pt>
                <c:pt idx="29" formatCode="_-* #,##0_-;\-* #,##0_-;_-* &quot;-&quot;_-;_-@_-">
                  <c:v>265</c:v>
                </c:pt>
                <c:pt idx="30" formatCode="_-* #,##0_-;\-* #,##0_-;_-* &quot;-&quot;_-;_-@_-">
                  <c:v>-105</c:v>
                </c:pt>
                <c:pt idx="31" formatCode="_-* #,##0_-;\-* #,##0_-;_-* &quot;-&quot;_-;_-@_-">
                  <c:v>-476</c:v>
                </c:pt>
                <c:pt idx="32" formatCode="_-* #,##0_-;\-* #,##0_-;_-* &quot;-&quot;_-;_-@_-">
                  <c:v>-846</c:v>
                </c:pt>
                <c:pt idx="33" formatCode="_-* #,##0_-;\-* #,##0_-;_-* &quot;-&quot;_-;_-@_-">
                  <c:v>-1216</c:v>
                </c:pt>
                <c:pt idx="34" formatCode="_-* #,##0_-;\-* #,##0_-;_-* &quot;-&quot;_-;_-@_-">
                  <c:v>-1586</c:v>
                </c:pt>
                <c:pt idx="35" formatCode="_-* #,##0_-;\-* #,##0_-;_-* &quot;-&quot;_-;_-@_-">
                  <c:v>-1956</c:v>
                </c:pt>
                <c:pt idx="36" formatCode="_-* #,##0_-;\-* #,##0_-;_-* &quot;-&quot;_-;_-@_-">
                  <c:v>-2326</c:v>
                </c:pt>
                <c:pt idx="37" formatCode="_-* #,##0_-;\-* #,##0_-;_-* &quot;-&quot;_-;_-@_-">
                  <c:v>-2696</c:v>
                </c:pt>
              </c:numCache>
            </c:numRef>
          </c:val>
        </c:ser>
        <c:ser>
          <c:idx val="4"/>
          <c:order val="2"/>
          <c:tx>
            <c:v>로지스틱</c:v>
          </c:tx>
          <c:spPr>
            <a:ln w="3175">
              <a:solidFill>
                <a:srgbClr val="800080"/>
              </a:solidFill>
              <a:prstDash val="solid"/>
            </a:ln>
          </c:spPr>
          <c:marker>
            <c:symbol val="circle"/>
            <c:size val="3"/>
            <c:spPr>
              <a:noFill/>
              <a:ln>
                <a:solidFill>
                  <a:srgbClr val="800080"/>
                </a:solidFill>
                <a:prstDash val="solid"/>
              </a:ln>
            </c:spPr>
          </c:marker>
          <c:cat>
            <c:numRef>
              <c:f>묵호동20년!$L$225:$AX$225</c:f>
              <c:numCache>
                <c:formatCode>General</c:formatCode>
                <c:ptCount val="39"/>
                <c:pt idx="0">
                  <c:v>1988</c:v>
                </c:pt>
                <c:pt idx="1">
                  <c:v>1989</c:v>
                </c:pt>
                <c:pt idx="2">
                  <c:v>1990</c:v>
                </c:pt>
                <c:pt idx="3">
                  <c:v>1991</c:v>
                </c:pt>
                <c:pt idx="4">
                  <c:v>1992</c:v>
                </c:pt>
                <c:pt idx="5">
                  <c:v>1993</c:v>
                </c:pt>
                <c:pt idx="6">
                  <c:v>1994</c:v>
                </c:pt>
                <c:pt idx="7">
                  <c:v>1995</c:v>
                </c:pt>
                <c:pt idx="8">
                  <c:v>1996</c:v>
                </c:pt>
                <c:pt idx="9">
                  <c:v>1997</c:v>
                </c:pt>
                <c:pt idx="10">
                  <c:v>1998</c:v>
                </c:pt>
                <c:pt idx="11">
                  <c:v>1999</c:v>
                </c:pt>
                <c:pt idx="12">
                  <c:v>2000</c:v>
                </c:pt>
                <c:pt idx="13">
                  <c:v>2001</c:v>
                </c:pt>
                <c:pt idx="14">
                  <c:v>2002</c:v>
                </c:pt>
                <c:pt idx="15">
                  <c:v>2003</c:v>
                </c:pt>
                <c:pt idx="16">
                  <c:v>2004</c:v>
                </c:pt>
                <c:pt idx="17">
                  <c:v>2005</c:v>
                </c:pt>
                <c:pt idx="18">
                  <c:v>2006</c:v>
                </c:pt>
                <c:pt idx="19">
                  <c:v>2007</c:v>
                </c:pt>
                <c:pt idx="20">
                  <c:v>2008</c:v>
                </c:pt>
                <c:pt idx="21">
                  <c:v>2009</c:v>
                </c:pt>
                <c:pt idx="22">
                  <c:v>2010</c:v>
                </c:pt>
                <c:pt idx="23">
                  <c:v>2011</c:v>
                </c:pt>
                <c:pt idx="24">
                  <c:v>2012</c:v>
                </c:pt>
                <c:pt idx="25">
                  <c:v>2013</c:v>
                </c:pt>
                <c:pt idx="26">
                  <c:v>2014</c:v>
                </c:pt>
                <c:pt idx="27">
                  <c:v>2015</c:v>
                </c:pt>
                <c:pt idx="28">
                  <c:v>2016</c:v>
                </c:pt>
                <c:pt idx="29">
                  <c:v>2017</c:v>
                </c:pt>
                <c:pt idx="30">
                  <c:v>2018</c:v>
                </c:pt>
                <c:pt idx="31">
                  <c:v>2019</c:v>
                </c:pt>
                <c:pt idx="32">
                  <c:v>2020</c:v>
                </c:pt>
                <c:pt idx="33">
                  <c:v>2021</c:v>
                </c:pt>
                <c:pt idx="34">
                  <c:v>2022</c:v>
                </c:pt>
                <c:pt idx="35">
                  <c:v>2023</c:v>
                </c:pt>
                <c:pt idx="36">
                  <c:v>2024</c:v>
                </c:pt>
                <c:pt idx="37">
                  <c:v>2025</c:v>
                </c:pt>
                <c:pt idx="38">
                  <c:v>2026</c:v>
                </c:pt>
              </c:numCache>
            </c:numRef>
          </c:cat>
          <c:val>
            <c:numRef>
              <c:f>묵호동20년!$L$230:$AW$230</c:f>
              <c:numCache>
                <c:formatCode>General</c:formatCode>
                <c:ptCount val="38"/>
                <c:pt idx="19" formatCode="_-* #,##0_-;\-* #,##0_-;_-* &quot;-&quot;_-;_-@_-">
                  <c:v>4826</c:v>
                </c:pt>
                <c:pt idx="20" formatCode="_-* #,##0_-;\-* #,##0_-;_-* &quot;-&quot;_-;_-@_-">
                  <c:v>4057</c:v>
                </c:pt>
                <c:pt idx="21" formatCode="_-* #,##0_-;\-* #,##0_-;_-* &quot;-&quot;_-;_-@_-">
                  <c:v>3815</c:v>
                </c:pt>
                <c:pt idx="22" formatCode="_-* #,##0_-;\-* #,##0_-;_-* &quot;-&quot;_-;_-@_-">
                  <c:v>3585</c:v>
                </c:pt>
                <c:pt idx="23" formatCode="_-* #,##0_-;\-* #,##0_-;_-* &quot;-&quot;_-;_-@_-">
                  <c:v>3367</c:v>
                </c:pt>
                <c:pt idx="24" formatCode="_-* #,##0_-;\-* #,##0_-;_-* &quot;-&quot;_-;_-@_-">
                  <c:v>3160</c:v>
                </c:pt>
                <c:pt idx="25" formatCode="_-* #,##0_-;\-* #,##0_-;_-* &quot;-&quot;_-;_-@_-">
                  <c:v>2964</c:v>
                </c:pt>
                <c:pt idx="26" formatCode="_-* #,##0_-;\-* #,##0_-;_-* &quot;-&quot;_-;_-@_-">
                  <c:v>2778</c:v>
                </c:pt>
                <c:pt idx="27" formatCode="_-* #,##0_-;\-* #,##0_-;_-* &quot;-&quot;_-;_-@_-">
                  <c:v>2603</c:v>
                </c:pt>
                <c:pt idx="28" formatCode="_-* #,##0_-;\-* #,##0_-;_-* &quot;-&quot;_-;_-@_-">
                  <c:v>2437</c:v>
                </c:pt>
                <c:pt idx="29" formatCode="_-* #,##0_-;\-* #,##0_-;_-* &quot;-&quot;_-;_-@_-">
                  <c:v>2280</c:v>
                </c:pt>
                <c:pt idx="30" formatCode="_-* #,##0_-;\-* #,##0_-;_-* &quot;-&quot;_-;_-@_-">
                  <c:v>2133</c:v>
                </c:pt>
                <c:pt idx="31" formatCode="_-* #,##0_-;\-* #,##0_-;_-* &quot;-&quot;_-;_-@_-">
                  <c:v>1994</c:v>
                </c:pt>
                <c:pt idx="32" formatCode="_-* #,##0_-;\-* #,##0_-;_-* &quot;-&quot;_-;_-@_-">
                  <c:v>1864</c:v>
                </c:pt>
                <c:pt idx="33" formatCode="_-* #,##0_-;\-* #,##0_-;_-* &quot;-&quot;_-;_-@_-">
                  <c:v>1741</c:v>
                </c:pt>
                <c:pt idx="34" formatCode="_-* #,##0_-;\-* #,##0_-;_-* &quot;-&quot;_-;_-@_-">
                  <c:v>1626</c:v>
                </c:pt>
                <c:pt idx="35" formatCode="_-* #,##0_-;\-* #,##0_-;_-* &quot;-&quot;_-;_-@_-">
                  <c:v>1518</c:v>
                </c:pt>
                <c:pt idx="36" formatCode="_-* #,##0_-;\-* #,##0_-;_-* &quot;-&quot;_-;_-@_-">
                  <c:v>1417</c:v>
                </c:pt>
                <c:pt idx="37" formatCode="_-* #,##0_-;\-* #,##0_-;_-* &quot;-&quot;_-;_-@_-">
                  <c:v>1322</c:v>
                </c:pt>
              </c:numCache>
            </c:numRef>
          </c:val>
        </c:ser>
        <c:ser>
          <c:idx val="5"/>
          <c:order val="3"/>
          <c:tx>
            <c:v>평균(최대최소제외)</c:v>
          </c:tx>
          <c:spPr>
            <a:ln w="3175">
              <a:solidFill>
                <a:srgbClr val="800000"/>
              </a:solidFill>
              <a:prstDash val="sysDash"/>
            </a:ln>
          </c:spPr>
          <c:marker>
            <c:symbol val="circle"/>
            <c:size val="3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묵호동20년!$L$225:$AX$225</c:f>
              <c:numCache>
                <c:formatCode>General</c:formatCode>
                <c:ptCount val="39"/>
                <c:pt idx="0">
                  <c:v>1988</c:v>
                </c:pt>
                <c:pt idx="1">
                  <c:v>1989</c:v>
                </c:pt>
                <c:pt idx="2">
                  <c:v>1990</c:v>
                </c:pt>
                <c:pt idx="3">
                  <c:v>1991</c:v>
                </c:pt>
                <c:pt idx="4">
                  <c:v>1992</c:v>
                </c:pt>
                <c:pt idx="5">
                  <c:v>1993</c:v>
                </c:pt>
                <c:pt idx="6">
                  <c:v>1994</c:v>
                </c:pt>
                <c:pt idx="7">
                  <c:v>1995</c:v>
                </c:pt>
                <c:pt idx="8">
                  <c:v>1996</c:v>
                </c:pt>
                <c:pt idx="9">
                  <c:v>1997</c:v>
                </c:pt>
                <c:pt idx="10">
                  <c:v>1998</c:v>
                </c:pt>
                <c:pt idx="11">
                  <c:v>1999</c:v>
                </c:pt>
                <c:pt idx="12">
                  <c:v>2000</c:v>
                </c:pt>
                <c:pt idx="13">
                  <c:v>2001</c:v>
                </c:pt>
                <c:pt idx="14">
                  <c:v>2002</c:v>
                </c:pt>
                <c:pt idx="15">
                  <c:v>2003</c:v>
                </c:pt>
                <c:pt idx="16">
                  <c:v>2004</c:v>
                </c:pt>
                <c:pt idx="17">
                  <c:v>2005</c:v>
                </c:pt>
                <c:pt idx="18">
                  <c:v>2006</c:v>
                </c:pt>
                <c:pt idx="19">
                  <c:v>2007</c:v>
                </c:pt>
                <c:pt idx="20">
                  <c:v>2008</c:v>
                </c:pt>
                <c:pt idx="21">
                  <c:v>2009</c:v>
                </c:pt>
                <c:pt idx="22">
                  <c:v>2010</c:v>
                </c:pt>
                <c:pt idx="23">
                  <c:v>2011</c:v>
                </c:pt>
                <c:pt idx="24">
                  <c:v>2012</c:v>
                </c:pt>
                <c:pt idx="25">
                  <c:v>2013</c:v>
                </c:pt>
                <c:pt idx="26">
                  <c:v>2014</c:v>
                </c:pt>
                <c:pt idx="27">
                  <c:v>2015</c:v>
                </c:pt>
                <c:pt idx="28">
                  <c:v>2016</c:v>
                </c:pt>
                <c:pt idx="29">
                  <c:v>2017</c:v>
                </c:pt>
                <c:pt idx="30">
                  <c:v>2018</c:v>
                </c:pt>
                <c:pt idx="31">
                  <c:v>2019</c:v>
                </c:pt>
                <c:pt idx="32">
                  <c:v>2020</c:v>
                </c:pt>
                <c:pt idx="33">
                  <c:v>2021</c:v>
                </c:pt>
                <c:pt idx="34">
                  <c:v>2022</c:v>
                </c:pt>
                <c:pt idx="35">
                  <c:v>2023</c:v>
                </c:pt>
                <c:pt idx="36">
                  <c:v>2024</c:v>
                </c:pt>
                <c:pt idx="37">
                  <c:v>2025</c:v>
                </c:pt>
                <c:pt idx="38">
                  <c:v>2026</c:v>
                </c:pt>
              </c:numCache>
            </c:numRef>
          </c:cat>
          <c:val>
            <c:numRef>
              <c:f>묵호동20년!$L$231:$AW$231</c:f>
              <c:numCache>
                <c:formatCode>General</c:formatCode>
                <c:ptCount val="38"/>
                <c:pt idx="19" formatCode="_-* #,##0_-;\-* #,##0_-;_-* &quot;-&quot;_-;_-@_-">
                  <c:v>4826</c:v>
                </c:pt>
                <c:pt idx="20" formatCode="#,##0_ ">
                  <c:v>4259.5</c:v>
                </c:pt>
                <c:pt idx="21" formatCode="#,##0_ ">
                  <c:v>3956.5</c:v>
                </c:pt>
                <c:pt idx="22" formatCode="#,##0_ ">
                  <c:v>3659.5</c:v>
                </c:pt>
                <c:pt idx="23" formatCode="#,##0_ ">
                  <c:v>3368</c:v>
                </c:pt>
                <c:pt idx="24" formatCode="#,##0_ ">
                  <c:v>3082.5</c:v>
                </c:pt>
                <c:pt idx="25" formatCode="#,##0_ ">
                  <c:v>2802.5</c:v>
                </c:pt>
                <c:pt idx="26" formatCode="#,##0_ ">
                  <c:v>2527.5</c:v>
                </c:pt>
                <c:pt idx="27" formatCode="#,##0_ ">
                  <c:v>2258</c:v>
                </c:pt>
                <c:pt idx="28" formatCode="#,##0_ ">
                  <c:v>1993</c:v>
                </c:pt>
                <c:pt idx="29" formatCode="#,##0_ ">
                  <c:v>1732</c:v>
                </c:pt>
                <c:pt idx="30" formatCode="#,##0_ ">
                  <c:v>1476.5</c:v>
                </c:pt>
                <c:pt idx="31" formatCode="#,##0_ ">
                  <c:v>1225</c:v>
                </c:pt>
                <c:pt idx="32" formatCode="#,##0_ ">
                  <c:v>978</c:v>
                </c:pt>
                <c:pt idx="33" formatCode="#,##0_ ">
                  <c:v>734.5</c:v>
                </c:pt>
                <c:pt idx="34" formatCode="#,##0_ ">
                  <c:v>495</c:v>
                </c:pt>
                <c:pt idx="35" formatCode="#,##0_ ">
                  <c:v>258.5</c:v>
                </c:pt>
                <c:pt idx="36" formatCode="#,##0_ ">
                  <c:v>26</c:v>
                </c:pt>
                <c:pt idx="37" formatCode="#,##0_ ">
                  <c:v>-203.5</c:v>
                </c:pt>
              </c:numCache>
            </c:numRef>
          </c:val>
        </c:ser>
        <c:ser>
          <c:idx val="6"/>
          <c:order val="4"/>
          <c:tx>
            <c:v>과거</c:v>
          </c:tx>
          <c:spPr>
            <a:ln w="12700">
              <a:solidFill>
                <a:srgbClr val="008080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008080"/>
                </a:solidFill>
                <a:prstDash val="solid"/>
              </a:ln>
            </c:spPr>
          </c:marker>
          <c:cat>
            <c:numRef>
              <c:f>묵호동20년!$L$225:$AX$225</c:f>
              <c:numCache>
                <c:formatCode>General</c:formatCode>
                <c:ptCount val="39"/>
                <c:pt idx="0">
                  <c:v>1988</c:v>
                </c:pt>
                <c:pt idx="1">
                  <c:v>1989</c:v>
                </c:pt>
                <c:pt idx="2">
                  <c:v>1990</c:v>
                </c:pt>
                <c:pt idx="3">
                  <c:v>1991</c:v>
                </c:pt>
                <c:pt idx="4">
                  <c:v>1992</c:v>
                </c:pt>
                <c:pt idx="5">
                  <c:v>1993</c:v>
                </c:pt>
                <c:pt idx="6">
                  <c:v>1994</c:v>
                </c:pt>
                <c:pt idx="7">
                  <c:v>1995</c:v>
                </c:pt>
                <c:pt idx="8">
                  <c:v>1996</c:v>
                </c:pt>
                <c:pt idx="9">
                  <c:v>1997</c:v>
                </c:pt>
                <c:pt idx="10">
                  <c:v>1998</c:v>
                </c:pt>
                <c:pt idx="11">
                  <c:v>1999</c:v>
                </c:pt>
                <c:pt idx="12">
                  <c:v>2000</c:v>
                </c:pt>
                <c:pt idx="13">
                  <c:v>2001</c:v>
                </c:pt>
                <c:pt idx="14">
                  <c:v>2002</c:v>
                </c:pt>
                <c:pt idx="15">
                  <c:v>2003</c:v>
                </c:pt>
                <c:pt idx="16">
                  <c:v>2004</c:v>
                </c:pt>
                <c:pt idx="17">
                  <c:v>2005</c:v>
                </c:pt>
                <c:pt idx="18">
                  <c:v>2006</c:v>
                </c:pt>
                <c:pt idx="19">
                  <c:v>2007</c:v>
                </c:pt>
                <c:pt idx="20">
                  <c:v>2008</c:v>
                </c:pt>
                <c:pt idx="21">
                  <c:v>2009</c:v>
                </c:pt>
                <c:pt idx="22">
                  <c:v>2010</c:v>
                </c:pt>
                <c:pt idx="23">
                  <c:v>2011</c:v>
                </c:pt>
                <c:pt idx="24">
                  <c:v>2012</c:v>
                </c:pt>
                <c:pt idx="25">
                  <c:v>2013</c:v>
                </c:pt>
                <c:pt idx="26">
                  <c:v>2014</c:v>
                </c:pt>
                <c:pt idx="27">
                  <c:v>2015</c:v>
                </c:pt>
                <c:pt idx="28">
                  <c:v>2016</c:v>
                </c:pt>
                <c:pt idx="29">
                  <c:v>2017</c:v>
                </c:pt>
                <c:pt idx="30">
                  <c:v>2018</c:v>
                </c:pt>
                <c:pt idx="31">
                  <c:v>2019</c:v>
                </c:pt>
                <c:pt idx="32">
                  <c:v>2020</c:v>
                </c:pt>
                <c:pt idx="33">
                  <c:v>2021</c:v>
                </c:pt>
                <c:pt idx="34">
                  <c:v>2022</c:v>
                </c:pt>
                <c:pt idx="35">
                  <c:v>2023</c:v>
                </c:pt>
                <c:pt idx="36">
                  <c:v>2024</c:v>
                </c:pt>
                <c:pt idx="37">
                  <c:v>2025</c:v>
                </c:pt>
                <c:pt idx="38">
                  <c:v>2026</c:v>
                </c:pt>
              </c:numCache>
            </c:numRef>
          </c:cat>
          <c:val>
            <c:numRef>
              <c:f>묵호동20년!$L$223:$AG$223</c:f>
              <c:numCache>
                <c:formatCode>_-* #,##0_-;\-* #,##0_-;_-* "-"_-;_-@_-</c:formatCode>
                <c:ptCount val="22"/>
                <c:pt idx="0" formatCode="General">
                  <c:v>11745</c:v>
                </c:pt>
                <c:pt idx="1">
                  <c:v>11162</c:v>
                </c:pt>
                <c:pt idx="2" formatCode="General">
                  <c:v>10195</c:v>
                </c:pt>
                <c:pt idx="3">
                  <c:v>10052</c:v>
                </c:pt>
                <c:pt idx="4" formatCode="General">
                  <c:v>9545</c:v>
                </c:pt>
                <c:pt idx="5">
                  <c:v>8957</c:v>
                </c:pt>
                <c:pt idx="6">
                  <c:v>8517</c:v>
                </c:pt>
                <c:pt idx="7">
                  <c:v>8096</c:v>
                </c:pt>
                <c:pt idx="8">
                  <c:v>7628</c:v>
                </c:pt>
                <c:pt idx="9">
                  <c:v>7375</c:v>
                </c:pt>
                <c:pt idx="10">
                  <c:v>7030</c:v>
                </c:pt>
                <c:pt idx="11">
                  <c:v>6695</c:v>
                </c:pt>
                <c:pt idx="12">
                  <c:v>6281</c:v>
                </c:pt>
                <c:pt idx="13">
                  <c:v>5959</c:v>
                </c:pt>
                <c:pt idx="14">
                  <c:v>5578</c:v>
                </c:pt>
                <c:pt idx="15">
                  <c:v>5267</c:v>
                </c:pt>
                <c:pt idx="16">
                  <c:v>5105</c:v>
                </c:pt>
                <c:pt idx="17">
                  <c:v>4844</c:v>
                </c:pt>
                <c:pt idx="18">
                  <c:v>4774</c:v>
                </c:pt>
                <c:pt idx="19">
                  <c:v>4826</c:v>
                </c:pt>
                <c:pt idx="20">
                  <c:v>4057</c:v>
                </c:pt>
              </c:numCache>
            </c:numRef>
          </c:val>
        </c:ser>
        <c:ser>
          <c:idx val="2"/>
          <c:order val="5"/>
          <c:tx>
            <c:v>등비</c:v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FF0000"/>
                </a:solidFill>
                <a:prstDash val="solid"/>
              </a:ln>
            </c:spPr>
          </c:marker>
          <c:val>
            <c:numRef>
              <c:f>묵호동20년!$L$228:$AW$228</c:f>
              <c:numCache>
                <c:formatCode>General</c:formatCode>
                <c:ptCount val="38"/>
                <c:pt idx="19" formatCode="_-* #,##0_-;\-* #,##0_-;_-* &quot;-&quot;_-;_-@_-">
                  <c:v>4826</c:v>
                </c:pt>
                <c:pt idx="20" formatCode="_-* #,##0_-;\-* #,##0_-;_-* &quot;-&quot;_-;_-@_-">
                  <c:v>4606</c:v>
                </c:pt>
                <c:pt idx="21" formatCode="_-* #,##0_-;\-* #,##0_-;_-* &quot;-&quot;_-;_-@_-">
                  <c:v>4395</c:v>
                </c:pt>
                <c:pt idx="22" formatCode="_-* #,##0_-;\-* #,##0_-;_-* &quot;-&quot;_-;_-@_-">
                  <c:v>4194</c:v>
                </c:pt>
                <c:pt idx="23" formatCode="_-* #,##0_-;\-* #,##0_-;_-* &quot;-&quot;_-;_-@_-">
                  <c:v>4002</c:v>
                </c:pt>
                <c:pt idx="24" formatCode="_-* #,##0_-;\-* #,##0_-;_-* &quot;-&quot;_-;_-@_-">
                  <c:v>3819</c:v>
                </c:pt>
                <c:pt idx="25" formatCode="_-* #,##0_-;\-* #,##0_-;_-* &quot;-&quot;_-;_-@_-">
                  <c:v>3644</c:v>
                </c:pt>
                <c:pt idx="26" formatCode="_-* #,##0_-;\-* #,##0_-;_-* &quot;-&quot;_-;_-@_-">
                  <c:v>3478</c:v>
                </c:pt>
                <c:pt idx="27" formatCode="_-* #,##0_-;\-* #,##0_-;_-* &quot;-&quot;_-;_-@_-">
                  <c:v>3319</c:v>
                </c:pt>
                <c:pt idx="28" formatCode="_-* #,##0_-;\-* #,##0_-;_-* &quot;-&quot;_-;_-@_-">
                  <c:v>3167</c:v>
                </c:pt>
                <c:pt idx="29" formatCode="_-* #,##0_-;\-* #,##0_-;_-* &quot;-&quot;_-;_-@_-">
                  <c:v>3022</c:v>
                </c:pt>
                <c:pt idx="30" formatCode="_-* #,##0_-;\-* #,##0_-;_-* &quot;-&quot;_-;_-@_-">
                  <c:v>2884</c:v>
                </c:pt>
                <c:pt idx="31" formatCode="_-* #,##0_-;\-* #,##0_-;_-* &quot;-&quot;_-;_-@_-">
                  <c:v>2752</c:v>
                </c:pt>
                <c:pt idx="32" formatCode="_-* #,##0_-;\-* #,##0_-;_-* &quot;-&quot;_-;_-@_-">
                  <c:v>2626</c:v>
                </c:pt>
                <c:pt idx="33" formatCode="_-* #,##0_-;\-* #,##0_-;_-* &quot;-&quot;_-;_-@_-">
                  <c:v>2506</c:v>
                </c:pt>
                <c:pt idx="34" formatCode="_-* #,##0_-;\-* #,##0_-;_-* &quot;-&quot;_-;_-@_-">
                  <c:v>2392</c:v>
                </c:pt>
                <c:pt idx="35" formatCode="_-* #,##0_-;\-* #,##0_-;_-* &quot;-&quot;_-;_-@_-">
                  <c:v>2282</c:v>
                </c:pt>
                <c:pt idx="36" formatCode="_-* #,##0_-;\-* #,##0_-;_-* &quot;-&quot;_-;_-@_-">
                  <c:v>2178</c:v>
                </c:pt>
                <c:pt idx="37" formatCode="_-* #,##0_-;\-* #,##0_-;_-* &quot;-&quot;_-;_-@_-">
                  <c:v>2078</c:v>
                </c:pt>
              </c:numCache>
            </c:numRef>
          </c:val>
        </c:ser>
        <c:marker val="1"/>
        <c:axId val="131005440"/>
        <c:axId val="130892928"/>
      </c:lineChart>
      <c:catAx>
        <c:axId val="131005440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875" b="0" i="0" u="none" strike="noStrike" baseline="0">
                    <a:solidFill>
                      <a:srgbClr val="000000"/>
                    </a:solidFill>
                    <a:latin typeface="돋움"/>
                    <a:ea typeface="돋움"/>
                    <a:cs typeface="돋움"/>
                  </a:defRPr>
                </a:pPr>
                <a:r>
                  <a:rPr altLang="en-US"/>
                  <a:t>연도</a:t>
                </a:r>
              </a:p>
            </c:rich>
          </c:tx>
          <c:layout>
            <c:manualLayout>
              <c:xMode val="edge"/>
              <c:yMode val="edge"/>
              <c:x val="0.50336346409613442"/>
              <c:y val="0.81939243336028011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maj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돋움"/>
                <a:ea typeface="돋움"/>
                <a:cs typeface="돋움"/>
              </a:defRPr>
            </a:pPr>
            <a:endParaRPr lang="ko-KR"/>
          </a:p>
        </c:txPr>
        <c:crossAx val="130892928"/>
        <c:crosses val="autoZero"/>
        <c:auto val="1"/>
        <c:lblAlgn val="ctr"/>
        <c:lblOffset val="100"/>
        <c:tickLblSkip val="2"/>
        <c:tickMarkSkip val="1"/>
      </c:catAx>
      <c:valAx>
        <c:axId val="130892928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맑은 고딕"/>
                    <a:ea typeface="맑은 고딕"/>
                    <a:cs typeface="맑은 고딕"/>
                  </a:defRPr>
                </a:pPr>
                <a:r>
                  <a:rPr lang="ko-KR" altLang="en-US" sz="875" b="0" i="0" strike="noStrike">
                    <a:solidFill>
                      <a:srgbClr val="000000"/>
                    </a:solidFill>
                    <a:latin typeface="돋움"/>
                    <a:ea typeface="돋움"/>
                  </a:rPr>
                  <a:t>인구</a:t>
                </a:r>
                <a:r>
                  <a:rPr lang="en-US" altLang="ko-KR" sz="875" b="0" i="0" strike="noStrike">
                    <a:solidFill>
                      <a:srgbClr val="000000"/>
                    </a:solidFill>
                    <a:latin typeface="돋움"/>
                    <a:ea typeface="돋움"/>
                  </a:rPr>
                  <a:t>(</a:t>
                </a:r>
                <a:r>
                  <a:rPr lang="ko-KR" altLang="en-US" sz="875" b="0" i="0" strike="noStrike">
                    <a:solidFill>
                      <a:srgbClr val="000000"/>
                    </a:solidFill>
                    <a:latin typeface="돋움"/>
                    <a:ea typeface="돋움"/>
                  </a:rPr>
                  <a:t>명</a:t>
                </a:r>
                <a:r>
                  <a:rPr lang="en-US" altLang="ko-KR" sz="875" b="0" i="0" strike="noStrike">
                    <a:solidFill>
                      <a:srgbClr val="000000"/>
                    </a:solidFill>
                    <a:latin typeface="돋움"/>
                    <a:ea typeface="돋움"/>
                  </a:rPr>
                  <a:t>)</a:t>
                </a:r>
              </a:p>
            </c:rich>
          </c:tx>
          <c:layout>
            <c:manualLayout>
              <c:xMode val="edge"/>
              <c:yMode val="edge"/>
              <c:x val="2.5784753363228687E-2"/>
              <c:y val="0.39923994291588139"/>
            </c:manualLayout>
          </c:layout>
          <c:spPr>
            <a:noFill/>
            <a:ln w="25400">
              <a:noFill/>
            </a:ln>
          </c:spPr>
        </c:title>
        <c:numFmt formatCode="#,##0_ " sourceLinked="0"/>
        <c:maj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돋움"/>
                <a:ea typeface="돋움"/>
                <a:cs typeface="돋움"/>
              </a:defRPr>
            </a:pPr>
            <a:endParaRPr lang="ko-KR"/>
          </a:p>
        </c:txPr>
        <c:crossAx val="131005440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wMode val="edge"/>
          <c:hMode val="edge"/>
          <c:x val="0.12668173204806787"/>
          <c:y val="0.89733920142111512"/>
          <c:w val="0.91479879476948922"/>
          <c:h val="0.95817570332225577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돋움"/>
              <a:ea typeface="돋움"/>
              <a:cs typeface="돋움"/>
            </a:defRPr>
          </a:pPr>
          <a:endParaRPr lang="ko-KR"/>
        </a:p>
      </c:txPr>
    </c:legend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75" b="0" i="0" u="none" strike="noStrike" baseline="0">
          <a:solidFill>
            <a:srgbClr val="000000"/>
          </a:solidFill>
          <a:latin typeface="돋움"/>
          <a:ea typeface="돋움"/>
          <a:cs typeface="돋움"/>
        </a:defRPr>
      </a:pPr>
      <a:endParaRPr lang="ko-KR"/>
    </a:p>
  </c:txPr>
  <c:printSettings>
    <c:headerFooter alignWithMargins="0"/>
    <c:pageMargins b="1" l="0.75000000000000144" r="0.75000000000000144" t="1" header="0.5" footer="0.5"/>
    <c:pageSetup paperSize="9"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ko-KR"/>
  <c:chart>
    <c:title>
      <c:tx>
        <c:rich>
          <a:bodyPr/>
          <a:lstStyle/>
          <a:p>
            <a:pPr>
              <a:defRPr sz="1175" b="1" i="0" u="none" strike="noStrike" baseline="0">
                <a:solidFill>
                  <a:srgbClr val="000000"/>
                </a:solidFill>
                <a:latin typeface="돋움"/>
                <a:ea typeface="돋움"/>
                <a:cs typeface="돋움"/>
              </a:defRPr>
            </a:pPr>
            <a:r>
              <a:rPr altLang="en-US"/>
              <a:t>천곡동</a:t>
            </a:r>
          </a:p>
        </c:rich>
      </c:tx>
      <c:layout>
        <c:manualLayout>
          <c:xMode val="edge"/>
          <c:yMode val="edge"/>
          <c:x val="0.46861010086743682"/>
          <c:y val="2.8517110266159756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0426014675815599"/>
          <c:y val="7.7946840418214203E-2"/>
          <c:w val="0.830717943524659"/>
          <c:h val="0.68060899682245579"/>
        </c:manualLayout>
      </c:layout>
      <c:lineChart>
        <c:grouping val="standard"/>
        <c:ser>
          <c:idx val="0"/>
          <c:order val="0"/>
          <c:tx>
            <c:v>등차</c:v>
          </c:tx>
          <c:spPr>
            <a:ln w="3175">
              <a:solidFill>
                <a:srgbClr val="000080"/>
              </a:solidFill>
              <a:prstDash val="solid"/>
            </a:ln>
          </c:spPr>
          <c:marker>
            <c:symbol val="diamond"/>
            <c:size val="3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천곡동20년!$L$225:$AX$225</c:f>
              <c:numCache>
                <c:formatCode>General</c:formatCode>
                <c:ptCount val="39"/>
                <c:pt idx="0">
                  <c:v>1988</c:v>
                </c:pt>
                <c:pt idx="1">
                  <c:v>1989</c:v>
                </c:pt>
                <c:pt idx="2">
                  <c:v>1990</c:v>
                </c:pt>
                <c:pt idx="3">
                  <c:v>1991</c:v>
                </c:pt>
                <c:pt idx="4">
                  <c:v>1992</c:v>
                </c:pt>
                <c:pt idx="5">
                  <c:v>1993</c:v>
                </c:pt>
                <c:pt idx="6">
                  <c:v>1994</c:v>
                </c:pt>
                <c:pt idx="7">
                  <c:v>1995</c:v>
                </c:pt>
                <c:pt idx="8">
                  <c:v>1996</c:v>
                </c:pt>
                <c:pt idx="9">
                  <c:v>1997</c:v>
                </c:pt>
                <c:pt idx="10">
                  <c:v>1998</c:v>
                </c:pt>
                <c:pt idx="11">
                  <c:v>1999</c:v>
                </c:pt>
                <c:pt idx="12">
                  <c:v>2000</c:v>
                </c:pt>
                <c:pt idx="13">
                  <c:v>2001</c:v>
                </c:pt>
                <c:pt idx="14">
                  <c:v>2002</c:v>
                </c:pt>
                <c:pt idx="15">
                  <c:v>2003</c:v>
                </c:pt>
                <c:pt idx="16">
                  <c:v>2004</c:v>
                </c:pt>
                <c:pt idx="17">
                  <c:v>2005</c:v>
                </c:pt>
                <c:pt idx="18">
                  <c:v>2006</c:v>
                </c:pt>
                <c:pt idx="19">
                  <c:v>2007</c:v>
                </c:pt>
                <c:pt idx="20">
                  <c:v>2008</c:v>
                </c:pt>
                <c:pt idx="21">
                  <c:v>2009</c:v>
                </c:pt>
                <c:pt idx="22">
                  <c:v>2010</c:v>
                </c:pt>
                <c:pt idx="23">
                  <c:v>2011</c:v>
                </c:pt>
                <c:pt idx="24">
                  <c:v>2012</c:v>
                </c:pt>
                <c:pt idx="25">
                  <c:v>2013</c:v>
                </c:pt>
                <c:pt idx="26">
                  <c:v>2014</c:v>
                </c:pt>
                <c:pt idx="27">
                  <c:v>2015</c:v>
                </c:pt>
                <c:pt idx="28">
                  <c:v>2016</c:v>
                </c:pt>
                <c:pt idx="29">
                  <c:v>2017</c:v>
                </c:pt>
                <c:pt idx="30">
                  <c:v>2018</c:v>
                </c:pt>
                <c:pt idx="31">
                  <c:v>2019</c:v>
                </c:pt>
                <c:pt idx="32">
                  <c:v>2020</c:v>
                </c:pt>
                <c:pt idx="33">
                  <c:v>2021</c:v>
                </c:pt>
                <c:pt idx="34">
                  <c:v>2022</c:v>
                </c:pt>
                <c:pt idx="35">
                  <c:v>2023</c:v>
                </c:pt>
                <c:pt idx="36">
                  <c:v>2024</c:v>
                </c:pt>
                <c:pt idx="37">
                  <c:v>2025</c:v>
                </c:pt>
                <c:pt idx="38">
                  <c:v>2026</c:v>
                </c:pt>
              </c:numCache>
            </c:numRef>
          </c:cat>
          <c:val>
            <c:numRef>
              <c:f>천곡동20년!$L$226:$AW$226</c:f>
              <c:numCache>
                <c:formatCode>General</c:formatCode>
                <c:ptCount val="38"/>
                <c:pt idx="19" formatCode="_-* #,##0_-;\-* #,##0_-;_-* &quot;-&quot;_-;_-@_-">
                  <c:v>27323</c:v>
                </c:pt>
                <c:pt idx="20" formatCode="_-* #,##0_-;\-* #,##0_-;_-* &quot;-&quot;_-;_-@_-">
                  <c:v>28269</c:v>
                </c:pt>
                <c:pt idx="21" formatCode="_-* #,##0_-;\-* #,##0_-;_-* &quot;-&quot;_-;_-@_-">
                  <c:v>29216</c:v>
                </c:pt>
                <c:pt idx="22" formatCode="_-* #,##0_-;\-* #,##0_-;_-* &quot;-&quot;_-;_-@_-">
                  <c:v>30162</c:v>
                </c:pt>
                <c:pt idx="23" formatCode="_-* #,##0_-;\-* #,##0_-;_-* &quot;-&quot;_-;_-@_-">
                  <c:v>31109</c:v>
                </c:pt>
                <c:pt idx="24" formatCode="_-* #,##0_-;\-* #,##0_-;_-* &quot;-&quot;_-;_-@_-">
                  <c:v>32055</c:v>
                </c:pt>
                <c:pt idx="25" formatCode="_-* #,##0_-;\-* #,##0_-;_-* &quot;-&quot;_-;_-@_-">
                  <c:v>33002</c:v>
                </c:pt>
                <c:pt idx="26" formatCode="_-* #,##0_-;\-* #,##0_-;_-* &quot;-&quot;_-;_-@_-">
                  <c:v>33948</c:v>
                </c:pt>
                <c:pt idx="27" formatCode="_-* #,##0_-;\-* #,##0_-;_-* &quot;-&quot;_-;_-@_-">
                  <c:v>34894</c:v>
                </c:pt>
                <c:pt idx="28" formatCode="_-* #,##0_-;\-* #,##0_-;_-* &quot;-&quot;_-;_-@_-">
                  <c:v>35841</c:v>
                </c:pt>
                <c:pt idx="29" formatCode="_-* #,##0_-;\-* #,##0_-;_-* &quot;-&quot;_-;_-@_-">
                  <c:v>36787</c:v>
                </c:pt>
                <c:pt idx="30" formatCode="_-* #,##0_-;\-* #,##0_-;_-* &quot;-&quot;_-;_-@_-">
                  <c:v>37734</c:v>
                </c:pt>
                <c:pt idx="31" formatCode="_-* #,##0_-;\-* #,##0_-;_-* &quot;-&quot;_-;_-@_-">
                  <c:v>38680</c:v>
                </c:pt>
                <c:pt idx="32" formatCode="_-* #,##0_-;\-* #,##0_-;_-* &quot;-&quot;_-;_-@_-">
                  <c:v>39626</c:v>
                </c:pt>
                <c:pt idx="33" formatCode="_-* #,##0_-;\-* #,##0_-;_-* &quot;-&quot;_-;_-@_-">
                  <c:v>40573</c:v>
                </c:pt>
                <c:pt idx="34" formatCode="_-* #,##0_-;\-* #,##0_-;_-* &quot;-&quot;_-;_-@_-">
                  <c:v>41519</c:v>
                </c:pt>
                <c:pt idx="35" formatCode="_-* #,##0_-;\-* #,##0_-;_-* &quot;-&quot;_-;_-@_-">
                  <c:v>42466</c:v>
                </c:pt>
                <c:pt idx="36" formatCode="_-* #,##0_-;\-* #,##0_-;_-* &quot;-&quot;_-;_-@_-">
                  <c:v>43412</c:v>
                </c:pt>
                <c:pt idx="37" formatCode="_-* #,##0_-;\-* #,##0_-;_-* &quot;-&quot;_-;_-@_-">
                  <c:v>44359</c:v>
                </c:pt>
              </c:numCache>
            </c:numRef>
          </c:val>
        </c:ser>
        <c:ser>
          <c:idx val="1"/>
          <c:order val="1"/>
          <c:tx>
            <c:v>최소</c:v>
          </c:tx>
          <c:spPr>
            <a:ln w="3175">
              <a:solidFill>
                <a:srgbClr val="FF00FF"/>
              </a:solidFill>
              <a:prstDash val="solid"/>
            </a:ln>
          </c:spPr>
          <c:marker>
            <c:symbol val="square"/>
            <c:size val="3"/>
            <c:spPr>
              <a:noFill/>
              <a:ln>
                <a:solidFill>
                  <a:srgbClr val="FF00FF"/>
                </a:solidFill>
                <a:prstDash val="solid"/>
              </a:ln>
            </c:spPr>
          </c:marker>
          <c:cat>
            <c:numRef>
              <c:f>천곡동20년!$L$225:$AX$225</c:f>
              <c:numCache>
                <c:formatCode>General</c:formatCode>
                <c:ptCount val="39"/>
                <c:pt idx="0">
                  <c:v>1988</c:v>
                </c:pt>
                <c:pt idx="1">
                  <c:v>1989</c:v>
                </c:pt>
                <c:pt idx="2">
                  <c:v>1990</c:v>
                </c:pt>
                <c:pt idx="3">
                  <c:v>1991</c:v>
                </c:pt>
                <c:pt idx="4">
                  <c:v>1992</c:v>
                </c:pt>
                <c:pt idx="5">
                  <c:v>1993</c:v>
                </c:pt>
                <c:pt idx="6">
                  <c:v>1994</c:v>
                </c:pt>
                <c:pt idx="7">
                  <c:v>1995</c:v>
                </c:pt>
                <c:pt idx="8">
                  <c:v>1996</c:v>
                </c:pt>
                <c:pt idx="9">
                  <c:v>1997</c:v>
                </c:pt>
                <c:pt idx="10">
                  <c:v>1998</c:v>
                </c:pt>
                <c:pt idx="11">
                  <c:v>1999</c:v>
                </c:pt>
                <c:pt idx="12">
                  <c:v>2000</c:v>
                </c:pt>
                <c:pt idx="13">
                  <c:v>2001</c:v>
                </c:pt>
                <c:pt idx="14">
                  <c:v>2002</c:v>
                </c:pt>
                <c:pt idx="15">
                  <c:v>2003</c:v>
                </c:pt>
                <c:pt idx="16">
                  <c:v>2004</c:v>
                </c:pt>
                <c:pt idx="17">
                  <c:v>2005</c:v>
                </c:pt>
                <c:pt idx="18">
                  <c:v>2006</c:v>
                </c:pt>
                <c:pt idx="19">
                  <c:v>2007</c:v>
                </c:pt>
                <c:pt idx="20">
                  <c:v>2008</c:v>
                </c:pt>
                <c:pt idx="21">
                  <c:v>2009</c:v>
                </c:pt>
                <c:pt idx="22">
                  <c:v>2010</c:v>
                </c:pt>
                <c:pt idx="23">
                  <c:v>2011</c:v>
                </c:pt>
                <c:pt idx="24">
                  <c:v>2012</c:v>
                </c:pt>
                <c:pt idx="25">
                  <c:v>2013</c:v>
                </c:pt>
                <c:pt idx="26">
                  <c:v>2014</c:v>
                </c:pt>
                <c:pt idx="27">
                  <c:v>2015</c:v>
                </c:pt>
                <c:pt idx="28">
                  <c:v>2016</c:v>
                </c:pt>
                <c:pt idx="29">
                  <c:v>2017</c:v>
                </c:pt>
                <c:pt idx="30">
                  <c:v>2018</c:v>
                </c:pt>
                <c:pt idx="31">
                  <c:v>2019</c:v>
                </c:pt>
                <c:pt idx="32">
                  <c:v>2020</c:v>
                </c:pt>
                <c:pt idx="33">
                  <c:v>2021</c:v>
                </c:pt>
                <c:pt idx="34">
                  <c:v>2022</c:v>
                </c:pt>
                <c:pt idx="35">
                  <c:v>2023</c:v>
                </c:pt>
                <c:pt idx="36">
                  <c:v>2024</c:v>
                </c:pt>
                <c:pt idx="37">
                  <c:v>2025</c:v>
                </c:pt>
                <c:pt idx="38">
                  <c:v>2026</c:v>
                </c:pt>
              </c:numCache>
            </c:numRef>
          </c:cat>
          <c:val>
            <c:numRef>
              <c:f>천곡동20년!$L$227:$AW$227</c:f>
              <c:numCache>
                <c:formatCode>General</c:formatCode>
                <c:ptCount val="38"/>
                <c:pt idx="19" formatCode="_-* #,##0_-;\-* #,##0_-;_-* &quot;-&quot;_-;_-@_-">
                  <c:v>27323</c:v>
                </c:pt>
                <c:pt idx="20" formatCode="_-* #,##0_-;\-* #,##0_-;_-* &quot;-&quot;_-;_-@_-">
                  <c:v>32672</c:v>
                </c:pt>
                <c:pt idx="21" formatCode="_-* #,##0_-;\-* #,##0_-;_-* &quot;-&quot;_-;_-@_-">
                  <c:v>33563</c:v>
                </c:pt>
                <c:pt idx="22" formatCode="_-* #,##0_-;\-* #,##0_-;_-* &quot;-&quot;_-;_-@_-">
                  <c:v>34454</c:v>
                </c:pt>
                <c:pt idx="23" formatCode="_-* #,##0_-;\-* #,##0_-;_-* &quot;-&quot;_-;_-@_-">
                  <c:v>35345</c:v>
                </c:pt>
                <c:pt idx="24" formatCode="_-* #,##0_-;\-* #,##0_-;_-* &quot;-&quot;_-;_-@_-">
                  <c:v>36236</c:v>
                </c:pt>
                <c:pt idx="25" formatCode="_-* #,##0_-;\-* #,##0_-;_-* &quot;-&quot;_-;_-@_-">
                  <c:v>37128</c:v>
                </c:pt>
                <c:pt idx="26" formatCode="_-* #,##0_-;\-* #,##0_-;_-* &quot;-&quot;_-;_-@_-">
                  <c:v>38019</c:v>
                </c:pt>
                <c:pt idx="27" formatCode="_-* #,##0_-;\-* #,##0_-;_-* &quot;-&quot;_-;_-@_-">
                  <c:v>38910</c:v>
                </c:pt>
                <c:pt idx="28" formatCode="_-* #,##0_-;\-* #,##0_-;_-* &quot;-&quot;_-;_-@_-">
                  <c:v>39801</c:v>
                </c:pt>
                <c:pt idx="29" formatCode="_-* #,##0_-;\-* #,##0_-;_-* &quot;-&quot;_-;_-@_-">
                  <c:v>40693</c:v>
                </c:pt>
                <c:pt idx="30" formatCode="_-* #,##0_-;\-* #,##0_-;_-* &quot;-&quot;_-;_-@_-">
                  <c:v>41584</c:v>
                </c:pt>
                <c:pt idx="31" formatCode="_-* #,##0_-;\-* #,##0_-;_-* &quot;-&quot;_-;_-@_-">
                  <c:v>42475</c:v>
                </c:pt>
                <c:pt idx="32" formatCode="_-* #,##0_-;\-* #,##0_-;_-* &quot;-&quot;_-;_-@_-">
                  <c:v>43366</c:v>
                </c:pt>
                <c:pt idx="33" formatCode="_-* #,##0_-;\-* #,##0_-;_-* &quot;-&quot;_-;_-@_-">
                  <c:v>44258</c:v>
                </c:pt>
                <c:pt idx="34" formatCode="_-* #,##0_-;\-* #,##0_-;_-* &quot;-&quot;_-;_-@_-">
                  <c:v>45149</c:v>
                </c:pt>
                <c:pt idx="35" formatCode="_-* #,##0_-;\-* #,##0_-;_-* &quot;-&quot;_-;_-@_-">
                  <c:v>46040</c:v>
                </c:pt>
                <c:pt idx="36" formatCode="_-* #,##0_-;\-* #,##0_-;_-* &quot;-&quot;_-;_-@_-">
                  <c:v>46931</c:v>
                </c:pt>
                <c:pt idx="37" formatCode="_-* #,##0_-;\-* #,##0_-;_-* &quot;-&quot;_-;_-@_-">
                  <c:v>47823</c:v>
                </c:pt>
              </c:numCache>
            </c:numRef>
          </c:val>
        </c:ser>
        <c:ser>
          <c:idx val="4"/>
          <c:order val="2"/>
          <c:tx>
            <c:v>로지스틱</c:v>
          </c:tx>
          <c:spPr>
            <a:ln w="3175">
              <a:solidFill>
                <a:srgbClr val="800080"/>
              </a:solidFill>
              <a:prstDash val="solid"/>
            </a:ln>
          </c:spPr>
          <c:marker>
            <c:symbol val="circle"/>
            <c:size val="3"/>
            <c:spPr>
              <a:noFill/>
              <a:ln>
                <a:solidFill>
                  <a:srgbClr val="800080"/>
                </a:solidFill>
                <a:prstDash val="solid"/>
              </a:ln>
            </c:spPr>
          </c:marker>
          <c:cat>
            <c:numRef>
              <c:f>천곡동20년!$L$225:$AX$225</c:f>
              <c:numCache>
                <c:formatCode>General</c:formatCode>
                <c:ptCount val="39"/>
                <c:pt idx="0">
                  <c:v>1988</c:v>
                </c:pt>
                <c:pt idx="1">
                  <c:v>1989</c:v>
                </c:pt>
                <c:pt idx="2">
                  <c:v>1990</c:v>
                </c:pt>
                <c:pt idx="3">
                  <c:v>1991</c:v>
                </c:pt>
                <c:pt idx="4">
                  <c:v>1992</c:v>
                </c:pt>
                <c:pt idx="5">
                  <c:v>1993</c:v>
                </c:pt>
                <c:pt idx="6">
                  <c:v>1994</c:v>
                </c:pt>
                <c:pt idx="7">
                  <c:v>1995</c:v>
                </c:pt>
                <c:pt idx="8">
                  <c:v>1996</c:v>
                </c:pt>
                <c:pt idx="9">
                  <c:v>1997</c:v>
                </c:pt>
                <c:pt idx="10">
                  <c:v>1998</c:v>
                </c:pt>
                <c:pt idx="11">
                  <c:v>1999</c:v>
                </c:pt>
                <c:pt idx="12">
                  <c:v>2000</c:v>
                </c:pt>
                <c:pt idx="13">
                  <c:v>2001</c:v>
                </c:pt>
                <c:pt idx="14">
                  <c:v>2002</c:v>
                </c:pt>
                <c:pt idx="15">
                  <c:v>2003</c:v>
                </c:pt>
                <c:pt idx="16">
                  <c:v>2004</c:v>
                </c:pt>
                <c:pt idx="17">
                  <c:v>2005</c:v>
                </c:pt>
                <c:pt idx="18">
                  <c:v>2006</c:v>
                </c:pt>
                <c:pt idx="19">
                  <c:v>2007</c:v>
                </c:pt>
                <c:pt idx="20">
                  <c:v>2008</c:v>
                </c:pt>
                <c:pt idx="21">
                  <c:v>2009</c:v>
                </c:pt>
                <c:pt idx="22">
                  <c:v>2010</c:v>
                </c:pt>
                <c:pt idx="23">
                  <c:v>2011</c:v>
                </c:pt>
                <c:pt idx="24">
                  <c:v>2012</c:v>
                </c:pt>
                <c:pt idx="25">
                  <c:v>2013</c:v>
                </c:pt>
                <c:pt idx="26">
                  <c:v>2014</c:v>
                </c:pt>
                <c:pt idx="27">
                  <c:v>2015</c:v>
                </c:pt>
                <c:pt idx="28">
                  <c:v>2016</c:v>
                </c:pt>
                <c:pt idx="29">
                  <c:v>2017</c:v>
                </c:pt>
                <c:pt idx="30">
                  <c:v>2018</c:v>
                </c:pt>
                <c:pt idx="31">
                  <c:v>2019</c:v>
                </c:pt>
                <c:pt idx="32">
                  <c:v>2020</c:v>
                </c:pt>
                <c:pt idx="33">
                  <c:v>2021</c:v>
                </c:pt>
                <c:pt idx="34">
                  <c:v>2022</c:v>
                </c:pt>
                <c:pt idx="35">
                  <c:v>2023</c:v>
                </c:pt>
                <c:pt idx="36">
                  <c:v>2024</c:v>
                </c:pt>
                <c:pt idx="37">
                  <c:v>2025</c:v>
                </c:pt>
                <c:pt idx="38">
                  <c:v>2026</c:v>
                </c:pt>
              </c:numCache>
            </c:numRef>
          </c:cat>
          <c:val>
            <c:numRef>
              <c:f>천곡동20년!$L$230:$AW$230</c:f>
              <c:numCache>
                <c:formatCode>General</c:formatCode>
                <c:ptCount val="38"/>
                <c:pt idx="19" formatCode="_-* #,##0_-;\-* #,##0_-;_-* &quot;-&quot;_-;_-@_-">
                  <c:v>27323</c:v>
                </c:pt>
                <c:pt idx="20" formatCode="_-* #,##0_-;\-* #,##0_-;_-* &quot;-&quot;_-;_-@_-">
                  <c:v>33535</c:v>
                </c:pt>
                <c:pt idx="21" formatCode="_-* #,##0_-;\-* #,##0_-;_-* &quot;-&quot;_-;_-@_-">
                  <c:v>34523</c:v>
                </c:pt>
                <c:pt idx="22" formatCode="_-* #,##0_-;\-* #,##0_-;_-* &quot;-&quot;_-;_-@_-">
                  <c:v>35494</c:v>
                </c:pt>
                <c:pt idx="23" formatCode="_-* #,##0_-;\-* #,##0_-;_-* &quot;-&quot;_-;_-@_-">
                  <c:v>36447</c:v>
                </c:pt>
                <c:pt idx="24" formatCode="_-* #,##0_-;\-* #,##0_-;_-* &quot;-&quot;_-;_-@_-">
                  <c:v>37379</c:v>
                </c:pt>
                <c:pt idx="25" formatCode="_-* #,##0_-;\-* #,##0_-;_-* &quot;-&quot;_-;_-@_-">
                  <c:v>38288</c:v>
                </c:pt>
                <c:pt idx="26" formatCode="_-* #,##0_-;\-* #,##0_-;_-* &quot;-&quot;_-;_-@_-">
                  <c:v>39173</c:v>
                </c:pt>
                <c:pt idx="27" formatCode="_-* #,##0_-;\-* #,##0_-;_-* &quot;-&quot;_-;_-@_-">
                  <c:v>40033</c:v>
                </c:pt>
                <c:pt idx="28" formatCode="_-* #,##0_-;\-* #,##0_-;_-* &quot;-&quot;_-;_-@_-">
                  <c:v>40866</c:v>
                </c:pt>
                <c:pt idx="29" formatCode="_-* #,##0_-;\-* #,##0_-;_-* &quot;-&quot;_-;_-@_-">
                  <c:v>41672</c:v>
                </c:pt>
                <c:pt idx="30" formatCode="_-* #,##0_-;\-* #,##0_-;_-* &quot;-&quot;_-;_-@_-">
                  <c:v>42449</c:v>
                </c:pt>
                <c:pt idx="31" formatCode="_-* #,##0_-;\-* #,##0_-;_-* &quot;-&quot;_-;_-@_-">
                  <c:v>43198</c:v>
                </c:pt>
                <c:pt idx="32" formatCode="_-* #,##0_-;\-* #,##0_-;_-* &quot;-&quot;_-;_-@_-">
                  <c:v>43917</c:v>
                </c:pt>
                <c:pt idx="33" formatCode="_-* #,##0_-;\-* #,##0_-;_-* &quot;-&quot;_-;_-@_-">
                  <c:v>44607</c:v>
                </c:pt>
                <c:pt idx="34" formatCode="_-* #,##0_-;\-* #,##0_-;_-* &quot;-&quot;_-;_-@_-">
                  <c:v>45268</c:v>
                </c:pt>
                <c:pt idx="35" formatCode="_-* #,##0_-;\-* #,##0_-;_-* &quot;-&quot;_-;_-@_-">
                  <c:v>45899</c:v>
                </c:pt>
                <c:pt idx="36" formatCode="_-* #,##0_-;\-* #,##0_-;_-* &quot;-&quot;_-;_-@_-">
                  <c:v>46502</c:v>
                </c:pt>
                <c:pt idx="37" formatCode="_-* #,##0_-;\-* #,##0_-;_-* &quot;-&quot;_-;_-@_-">
                  <c:v>47076</c:v>
                </c:pt>
              </c:numCache>
            </c:numRef>
          </c:val>
        </c:ser>
        <c:ser>
          <c:idx val="5"/>
          <c:order val="3"/>
          <c:tx>
            <c:v>평균(최대최소제외)</c:v>
          </c:tx>
          <c:spPr>
            <a:ln w="3175">
              <a:solidFill>
                <a:srgbClr val="800000"/>
              </a:solidFill>
              <a:prstDash val="sysDash"/>
            </a:ln>
          </c:spPr>
          <c:marker>
            <c:symbol val="circle"/>
            <c:size val="3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천곡동20년!$L$225:$AX$225</c:f>
              <c:numCache>
                <c:formatCode>General</c:formatCode>
                <c:ptCount val="39"/>
                <c:pt idx="0">
                  <c:v>1988</c:v>
                </c:pt>
                <c:pt idx="1">
                  <c:v>1989</c:v>
                </c:pt>
                <c:pt idx="2">
                  <c:v>1990</c:v>
                </c:pt>
                <c:pt idx="3">
                  <c:v>1991</c:v>
                </c:pt>
                <c:pt idx="4">
                  <c:v>1992</c:v>
                </c:pt>
                <c:pt idx="5">
                  <c:v>1993</c:v>
                </c:pt>
                <c:pt idx="6">
                  <c:v>1994</c:v>
                </c:pt>
                <c:pt idx="7">
                  <c:v>1995</c:v>
                </c:pt>
                <c:pt idx="8">
                  <c:v>1996</c:v>
                </c:pt>
                <c:pt idx="9">
                  <c:v>1997</c:v>
                </c:pt>
                <c:pt idx="10">
                  <c:v>1998</c:v>
                </c:pt>
                <c:pt idx="11">
                  <c:v>1999</c:v>
                </c:pt>
                <c:pt idx="12">
                  <c:v>2000</c:v>
                </c:pt>
                <c:pt idx="13">
                  <c:v>2001</c:v>
                </c:pt>
                <c:pt idx="14">
                  <c:v>2002</c:v>
                </c:pt>
                <c:pt idx="15">
                  <c:v>2003</c:v>
                </c:pt>
                <c:pt idx="16">
                  <c:v>2004</c:v>
                </c:pt>
                <c:pt idx="17">
                  <c:v>2005</c:v>
                </c:pt>
                <c:pt idx="18">
                  <c:v>2006</c:v>
                </c:pt>
                <c:pt idx="19">
                  <c:v>2007</c:v>
                </c:pt>
                <c:pt idx="20">
                  <c:v>2008</c:v>
                </c:pt>
                <c:pt idx="21">
                  <c:v>2009</c:v>
                </c:pt>
                <c:pt idx="22">
                  <c:v>2010</c:v>
                </c:pt>
                <c:pt idx="23">
                  <c:v>2011</c:v>
                </c:pt>
                <c:pt idx="24">
                  <c:v>2012</c:v>
                </c:pt>
                <c:pt idx="25">
                  <c:v>2013</c:v>
                </c:pt>
                <c:pt idx="26">
                  <c:v>2014</c:v>
                </c:pt>
                <c:pt idx="27">
                  <c:v>2015</c:v>
                </c:pt>
                <c:pt idx="28">
                  <c:v>2016</c:v>
                </c:pt>
                <c:pt idx="29">
                  <c:v>2017</c:v>
                </c:pt>
                <c:pt idx="30">
                  <c:v>2018</c:v>
                </c:pt>
                <c:pt idx="31">
                  <c:v>2019</c:v>
                </c:pt>
                <c:pt idx="32">
                  <c:v>2020</c:v>
                </c:pt>
                <c:pt idx="33">
                  <c:v>2021</c:v>
                </c:pt>
                <c:pt idx="34">
                  <c:v>2022</c:v>
                </c:pt>
                <c:pt idx="35">
                  <c:v>2023</c:v>
                </c:pt>
                <c:pt idx="36">
                  <c:v>2024</c:v>
                </c:pt>
                <c:pt idx="37">
                  <c:v>2025</c:v>
                </c:pt>
                <c:pt idx="38">
                  <c:v>2026</c:v>
                </c:pt>
              </c:numCache>
            </c:numRef>
          </c:cat>
          <c:val>
            <c:numRef>
              <c:f>천곡동20년!$L$231:$AW$231</c:f>
              <c:numCache>
                <c:formatCode>General</c:formatCode>
                <c:ptCount val="38"/>
                <c:pt idx="19" formatCode="_-* #,##0_-;\-* #,##0_-;_-* &quot;-&quot;_-;_-@_-">
                  <c:v>27323</c:v>
                </c:pt>
                <c:pt idx="20" formatCode="#,##0_ ">
                  <c:v>30792.5</c:v>
                </c:pt>
                <c:pt idx="21" formatCode="#,##0_ ">
                  <c:v>32078</c:v>
                </c:pt>
                <c:pt idx="22" formatCode="#,##0_ ">
                  <c:v>33412.5</c:v>
                </c:pt>
                <c:pt idx="23" formatCode="#,##0_ ">
                  <c:v>34799</c:v>
                </c:pt>
                <c:pt idx="24" formatCode="#,##0_ ">
                  <c:v>36240</c:v>
                </c:pt>
                <c:pt idx="25" formatCode="#,##0_ ">
                  <c:v>37708</c:v>
                </c:pt>
                <c:pt idx="26" formatCode="#,##0_ ">
                  <c:v>38596</c:v>
                </c:pt>
                <c:pt idx="27" formatCode="#,##0_ ">
                  <c:v>39471.5</c:v>
                </c:pt>
                <c:pt idx="28" formatCode="#,##0_ ">
                  <c:v>40333.5</c:v>
                </c:pt>
                <c:pt idx="29" formatCode="#,##0_ ">
                  <c:v>41182.5</c:v>
                </c:pt>
                <c:pt idx="30" formatCode="#,##0_ ">
                  <c:v>42016.5</c:v>
                </c:pt>
                <c:pt idx="31" formatCode="#,##0_ ">
                  <c:v>42836.5</c:v>
                </c:pt>
                <c:pt idx="32" formatCode="#,##0_ ">
                  <c:v>43641.5</c:v>
                </c:pt>
                <c:pt idx="33" formatCode="#,##0_ ">
                  <c:v>44432.5</c:v>
                </c:pt>
                <c:pt idx="34" formatCode="#,##0_ ">
                  <c:v>45208.5</c:v>
                </c:pt>
                <c:pt idx="35" formatCode="#,##0_ ">
                  <c:v>45969.5</c:v>
                </c:pt>
                <c:pt idx="36" formatCode="#,##0_ ">
                  <c:v>46716.5</c:v>
                </c:pt>
                <c:pt idx="37" formatCode="#,##0_ ">
                  <c:v>47449.5</c:v>
                </c:pt>
              </c:numCache>
            </c:numRef>
          </c:val>
        </c:ser>
        <c:ser>
          <c:idx val="6"/>
          <c:order val="4"/>
          <c:tx>
            <c:v>과거</c:v>
          </c:tx>
          <c:spPr>
            <a:ln w="12700">
              <a:solidFill>
                <a:srgbClr val="008080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008080"/>
                </a:solidFill>
                <a:prstDash val="solid"/>
              </a:ln>
            </c:spPr>
          </c:marker>
          <c:cat>
            <c:numRef>
              <c:f>천곡동20년!$L$225:$AX$225</c:f>
              <c:numCache>
                <c:formatCode>General</c:formatCode>
                <c:ptCount val="39"/>
                <c:pt idx="0">
                  <c:v>1988</c:v>
                </c:pt>
                <c:pt idx="1">
                  <c:v>1989</c:v>
                </c:pt>
                <c:pt idx="2">
                  <c:v>1990</c:v>
                </c:pt>
                <c:pt idx="3">
                  <c:v>1991</c:v>
                </c:pt>
                <c:pt idx="4">
                  <c:v>1992</c:v>
                </c:pt>
                <c:pt idx="5">
                  <c:v>1993</c:v>
                </c:pt>
                <c:pt idx="6">
                  <c:v>1994</c:v>
                </c:pt>
                <c:pt idx="7">
                  <c:v>1995</c:v>
                </c:pt>
                <c:pt idx="8">
                  <c:v>1996</c:v>
                </c:pt>
                <c:pt idx="9">
                  <c:v>1997</c:v>
                </c:pt>
                <c:pt idx="10">
                  <c:v>1998</c:v>
                </c:pt>
                <c:pt idx="11">
                  <c:v>1999</c:v>
                </c:pt>
                <c:pt idx="12">
                  <c:v>2000</c:v>
                </c:pt>
                <c:pt idx="13">
                  <c:v>2001</c:v>
                </c:pt>
                <c:pt idx="14">
                  <c:v>2002</c:v>
                </c:pt>
                <c:pt idx="15">
                  <c:v>2003</c:v>
                </c:pt>
                <c:pt idx="16">
                  <c:v>2004</c:v>
                </c:pt>
                <c:pt idx="17">
                  <c:v>2005</c:v>
                </c:pt>
                <c:pt idx="18">
                  <c:v>2006</c:v>
                </c:pt>
                <c:pt idx="19">
                  <c:v>2007</c:v>
                </c:pt>
                <c:pt idx="20">
                  <c:v>2008</c:v>
                </c:pt>
                <c:pt idx="21">
                  <c:v>2009</c:v>
                </c:pt>
                <c:pt idx="22">
                  <c:v>2010</c:v>
                </c:pt>
                <c:pt idx="23">
                  <c:v>2011</c:v>
                </c:pt>
                <c:pt idx="24">
                  <c:v>2012</c:v>
                </c:pt>
                <c:pt idx="25">
                  <c:v>2013</c:v>
                </c:pt>
                <c:pt idx="26">
                  <c:v>2014</c:v>
                </c:pt>
                <c:pt idx="27">
                  <c:v>2015</c:v>
                </c:pt>
                <c:pt idx="28">
                  <c:v>2016</c:v>
                </c:pt>
                <c:pt idx="29">
                  <c:v>2017</c:v>
                </c:pt>
                <c:pt idx="30">
                  <c:v>2018</c:v>
                </c:pt>
                <c:pt idx="31">
                  <c:v>2019</c:v>
                </c:pt>
                <c:pt idx="32">
                  <c:v>2020</c:v>
                </c:pt>
                <c:pt idx="33">
                  <c:v>2021</c:v>
                </c:pt>
                <c:pt idx="34">
                  <c:v>2022</c:v>
                </c:pt>
                <c:pt idx="35">
                  <c:v>2023</c:v>
                </c:pt>
                <c:pt idx="36">
                  <c:v>2024</c:v>
                </c:pt>
                <c:pt idx="37">
                  <c:v>2025</c:v>
                </c:pt>
                <c:pt idx="38">
                  <c:v>2026</c:v>
                </c:pt>
              </c:numCache>
            </c:numRef>
          </c:cat>
          <c:val>
            <c:numRef>
              <c:f>천곡동20년!$L$223:$AG$223</c:f>
              <c:numCache>
                <c:formatCode>_-* #,##0_-;\-* #,##0_-;_-* "-"_-;_-@_-</c:formatCode>
                <c:ptCount val="22"/>
                <c:pt idx="0" formatCode="General">
                  <c:v>9341</c:v>
                </c:pt>
                <c:pt idx="1">
                  <c:v>9501</c:v>
                </c:pt>
                <c:pt idx="2" formatCode="General">
                  <c:v>11719</c:v>
                </c:pt>
                <c:pt idx="3">
                  <c:v>15093</c:v>
                </c:pt>
                <c:pt idx="4" formatCode="General">
                  <c:v>19308</c:v>
                </c:pt>
                <c:pt idx="5">
                  <c:v>22194</c:v>
                </c:pt>
                <c:pt idx="6">
                  <c:v>24956</c:v>
                </c:pt>
                <c:pt idx="7">
                  <c:v>25717</c:v>
                </c:pt>
                <c:pt idx="8">
                  <c:v>27066</c:v>
                </c:pt>
                <c:pt idx="9">
                  <c:v>27986</c:v>
                </c:pt>
                <c:pt idx="10">
                  <c:v>28065</c:v>
                </c:pt>
                <c:pt idx="11">
                  <c:v>27645</c:v>
                </c:pt>
                <c:pt idx="12">
                  <c:v>27936</c:v>
                </c:pt>
                <c:pt idx="13">
                  <c:v>27280</c:v>
                </c:pt>
                <c:pt idx="14">
                  <c:v>26476</c:v>
                </c:pt>
                <c:pt idx="15">
                  <c:v>27113</c:v>
                </c:pt>
                <c:pt idx="16">
                  <c:v>27168</c:v>
                </c:pt>
                <c:pt idx="17">
                  <c:v>27044</c:v>
                </c:pt>
                <c:pt idx="18">
                  <c:v>27340</c:v>
                </c:pt>
                <c:pt idx="19">
                  <c:v>27323</c:v>
                </c:pt>
              </c:numCache>
            </c:numRef>
          </c:val>
        </c:ser>
        <c:ser>
          <c:idx val="2"/>
          <c:order val="5"/>
          <c:tx>
            <c:v>등비</c:v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FF0000"/>
                </a:solidFill>
                <a:prstDash val="solid"/>
              </a:ln>
            </c:spPr>
          </c:marker>
          <c:val>
            <c:numRef>
              <c:f>천곡동20년!$L$228:$AW$228</c:f>
              <c:numCache>
                <c:formatCode>General</c:formatCode>
                <c:ptCount val="38"/>
                <c:pt idx="19" formatCode="_-* #,##0_-;\-* #,##0_-;_-* &quot;-&quot;_-;_-@_-">
                  <c:v>27323</c:v>
                </c:pt>
                <c:pt idx="20" formatCode="_-* #,##0_-;\-* #,##0_-;_-* &quot;-&quot;_-;_-@_-">
                  <c:v>28913</c:v>
                </c:pt>
                <c:pt idx="21" formatCode="_-* #,##0_-;\-* #,##0_-;_-* &quot;-&quot;_-;_-@_-">
                  <c:v>30593</c:v>
                </c:pt>
                <c:pt idx="22" formatCode="_-* #,##0_-;\-* #,##0_-;_-* &quot;-&quot;_-;_-@_-">
                  <c:v>32371</c:v>
                </c:pt>
                <c:pt idx="23" formatCode="_-* #,##0_-;\-* #,##0_-;_-* &quot;-&quot;_-;_-@_-">
                  <c:v>34253</c:v>
                </c:pt>
                <c:pt idx="24" formatCode="_-* #,##0_-;\-* #,##0_-;_-* &quot;-&quot;_-;_-@_-">
                  <c:v>36244</c:v>
                </c:pt>
                <c:pt idx="25" formatCode="_-* #,##0_-;\-* #,##0_-;_-* &quot;-&quot;_-;_-@_-">
                  <c:v>38350</c:v>
                </c:pt>
                <c:pt idx="26" formatCode="_-* #,##0_-;\-* #,##0_-;_-* &quot;-&quot;_-;_-@_-">
                  <c:v>40579</c:v>
                </c:pt>
                <c:pt idx="27" formatCode="_-* #,##0_-;\-* #,##0_-;_-* &quot;-&quot;_-;_-@_-">
                  <c:v>42937</c:v>
                </c:pt>
                <c:pt idx="28" formatCode="_-* #,##0_-;\-* #,##0_-;_-* &quot;-&quot;_-;_-@_-">
                  <c:v>45433</c:v>
                </c:pt>
                <c:pt idx="29" formatCode="_-* #,##0_-;\-* #,##0_-;_-* &quot;-&quot;_-;_-@_-">
                  <c:v>48074</c:v>
                </c:pt>
                <c:pt idx="30" formatCode="_-* #,##0_-;\-* #,##0_-;_-* &quot;-&quot;_-;_-@_-">
                  <c:v>50868</c:v>
                </c:pt>
                <c:pt idx="31" formatCode="_-* #,##0_-;\-* #,##0_-;_-* &quot;-&quot;_-;_-@_-">
                  <c:v>53824</c:v>
                </c:pt>
                <c:pt idx="32" formatCode="_-* #,##0_-;\-* #,##0_-;_-* &quot;-&quot;_-;_-@_-">
                  <c:v>56952</c:v>
                </c:pt>
                <c:pt idx="33" formatCode="_-* #,##0_-;\-* #,##0_-;_-* &quot;-&quot;_-;_-@_-">
                  <c:v>60262</c:v>
                </c:pt>
                <c:pt idx="34" formatCode="_-* #,##0_-;\-* #,##0_-;_-* &quot;-&quot;_-;_-@_-">
                  <c:v>63765</c:v>
                </c:pt>
                <c:pt idx="35" formatCode="_-* #,##0_-;\-* #,##0_-;_-* &quot;-&quot;_-;_-@_-">
                  <c:v>67471</c:v>
                </c:pt>
                <c:pt idx="36" formatCode="_-* #,##0_-;\-* #,##0_-;_-* &quot;-&quot;_-;_-@_-">
                  <c:v>71392</c:v>
                </c:pt>
                <c:pt idx="37" formatCode="_-* #,##0_-;\-* #,##0_-;_-* &quot;-&quot;_-;_-@_-">
                  <c:v>75541</c:v>
                </c:pt>
              </c:numCache>
            </c:numRef>
          </c:val>
        </c:ser>
        <c:marker val="1"/>
        <c:axId val="126761600"/>
        <c:axId val="126776448"/>
      </c:lineChart>
      <c:catAx>
        <c:axId val="126761600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875" b="0" i="0" u="none" strike="noStrike" baseline="0">
                    <a:solidFill>
                      <a:srgbClr val="000000"/>
                    </a:solidFill>
                    <a:latin typeface="돋움"/>
                    <a:ea typeface="돋움"/>
                    <a:cs typeface="돋움"/>
                  </a:defRPr>
                </a:pPr>
                <a:r>
                  <a:rPr altLang="en-US"/>
                  <a:t>연도</a:t>
                </a:r>
              </a:p>
            </c:rich>
          </c:tx>
          <c:layout>
            <c:manualLayout>
              <c:xMode val="edge"/>
              <c:yMode val="edge"/>
              <c:x val="0.50336346409613442"/>
              <c:y val="0.80988672993822397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maj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돋움"/>
                <a:ea typeface="돋움"/>
                <a:cs typeface="돋움"/>
              </a:defRPr>
            </a:pPr>
            <a:endParaRPr lang="ko-KR"/>
          </a:p>
        </c:txPr>
        <c:crossAx val="126776448"/>
        <c:crosses val="autoZero"/>
        <c:auto val="1"/>
        <c:lblAlgn val="ctr"/>
        <c:lblOffset val="100"/>
        <c:tickLblSkip val="2"/>
        <c:tickMarkSkip val="1"/>
      </c:catAx>
      <c:valAx>
        <c:axId val="126776448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맑은 고딕"/>
                    <a:ea typeface="맑은 고딕"/>
                    <a:cs typeface="맑은 고딕"/>
                  </a:defRPr>
                </a:pPr>
                <a:r>
                  <a:rPr lang="ko-KR" altLang="en-US" sz="875" b="0" i="0" strike="noStrike">
                    <a:solidFill>
                      <a:srgbClr val="000000"/>
                    </a:solidFill>
                    <a:latin typeface="돋움"/>
                    <a:ea typeface="돋움"/>
                  </a:rPr>
                  <a:t>인구</a:t>
                </a:r>
                <a:r>
                  <a:rPr lang="en-US" altLang="ko-KR" sz="875" b="0" i="0" strike="noStrike">
                    <a:solidFill>
                      <a:srgbClr val="000000"/>
                    </a:solidFill>
                    <a:latin typeface="돋움"/>
                    <a:ea typeface="돋움"/>
                  </a:rPr>
                  <a:t>(</a:t>
                </a:r>
                <a:r>
                  <a:rPr lang="ko-KR" altLang="en-US" sz="875" b="0" i="0" strike="noStrike">
                    <a:solidFill>
                      <a:srgbClr val="000000"/>
                    </a:solidFill>
                    <a:latin typeface="돋움"/>
                    <a:ea typeface="돋움"/>
                  </a:rPr>
                  <a:t>명</a:t>
                </a:r>
                <a:r>
                  <a:rPr lang="en-US" altLang="ko-KR" sz="875" b="0" i="0" strike="noStrike">
                    <a:solidFill>
                      <a:srgbClr val="000000"/>
                    </a:solidFill>
                    <a:latin typeface="돋움"/>
                    <a:ea typeface="돋움"/>
                  </a:rPr>
                  <a:t>)</a:t>
                </a:r>
              </a:p>
            </c:rich>
          </c:tx>
          <c:layout>
            <c:manualLayout>
              <c:xMode val="edge"/>
              <c:yMode val="edge"/>
              <c:x val="2.6905829596412592E-2"/>
              <c:y val="0.37072283264972172"/>
            </c:manualLayout>
          </c:layout>
          <c:spPr>
            <a:noFill/>
            <a:ln w="25400">
              <a:noFill/>
            </a:ln>
          </c:spPr>
        </c:title>
        <c:numFmt formatCode="#,##0_ " sourceLinked="0"/>
        <c:maj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돋움"/>
                <a:ea typeface="돋움"/>
                <a:cs typeface="돋움"/>
              </a:defRPr>
            </a:pPr>
            <a:endParaRPr lang="ko-KR"/>
          </a:p>
        </c:txPr>
        <c:crossAx val="126761600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wMode val="edge"/>
          <c:hMode val="edge"/>
          <c:x val="0.13565034191353867"/>
          <c:y val="0.89733920142111512"/>
          <c:w val="0.92376740463495877"/>
          <c:h val="0.95817570332225577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돋움"/>
              <a:ea typeface="돋움"/>
              <a:cs typeface="돋움"/>
            </a:defRPr>
          </a:pPr>
          <a:endParaRPr lang="ko-KR"/>
        </a:p>
      </c:txPr>
    </c:legend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75" b="0" i="0" u="none" strike="noStrike" baseline="0">
          <a:solidFill>
            <a:srgbClr val="000000"/>
          </a:solidFill>
          <a:latin typeface="돋움"/>
          <a:ea typeface="돋움"/>
          <a:cs typeface="돋움"/>
        </a:defRPr>
      </a:pPr>
      <a:endParaRPr lang="ko-KR"/>
    </a:p>
  </c:txPr>
  <c:printSettings>
    <c:headerFooter alignWithMargins="0"/>
    <c:pageMargins b="1" l="0.75000000000000144" r="0.75000000000000144" t="1" header="0.5" footer="0.5"/>
    <c:pageSetup paperSize="9" orientation="landscape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ko-KR"/>
  <c:chart>
    <c:title>
      <c:tx>
        <c:rich>
          <a:bodyPr/>
          <a:lstStyle/>
          <a:p>
            <a:pPr>
              <a:defRPr sz="1175" b="1" i="0" u="none" strike="noStrike" baseline="0">
                <a:solidFill>
                  <a:srgbClr val="000000"/>
                </a:solidFill>
                <a:latin typeface="돋움"/>
                <a:ea typeface="돋움"/>
                <a:cs typeface="돋움"/>
              </a:defRPr>
            </a:pPr>
            <a:r>
              <a:rPr altLang="en-US"/>
              <a:t>묵호동</a:t>
            </a:r>
          </a:p>
        </c:rich>
      </c:tx>
      <c:layout>
        <c:manualLayout>
          <c:xMode val="edge"/>
          <c:yMode val="edge"/>
          <c:x val="0.46861010086743682"/>
          <c:y val="2.8517110266159756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0426014675815599"/>
          <c:y val="9.3155980012012529E-2"/>
          <c:w val="0.830717943524659"/>
          <c:h val="0.71102727601005311"/>
        </c:manualLayout>
      </c:layout>
      <c:lineChart>
        <c:grouping val="standard"/>
        <c:ser>
          <c:idx val="0"/>
          <c:order val="0"/>
          <c:tx>
            <c:v>등차</c:v>
          </c:tx>
          <c:spPr>
            <a:ln w="3175">
              <a:solidFill>
                <a:srgbClr val="000080"/>
              </a:solidFill>
              <a:prstDash val="solid"/>
            </a:ln>
          </c:spPr>
          <c:marker>
            <c:symbol val="diamond"/>
            <c:size val="3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묵호동10!$L$181:$AO$181</c:f>
              <c:numCache>
                <c:formatCode>General</c:formatCode>
                <c:ptCount val="30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  <c:pt idx="22">
                  <c:v>2019</c:v>
                </c:pt>
                <c:pt idx="23">
                  <c:v>2020</c:v>
                </c:pt>
                <c:pt idx="24">
                  <c:v>2021</c:v>
                </c:pt>
                <c:pt idx="25">
                  <c:v>2022</c:v>
                </c:pt>
                <c:pt idx="26">
                  <c:v>2023</c:v>
                </c:pt>
                <c:pt idx="27">
                  <c:v>2024</c:v>
                </c:pt>
                <c:pt idx="28">
                  <c:v>2025</c:v>
                </c:pt>
                <c:pt idx="29">
                  <c:v>2026</c:v>
                </c:pt>
              </c:numCache>
            </c:numRef>
          </c:cat>
          <c:val>
            <c:numRef>
              <c:f>묵호동10!$L$182:$AN$182</c:f>
              <c:numCache>
                <c:formatCode>General</c:formatCode>
                <c:ptCount val="29"/>
                <c:pt idx="10" formatCode="_-* #,##0_-;\-* #,##0_-;_-* &quot;-&quot;_-;_-@_-">
                  <c:v>4826</c:v>
                </c:pt>
                <c:pt idx="11" formatCode="_-* #,##0_-;\-* #,##0_-;_-* &quot;-&quot;_-;_-@_-">
                  <c:v>4571</c:v>
                </c:pt>
                <c:pt idx="12" formatCode="_-* #,##0_-;\-* #,##0_-;_-* &quot;-&quot;_-;_-@_-">
                  <c:v>4316</c:v>
                </c:pt>
                <c:pt idx="13" formatCode="_-* #,##0_-;\-* #,##0_-;_-* &quot;-&quot;_-;_-@_-">
                  <c:v>4061</c:v>
                </c:pt>
                <c:pt idx="14" formatCode="_-* #,##0_-;\-* #,##0_-;_-* &quot;-&quot;_-;_-@_-">
                  <c:v>3806</c:v>
                </c:pt>
                <c:pt idx="15" formatCode="_-* #,##0_-;\-* #,##0_-;_-* &quot;-&quot;_-;_-@_-">
                  <c:v>3552</c:v>
                </c:pt>
                <c:pt idx="16" formatCode="_-* #,##0_-;\-* #,##0_-;_-* &quot;-&quot;_-;_-@_-">
                  <c:v>3297</c:v>
                </c:pt>
                <c:pt idx="17" formatCode="_-* #,##0_-;\-* #,##0_-;_-* &quot;-&quot;_-;_-@_-">
                  <c:v>3042</c:v>
                </c:pt>
                <c:pt idx="18" formatCode="_-* #,##0_-;\-* #,##0_-;_-* &quot;-&quot;_-;_-@_-">
                  <c:v>2787</c:v>
                </c:pt>
                <c:pt idx="19" formatCode="_-* #,##0_-;\-* #,##0_-;_-* &quot;-&quot;_-;_-@_-">
                  <c:v>2532</c:v>
                </c:pt>
                <c:pt idx="20" formatCode="_-* #,##0_-;\-* #,##0_-;_-* &quot;-&quot;_-;_-@_-">
                  <c:v>2277</c:v>
                </c:pt>
                <c:pt idx="21" formatCode="_-* #,##0_-;\-* #,##0_-;_-* &quot;-&quot;_-;_-@_-">
                  <c:v>2022</c:v>
                </c:pt>
                <c:pt idx="22" formatCode="_-* #,##0_-;\-* #,##0_-;_-* &quot;-&quot;_-;_-@_-">
                  <c:v>1767</c:v>
                </c:pt>
                <c:pt idx="23" formatCode="_-* #,##0_-;\-* #,##0_-;_-* &quot;-&quot;_-;_-@_-">
                  <c:v>1512</c:v>
                </c:pt>
                <c:pt idx="24" formatCode="_-* #,##0_-;\-* #,##0_-;_-* &quot;-&quot;_-;_-@_-">
                  <c:v>1257</c:v>
                </c:pt>
                <c:pt idx="25" formatCode="_-* #,##0_-;\-* #,##0_-;_-* &quot;-&quot;_-;_-@_-">
                  <c:v>1003</c:v>
                </c:pt>
                <c:pt idx="26" formatCode="_-* #,##0_-;\-* #,##0_-;_-* &quot;-&quot;_-;_-@_-">
                  <c:v>748</c:v>
                </c:pt>
                <c:pt idx="27" formatCode="_-* #,##0_-;\-* #,##0_-;_-* &quot;-&quot;_-;_-@_-">
                  <c:v>493</c:v>
                </c:pt>
                <c:pt idx="28" formatCode="_-* #,##0_-;\-* #,##0_-;_-* &quot;-&quot;_-;_-@_-">
                  <c:v>238</c:v>
                </c:pt>
              </c:numCache>
            </c:numRef>
          </c:val>
        </c:ser>
        <c:ser>
          <c:idx val="1"/>
          <c:order val="1"/>
          <c:tx>
            <c:v>최소</c:v>
          </c:tx>
          <c:spPr>
            <a:ln w="3175">
              <a:solidFill>
                <a:srgbClr val="FF00FF"/>
              </a:solidFill>
              <a:prstDash val="solid"/>
            </a:ln>
          </c:spPr>
          <c:marker>
            <c:symbol val="square"/>
            <c:size val="3"/>
            <c:spPr>
              <a:noFill/>
              <a:ln>
                <a:solidFill>
                  <a:srgbClr val="FF00FF"/>
                </a:solidFill>
                <a:prstDash val="solid"/>
              </a:ln>
            </c:spPr>
          </c:marker>
          <c:cat>
            <c:numRef>
              <c:f>묵호동10!$L$181:$AO$181</c:f>
              <c:numCache>
                <c:formatCode>General</c:formatCode>
                <c:ptCount val="30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  <c:pt idx="22">
                  <c:v>2019</c:v>
                </c:pt>
                <c:pt idx="23">
                  <c:v>2020</c:v>
                </c:pt>
                <c:pt idx="24">
                  <c:v>2021</c:v>
                </c:pt>
                <c:pt idx="25">
                  <c:v>2022</c:v>
                </c:pt>
                <c:pt idx="26">
                  <c:v>2023</c:v>
                </c:pt>
                <c:pt idx="27">
                  <c:v>2024</c:v>
                </c:pt>
                <c:pt idx="28">
                  <c:v>2025</c:v>
                </c:pt>
                <c:pt idx="29">
                  <c:v>2026</c:v>
                </c:pt>
              </c:numCache>
            </c:numRef>
          </c:cat>
          <c:val>
            <c:numRef>
              <c:f>묵호동10!$L$183:$AN$183</c:f>
              <c:numCache>
                <c:formatCode>General</c:formatCode>
                <c:ptCount val="29"/>
                <c:pt idx="10" formatCode="_-* #,##0_-;\-* #,##0_-;_-* &quot;-&quot;_-;_-@_-">
                  <c:v>4826</c:v>
                </c:pt>
                <c:pt idx="11" formatCode="_-* #,##0_-;\-* #,##0_-;_-* &quot;-&quot;_-;_-@_-">
                  <c:v>4138</c:v>
                </c:pt>
                <c:pt idx="12" formatCode="_-* #,##0_-;\-* #,##0_-;_-* &quot;-&quot;_-;_-@_-">
                  <c:v>3862</c:v>
                </c:pt>
                <c:pt idx="13" formatCode="_-* #,##0_-;\-* #,##0_-;_-* &quot;-&quot;_-;_-@_-">
                  <c:v>3586</c:v>
                </c:pt>
                <c:pt idx="14" formatCode="_-* #,##0_-;\-* #,##0_-;_-* &quot;-&quot;_-;_-@_-">
                  <c:v>3310</c:v>
                </c:pt>
                <c:pt idx="15" formatCode="_-* #,##0_-;\-* #,##0_-;_-* &quot;-&quot;_-;_-@_-">
                  <c:v>3033</c:v>
                </c:pt>
                <c:pt idx="16" formatCode="_-* #,##0_-;\-* #,##0_-;_-* &quot;-&quot;_-;_-@_-">
                  <c:v>2757</c:v>
                </c:pt>
                <c:pt idx="17" formatCode="_-* #,##0_-;\-* #,##0_-;_-* &quot;-&quot;_-;_-@_-">
                  <c:v>2481</c:v>
                </c:pt>
                <c:pt idx="18" formatCode="_-* #,##0_-;\-* #,##0_-;_-* &quot;-&quot;_-;_-@_-">
                  <c:v>2205</c:v>
                </c:pt>
                <c:pt idx="19" formatCode="_-* #,##0_-;\-* #,##0_-;_-* &quot;-&quot;_-;_-@_-">
                  <c:v>1929</c:v>
                </c:pt>
                <c:pt idx="20" formatCode="_-* #,##0_-;\-* #,##0_-;_-* &quot;-&quot;_-;_-@_-">
                  <c:v>1653</c:v>
                </c:pt>
                <c:pt idx="21" formatCode="_-* #,##0_-;\-* #,##0_-;_-* &quot;-&quot;_-;_-@_-">
                  <c:v>1377</c:v>
                </c:pt>
                <c:pt idx="22" formatCode="_-* #,##0_-;\-* #,##0_-;_-* &quot;-&quot;_-;_-@_-">
                  <c:v>1101</c:v>
                </c:pt>
                <c:pt idx="23" formatCode="_-* #,##0_-;\-* #,##0_-;_-* &quot;-&quot;_-;_-@_-">
                  <c:v>825</c:v>
                </c:pt>
                <c:pt idx="24" formatCode="_-* #,##0_-;\-* #,##0_-;_-* &quot;-&quot;_-;_-@_-">
                  <c:v>549</c:v>
                </c:pt>
                <c:pt idx="25" formatCode="_-* #,##0_-;\-* #,##0_-;_-* &quot;-&quot;_-;_-@_-">
                  <c:v>273</c:v>
                </c:pt>
                <c:pt idx="26" formatCode="_-* #,##0_-;\-* #,##0_-;_-* &quot;-&quot;_-;_-@_-">
                  <c:v>-3</c:v>
                </c:pt>
                <c:pt idx="27" formatCode="_-* #,##0_-;\-* #,##0_-;_-* &quot;-&quot;_-;_-@_-">
                  <c:v>-279</c:v>
                </c:pt>
                <c:pt idx="28" formatCode="_-* #,##0_-;\-* #,##0_-;_-* &quot;-&quot;_-;_-@_-">
                  <c:v>-555</c:v>
                </c:pt>
              </c:numCache>
            </c:numRef>
          </c:val>
        </c:ser>
        <c:ser>
          <c:idx val="4"/>
          <c:order val="2"/>
          <c:tx>
            <c:v>로지스틱</c:v>
          </c:tx>
          <c:spPr>
            <a:ln w="3175">
              <a:solidFill>
                <a:srgbClr val="800080"/>
              </a:solidFill>
              <a:prstDash val="solid"/>
            </a:ln>
          </c:spPr>
          <c:marker>
            <c:symbol val="circle"/>
            <c:size val="3"/>
            <c:spPr>
              <a:noFill/>
              <a:ln>
                <a:solidFill>
                  <a:srgbClr val="800080"/>
                </a:solidFill>
                <a:prstDash val="solid"/>
              </a:ln>
            </c:spPr>
          </c:marker>
          <c:cat>
            <c:numRef>
              <c:f>묵호동10!$L$181:$AO$181</c:f>
              <c:numCache>
                <c:formatCode>General</c:formatCode>
                <c:ptCount val="30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  <c:pt idx="22">
                  <c:v>2019</c:v>
                </c:pt>
                <c:pt idx="23">
                  <c:v>2020</c:v>
                </c:pt>
                <c:pt idx="24">
                  <c:v>2021</c:v>
                </c:pt>
                <c:pt idx="25">
                  <c:v>2022</c:v>
                </c:pt>
                <c:pt idx="26">
                  <c:v>2023</c:v>
                </c:pt>
                <c:pt idx="27">
                  <c:v>2024</c:v>
                </c:pt>
                <c:pt idx="28">
                  <c:v>2025</c:v>
                </c:pt>
                <c:pt idx="29">
                  <c:v>2026</c:v>
                </c:pt>
              </c:numCache>
            </c:numRef>
          </c:cat>
          <c:val>
            <c:numRef>
              <c:f>묵호동10!$L$186:$AN$186</c:f>
              <c:numCache>
                <c:formatCode>General</c:formatCode>
                <c:ptCount val="29"/>
                <c:pt idx="10" formatCode="_-* #,##0_-;\-* #,##0_-;_-* &quot;-&quot;_-;_-@_-">
                  <c:v>4826</c:v>
                </c:pt>
                <c:pt idx="11" formatCode="_-* #,##0_-;\-* #,##0_-;_-* &quot;-&quot;_-;_-@_-">
                  <c:v>4223</c:v>
                </c:pt>
                <c:pt idx="12" formatCode="_-* #,##0_-;\-* #,##0_-;_-* &quot;-&quot;_-;_-@_-">
                  <c:v>3990</c:v>
                </c:pt>
                <c:pt idx="13" formatCode="_-* #,##0_-;\-* #,##0_-;_-* &quot;-&quot;_-;_-@_-">
                  <c:v>3766</c:v>
                </c:pt>
                <c:pt idx="14" formatCode="_-* #,##0_-;\-* #,##0_-;_-* &quot;-&quot;_-;_-@_-">
                  <c:v>3550</c:v>
                </c:pt>
                <c:pt idx="15" formatCode="_-* #,##0_-;\-* #,##0_-;_-* &quot;-&quot;_-;_-@_-">
                  <c:v>3342</c:v>
                </c:pt>
                <c:pt idx="16" formatCode="_-* #,##0_-;\-* #,##0_-;_-* &quot;-&quot;_-;_-@_-">
                  <c:v>3143</c:v>
                </c:pt>
                <c:pt idx="17" formatCode="_-* #,##0_-;\-* #,##0_-;_-* &quot;-&quot;_-;_-@_-">
                  <c:v>2953</c:v>
                </c:pt>
                <c:pt idx="18" formatCode="_-* #,##0_-;\-* #,##0_-;_-* &quot;-&quot;_-;_-@_-">
                  <c:v>2772</c:v>
                </c:pt>
                <c:pt idx="19" formatCode="_-* #,##0_-;\-* #,##0_-;_-* &quot;-&quot;_-;_-@_-">
                  <c:v>2600</c:v>
                </c:pt>
                <c:pt idx="20" formatCode="_-* #,##0_-;\-* #,##0_-;_-* &quot;-&quot;_-;_-@_-">
                  <c:v>2436</c:v>
                </c:pt>
                <c:pt idx="21" formatCode="_-* #,##0_-;\-* #,##0_-;_-* &quot;-&quot;_-;_-@_-">
                  <c:v>2280</c:v>
                </c:pt>
                <c:pt idx="22" formatCode="_-* #,##0_-;\-* #,##0_-;_-* &quot;-&quot;_-;_-@_-">
                  <c:v>2133</c:v>
                </c:pt>
                <c:pt idx="23" formatCode="_-* #,##0_-;\-* #,##0_-;_-* &quot;-&quot;_-;_-@_-">
                  <c:v>1993</c:v>
                </c:pt>
                <c:pt idx="24" formatCode="_-* #,##0_-;\-* #,##0_-;_-* &quot;-&quot;_-;_-@_-">
                  <c:v>1862</c:v>
                </c:pt>
                <c:pt idx="25" formatCode="_-* #,##0_-;\-* #,##0_-;_-* &quot;-&quot;_-;_-@_-">
                  <c:v>1737</c:v>
                </c:pt>
                <c:pt idx="26" formatCode="_-* #,##0_-;\-* #,##0_-;_-* &quot;-&quot;_-;_-@_-">
                  <c:v>1621</c:v>
                </c:pt>
                <c:pt idx="27" formatCode="_-* #,##0_-;\-* #,##0_-;_-* &quot;-&quot;_-;_-@_-">
                  <c:v>1511</c:v>
                </c:pt>
                <c:pt idx="28" formatCode="_-* #,##0_-;\-* #,##0_-;_-* &quot;-&quot;_-;_-@_-">
                  <c:v>1407</c:v>
                </c:pt>
              </c:numCache>
            </c:numRef>
          </c:val>
        </c:ser>
        <c:ser>
          <c:idx val="5"/>
          <c:order val="3"/>
          <c:tx>
            <c:v>평균(최대최소제외)</c:v>
          </c:tx>
          <c:spPr>
            <a:ln w="3175">
              <a:solidFill>
                <a:srgbClr val="800000"/>
              </a:solidFill>
              <a:prstDash val="sysDash"/>
            </a:ln>
          </c:spPr>
          <c:marker>
            <c:symbol val="circle"/>
            <c:size val="3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묵호동10!$L$181:$AO$181</c:f>
              <c:numCache>
                <c:formatCode>General</c:formatCode>
                <c:ptCount val="30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  <c:pt idx="22">
                  <c:v>2019</c:v>
                </c:pt>
                <c:pt idx="23">
                  <c:v>2020</c:v>
                </c:pt>
                <c:pt idx="24">
                  <c:v>2021</c:v>
                </c:pt>
                <c:pt idx="25">
                  <c:v>2022</c:v>
                </c:pt>
                <c:pt idx="26">
                  <c:v>2023</c:v>
                </c:pt>
                <c:pt idx="27">
                  <c:v>2024</c:v>
                </c:pt>
                <c:pt idx="28">
                  <c:v>2025</c:v>
                </c:pt>
                <c:pt idx="29">
                  <c:v>2026</c:v>
                </c:pt>
              </c:numCache>
            </c:numRef>
          </c:cat>
          <c:val>
            <c:numRef>
              <c:f>묵호동10!$L$187:$AN$187</c:f>
              <c:numCache>
                <c:formatCode>General</c:formatCode>
                <c:ptCount val="29"/>
                <c:pt idx="10" formatCode="_-* #,##0_-;\-* #,##0_-;_-* &quot;-&quot;_-;_-@_-">
                  <c:v>4826</c:v>
                </c:pt>
                <c:pt idx="11" formatCode="_-* #,##0_-;\-* #,##0_-;_-* &quot;-&quot;_-;_-@_-">
                  <c:v>4389.5</c:v>
                </c:pt>
                <c:pt idx="12" formatCode="#,##0_ ">
                  <c:v>4150.5</c:v>
                </c:pt>
                <c:pt idx="13" formatCode="#,##0_ ">
                  <c:v>3915.8</c:v>
                </c:pt>
                <c:pt idx="14" formatCode="#,##0_ ">
                  <c:v>3550</c:v>
                </c:pt>
                <c:pt idx="15" formatCode="#,##0_ ">
                  <c:v>3342</c:v>
                </c:pt>
                <c:pt idx="16" formatCode="#,##0_ ">
                  <c:v>3143</c:v>
                </c:pt>
                <c:pt idx="17" formatCode="#,##0_ ">
                  <c:v>2953</c:v>
                </c:pt>
                <c:pt idx="18" formatCode="#,##0_ ">
                  <c:v>2772</c:v>
                </c:pt>
                <c:pt idx="19" formatCode="#,##0_ ">
                  <c:v>2600</c:v>
                </c:pt>
                <c:pt idx="20" formatCode="#,##0_ ">
                  <c:v>2436</c:v>
                </c:pt>
                <c:pt idx="21" formatCode="#,##0_ ">
                  <c:v>2280</c:v>
                </c:pt>
                <c:pt idx="22" formatCode="#,##0_ ">
                  <c:v>2133</c:v>
                </c:pt>
                <c:pt idx="23" formatCode="#,##0_ ">
                  <c:v>1993</c:v>
                </c:pt>
                <c:pt idx="24" formatCode="#,##0_ ">
                  <c:v>1862</c:v>
                </c:pt>
                <c:pt idx="25" formatCode="#,##0_ ">
                  <c:v>1737</c:v>
                </c:pt>
                <c:pt idx="26" formatCode="#,##0_ ">
                  <c:v>1621</c:v>
                </c:pt>
                <c:pt idx="27" formatCode="#,##0_ ">
                  <c:v>1511</c:v>
                </c:pt>
                <c:pt idx="28" formatCode="#,##0_ ">
                  <c:v>1407</c:v>
                </c:pt>
              </c:numCache>
            </c:numRef>
          </c:val>
        </c:ser>
        <c:ser>
          <c:idx val="6"/>
          <c:order val="4"/>
          <c:tx>
            <c:v>과거</c:v>
          </c:tx>
          <c:spPr>
            <a:ln w="12700">
              <a:solidFill>
                <a:srgbClr val="008080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008080"/>
                </a:solidFill>
                <a:prstDash val="solid"/>
              </a:ln>
            </c:spPr>
          </c:marker>
          <c:cat>
            <c:numRef>
              <c:f>묵호동10!$L$181:$AO$181</c:f>
              <c:numCache>
                <c:formatCode>General</c:formatCode>
                <c:ptCount val="30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  <c:pt idx="22">
                  <c:v>2019</c:v>
                </c:pt>
                <c:pt idx="23">
                  <c:v>2020</c:v>
                </c:pt>
                <c:pt idx="24">
                  <c:v>2021</c:v>
                </c:pt>
                <c:pt idx="25">
                  <c:v>2022</c:v>
                </c:pt>
                <c:pt idx="26">
                  <c:v>2023</c:v>
                </c:pt>
                <c:pt idx="27">
                  <c:v>2024</c:v>
                </c:pt>
                <c:pt idx="28">
                  <c:v>2025</c:v>
                </c:pt>
                <c:pt idx="29">
                  <c:v>2026</c:v>
                </c:pt>
              </c:numCache>
            </c:numRef>
          </c:cat>
          <c:val>
            <c:numRef>
              <c:f>묵호동10!$L$179:$X$179</c:f>
              <c:numCache>
                <c:formatCode>_-* #,##0_-;\-* #,##0_-;_-* "-"_-;_-@_-</c:formatCode>
                <c:ptCount val="13"/>
                <c:pt idx="0">
                  <c:v>7375</c:v>
                </c:pt>
                <c:pt idx="1">
                  <c:v>7030</c:v>
                </c:pt>
                <c:pt idx="2">
                  <c:v>6695</c:v>
                </c:pt>
                <c:pt idx="3" formatCode="General">
                  <c:v>6281</c:v>
                </c:pt>
                <c:pt idx="4">
                  <c:v>5959</c:v>
                </c:pt>
                <c:pt idx="5" formatCode="General">
                  <c:v>5578</c:v>
                </c:pt>
                <c:pt idx="6">
                  <c:v>5267</c:v>
                </c:pt>
                <c:pt idx="7">
                  <c:v>5105</c:v>
                </c:pt>
                <c:pt idx="8">
                  <c:v>4844</c:v>
                </c:pt>
                <c:pt idx="9">
                  <c:v>4774</c:v>
                </c:pt>
                <c:pt idx="10">
                  <c:v>4826</c:v>
                </c:pt>
                <c:pt idx="11">
                  <c:v>4571</c:v>
                </c:pt>
              </c:numCache>
            </c:numRef>
          </c:val>
        </c:ser>
        <c:ser>
          <c:idx val="2"/>
          <c:order val="5"/>
          <c:tx>
            <c:v>등비</c:v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FF0000"/>
                </a:solidFill>
                <a:prstDash val="solid"/>
              </a:ln>
            </c:spPr>
          </c:marker>
          <c:val>
            <c:numRef>
              <c:f>묵호동10!$L$184:$AN$184</c:f>
              <c:numCache>
                <c:formatCode>General</c:formatCode>
                <c:ptCount val="29"/>
                <c:pt idx="10" formatCode="_-* #,##0_-;\-* #,##0_-;_-* &quot;-&quot;_-;_-@_-">
                  <c:v>4826</c:v>
                </c:pt>
                <c:pt idx="11" formatCode="_-* #,##0_-;\-* #,##0_-;_-* &quot;-&quot;_-;_-@_-">
                  <c:v>4626</c:v>
                </c:pt>
                <c:pt idx="12" formatCode="_-* #,##0_-;\-* #,##0_-;_-* &quot;-&quot;_-;_-@_-">
                  <c:v>4434</c:v>
                </c:pt>
                <c:pt idx="13" formatCode="_-* #,##0_-;\-* #,##0_-;_-* &quot;-&quot;_-;_-@_-">
                  <c:v>4250</c:v>
                </c:pt>
                <c:pt idx="14" formatCode="_-* #,##0_-;\-* #,##0_-;_-* &quot;-&quot;_-;_-@_-">
                  <c:v>4073</c:v>
                </c:pt>
                <c:pt idx="15" formatCode="_-* #,##0_-;\-* #,##0_-;_-* &quot;-&quot;_-;_-@_-">
                  <c:v>3904</c:v>
                </c:pt>
                <c:pt idx="16" formatCode="_-* #,##0_-;\-* #,##0_-;_-* &quot;-&quot;_-;_-@_-">
                  <c:v>3742</c:v>
                </c:pt>
                <c:pt idx="17" formatCode="_-* #,##0_-;\-* #,##0_-;_-* &quot;-&quot;_-;_-@_-">
                  <c:v>3587</c:v>
                </c:pt>
                <c:pt idx="18" formatCode="_-* #,##0_-;\-* #,##0_-;_-* &quot;-&quot;_-;_-@_-">
                  <c:v>3438</c:v>
                </c:pt>
                <c:pt idx="19" formatCode="_-* #,##0_-;\-* #,##0_-;_-* &quot;-&quot;_-;_-@_-">
                  <c:v>3295</c:v>
                </c:pt>
                <c:pt idx="20" formatCode="_-* #,##0_-;\-* #,##0_-;_-* &quot;-&quot;_-;_-@_-">
                  <c:v>3158</c:v>
                </c:pt>
                <c:pt idx="21" formatCode="_-* #,##0_-;\-* #,##0_-;_-* &quot;-&quot;_-;_-@_-">
                  <c:v>3027</c:v>
                </c:pt>
                <c:pt idx="22" formatCode="_-* #,##0_-;\-* #,##0_-;_-* &quot;-&quot;_-;_-@_-">
                  <c:v>2901</c:v>
                </c:pt>
                <c:pt idx="23" formatCode="_-* #,##0_-;\-* #,##0_-;_-* &quot;-&quot;_-;_-@_-">
                  <c:v>2781</c:v>
                </c:pt>
                <c:pt idx="24" formatCode="_-* #,##0_-;\-* #,##0_-;_-* &quot;-&quot;_-;_-@_-">
                  <c:v>2665</c:v>
                </c:pt>
                <c:pt idx="25" formatCode="_-* #,##0_-;\-* #,##0_-;_-* &quot;-&quot;_-;_-@_-">
                  <c:v>2555</c:v>
                </c:pt>
                <c:pt idx="26" formatCode="_-* #,##0_-;\-* #,##0_-;_-* &quot;-&quot;_-;_-@_-">
                  <c:v>2449</c:v>
                </c:pt>
                <c:pt idx="27" formatCode="_-* #,##0_-;\-* #,##0_-;_-* &quot;-&quot;_-;_-@_-">
                  <c:v>2347</c:v>
                </c:pt>
                <c:pt idx="28" formatCode="_-* #,##0_-;\-* #,##0_-;_-* &quot;-&quot;_-;_-@_-">
                  <c:v>2250</c:v>
                </c:pt>
              </c:numCache>
            </c:numRef>
          </c:val>
        </c:ser>
        <c:marker val="1"/>
        <c:axId val="131179264"/>
        <c:axId val="131181568"/>
      </c:lineChart>
      <c:catAx>
        <c:axId val="131179264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875" b="0" i="0" u="none" strike="noStrike" baseline="0">
                    <a:solidFill>
                      <a:srgbClr val="000000"/>
                    </a:solidFill>
                    <a:latin typeface="돋움"/>
                    <a:ea typeface="돋움"/>
                    <a:cs typeface="돋움"/>
                  </a:defRPr>
                </a:pPr>
                <a:r>
                  <a:rPr altLang="en-US"/>
                  <a:t>연도</a:t>
                </a:r>
              </a:p>
            </c:rich>
          </c:tx>
          <c:layout>
            <c:manualLayout>
              <c:xMode val="edge"/>
              <c:yMode val="edge"/>
              <c:x val="0.50336346409613442"/>
              <c:y val="0.82129357404468961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maj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돋움"/>
                <a:ea typeface="돋움"/>
                <a:cs typeface="돋움"/>
              </a:defRPr>
            </a:pPr>
            <a:endParaRPr lang="ko-KR"/>
          </a:p>
        </c:txPr>
        <c:crossAx val="131181568"/>
        <c:crosses val="autoZero"/>
        <c:auto val="1"/>
        <c:lblAlgn val="ctr"/>
        <c:lblOffset val="100"/>
        <c:tickLblSkip val="2"/>
        <c:tickMarkSkip val="1"/>
      </c:catAx>
      <c:valAx>
        <c:axId val="131181568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맑은 고딕"/>
                    <a:ea typeface="맑은 고딕"/>
                    <a:cs typeface="맑은 고딕"/>
                  </a:defRPr>
                </a:pPr>
                <a:r>
                  <a:rPr lang="ko-KR" altLang="en-US" sz="875" b="0" i="0" strike="noStrike">
                    <a:solidFill>
                      <a:srgbClr val="000000"/>
                    </a:solidFill>
                    <a:latin typeface="돋움"/>
                    <a:ea typeface="돋움"/>
                  </a:rPr>
                  <a:t>인구</a:t>
                </a:r>
                <a:r>
                  <a:rPr lang="en-US" altLang="ko-KR" sz="875" b="0" i="0" strike="noStrike">
                    <a:solidFill>
                      <a:srgbClr val="000000"/>
                    </a:solidFill>
                    <a:latin typeface="돋움"/>
                    <a:ea typeface="돋움"/>
                  </a:rPr>
                  <a:t>(</a:t>
                </a:r>
                <a:r>
                  <a:rPr lang="ko-KR" altLang="en-US" sz="875" b="0" i="0" strike="noStrike">
                    <a:solidFill>
                      <a:srgbClr val="000000"/>
                    </a:solidFill>
                    <a:latin typeface="돋움"/>
                    <a:ea typeface="돋움"/>
                  </a:rPr>
                  <a:t>명</a:t>
                </a:r>
                <a:r>
                  <a:rPr lang="en-US" altLang="ko-KR" sz="875" b="0" i="0" strike="noStrike">
                    <a:solidFill>
                      <a:srgbClr val="000000"/>
                    </a:solidFill>
                    <a:latin typeface="돋움"/>
                    <a:ea typeface="돋움"/>
                  </a:rPr>
                  <a:t>)</a:t>
                </a:r>
              </a:p>
            </c:rich>
          </c:tx>
          <c:layout>
            <c:manualLayout>
              <c:xMode val="edge"/>
              <c:yMode val="edge"/>
              <c:x val="2.6905829596412592E-2"/>
              <c:y val="0.40114108360029133"/>
            </c:manualLayout>
          </c:layout>
          <c:spPr>
            <a:noFill/>
            <a:ln w="25400">
              <a:noFill/>
            </a:ln>
          </c:spPr>
        </c:title>
        <c:numFmt formatCode="#,##0_ " sourceLinked="0"/>
        <c:maj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돋움"/>
                <a:ea typeface="돋움"/>
                <a:cs typeface="돋움"/>
              </a:defRPr>
            </a:pPr>
            <a:endParaRPr lang="ko-KR"/>
          </a:p>
        </c:txPr>
        <c:crossAx val="131179264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wMode val="edge"/>
          <c:hMode val="edge"/>
          <c:x val="0.13228711321398717"/>
          <c:y val="0.9068449048431686"/>
          <c:w val="0.92040417593540658"/>
          <c:h val="0.9676814067443108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돋움"/>
              <a:ea typeface="돋움"/>
              <a:cs typeface="돋움"/>
            </a:defRPr>
          </a:pPr>
          <a:endParaRPr lang="ko-KR"/>
        </a:p>
      </c:txPr>
    </c:legend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75" b="0" i="0" u="none" strike="noStrike" baseline="0">
          <a:solidFill>
            <a:srgbClr val="000000"/>
          </a:solidFill>
          <a:latin typeface="돋움"/>
          <a:ea typeface="돋움"/>
          <a:cs typeface="돋움"/>
        </a:defRPr>
      </a:pPr>
      <a:endParaRPr lang="ko-KR"/>
    </a:p>
  </c:txPr>
  <c:printSettings>
    <c:headerFooter alignWithMargins="0"/>
    <c:pageMargins b="1" l="0.75000000000000144" r="0.75000000000000144" t="1" header="0.5" footer="0.5"/>
    <c:pageSetup paperSize="9" orientation="landscape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ko-KR"/>
  <c:chart>
    <c:title>
      <c:tx>
        <c:rich>
          <a:bodyPr/>
          <a:lstStyle/>
          <a:p>
            <a:pPr>
              <a:defRPr sz="1175" b="1" i="0" u="none" strike="noStrike" baseline="0">
                <a:solidFill>
                  <a:srgbClr val="000000"/>
                </a:solidFill>
                <a:latin typeface="돋움"/>
                <a:ea typeface="돋움"/>
                <a:cs typeface="돋움"/>
              </a:defRPr>
            </a:pPr>
            <a:r>
              <a:rPr altLang="en-US"/>
              <a:t>묵호동</a:t>
            </a:r>
          </a:p>
        </c:rich>
      </c:tx>
      <c:layout>
        <c:manualLayout>
          <c:xMode val="edge"/>
          <c:yMode val="edge"/>
          <c:x val="0.46861010086743682"/>
          <c:y val="2.8517110266159756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9.7533685676984214E-2"/>
          <c:y val="9.1254837562787627E-2"/>
          <c:w val="0.83744440460583214"/>
          <c:h val="0.67680671192400665"/>
        </c:manualLayout>
      </c:layout>
      <c:lineChart>
        <c:grouping val="standard"/>
        <c:ser>
          <c:idx val="0"/>
          <c:order val="0"/>
          <c:tx>
            <c:v>등차</c:v>
          </c:tx>
          <c:spPr>
            <a:ln w="3175">
              <a:solidFill>
                <a:srgbClr val="000080"/>
              </a:solidFill>
              <a:prstDash val="solid"/>
            </a:ln>
          </c:spPr>
          <c:marker>
            <c:symbol val="diamond"/>
            <c:size val="3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묵호동5!$L$156:$AI$156</c:f>
              <c:numCache>
                <c:formatCode>General</c:formatCode>
                <c:ptCount val="24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  <c:pt idx="14">
                  <c:v>2016</c:v>
                </c:pt>
                <c:pt idx="15">
                  <c:v>2017</c:v>
                </c:pt>
                <c:pt idx="16">
                  <c:v>2018</c:v>
                </c:pt>
                <c:pt idx="17">
                  <c:v>2019</c:v>
                </c:pt>
                <c:pt idx="18">
                  <c:v>2020</c:v>
                </c:pt>
                <c:pt idx="19">
                  <c:v>2021</c:v>
                </c:pt>
                <c:pt idx="20">
                  <c:v>2022</c:v>
                </c:pt>
                <c:pt idx="21">
                  <c:v>2023</c:v>
                </c:pt>
                <c:pt idx="22">
                  <c:v>2024</c:v>
                </c:pt>
                <c:pt idx="23">
                  <c:v>2025</c:v>
                </c:pt>
              </c:numCache>
            </c:numRef>
          </c:cat>
          <c:val>
            <c:numRef>
              <c:f>묵호동5!$L$157:$AN$157</c:f>
              <c:numCache>
                <c:formatCode>General</c:formatCode>
                <c:ptCount val="29"/>
                <c:pt idx="5">
                  <c:v>4826</c:v>
                </c:pt>
                <c:pt idx="6" formatCode="_-* #,##0_-;\-* #,##0_-;_-* &quot;-&quot;_-;_-@_-">
                  <c:v>4676</c:v>
                </c:pt>
                <c:pt idx="7" formatCode="_-* #,##0_-;\-* #,##0_-;_-* &quot;-&quot;_-;_-@_-">
                  <c:v>4525</c:v>
                </c:pt>
                <c:pt idx="8" formatCode="_-* #,##0_-;\-* #,##0_-;_-* &quot;-&quot;_-;_-@_-">
                  <c:v>4375</c:v>
                </c:pt>
                <c:pt idx="9" formatCode="_-* #,##0_-;\-* #,##0_-;_-* &quot;-&quot;_-;_-@_-">
                  <c:v>4224</c:v>
                </c:pt>
                <c:pt idx="10" formatCode="_-* #,##0_-;\-* #,##0_-;_-* &quot;-&quot;_-;_-@_-">
                  <c:v>4074</c:v>
                </c:pt>
                <c:pt idx="11" formatCode="_-* #,##0_-;\-* #,##0_-;_-* &quot;-&quot;_-;_-@_-">
                  <c:v>3924</c:v>
                </c:pt>
                <c:pt idx="12" formatCode="_-* #,##0_-;\-* #,##0_-;_-* &quot;-&quot;_-;_-@_-">
                  <c:v>3773</c:v>
                </c:pt>
                <c:pt idx="13" formatCode="_-* #,##0_-;\-* #,##0_-;_-* &quot;-&quot;_-;_-@_-">
                  <c:v>3623</c:v>
                </c:pt>
                <c:pt idx="14" formatCode="_-* #,##0_-;\-* #,##0_-;_-* &quot;-&quot;_-;_-@_-">
                  <c:v>3472</c:v>
                </c:pt>
                <c:pt idx="15" formatCode="_-* #,##0_-;\-* #,##0_-;_-* &quot;-&quot;_-;_-@_-">
                  <c:v>3322</c:v>
                </c:pt>
                <c:pt idx="16" formatCode="_-* #,##0_-;\-* #,##0_-;_-* &quot;-&quot;_-;_-@_-">
                  <c:v>3172</c:v>
                </c:pt>
                <c:pt idx="17" formatCode="_-* #,##0_-;\-* #,##0_-;_-* &quot;-&quot;_-;_-@_-">
                  <c:v>3021</c:v>
                </c:pt>
                <c:pt idx="18" formatCode="_-* #,##0_-;\-* #,##0_-;_-* &quot;-&quot;_-;_-@_-">
                  <c:v>2871</c:v>
                </c:pt>
                <c:pt idx="19" formatCode="_-* #,##0_-;\-* #,##0_-;_-* &quot;-&quot;_-;_-@_-">
                  <c:v>2720</c:v>
                </c:pt>
                <c:pt idx="20" formatCode="_-* #,##0_-;\-* #,##0_-;_-* &quot;-&quot;_-;_-@_-">
                  <c:v>2570</c:v>
                </c:pt>
                <c:pt idx="21" formatCode="_-* #,##0_-;\-* #,##0_-;_-* &quot;-&quot;_-;_-@_-">
                  <c:v>2420</c:v>
                </c:pt>
                <c:pt idx="22" formatCode="_-* #,##0_-;\-* #,##0_-;_-* &quot;-&quot;_-;_-@_-">
                  <c:v>2269</c:v>
                </c:pt>
                <c:pt idx="23" formatCode="_-* #,##0_-;\-* #,##0_-;_-* &quot;-&quot;_-;_-@_-">
                  <c:v>2119</c:v>
                </c:pt>
              </c:numCache>
            </c:numRef>
          </c:val>
        </c:ser>
        <c:ser>
          <c:idx val="1"/>
          <c:order val="1"/>
          <c:tx>
            <c:v>최소</c:v>
          </c:tx>
          <c:spPr>
            <a:ln w="3175">
              <a:solidFill>
                <a:srgbClr val="FF00FF"/>
              </a:solidFill>
              <a:prstDash val="solid"/>
            </a:ln>
          </c:spPr>
          <c:marker>
            <c:symbol val="square"/>
            <c:size val="3"/>
            <c:spPr>
              <a:noFill/>
              <a:ln>
                <a:solidFill>
                  <a:srgbClr val="FF00FF"/>
                </a:solidFill>
                <a:prstDash val="solid"/>
              </a:ln>
            </c:spPr>
          </c:marker>
          <c:cat>
            <c:numRef>
              <c:f>묵호동5!$L$156:$AI$156</c:f>
              <c:numCache>
                <c:formatCode>General</c:formatCode>
                <c:ptCount val="24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  <c:pt idx="14">
                  <c:v>2016</c:v>
                </c:pt>
                <c:pt idx="15">
                  <c:v>2017</c:v>
                </c:pt>
                <c:pt idx="16">
                  <c:v>2018</c:v>
                </c:pt>
                <c:pt idx="17">
                  <c:v>2019</c:v>
                </c:pt>
                <c:pt idx="18">
                  <c:v>2020</c:v>
                </c:pt>
                <c:pt idx="19">
                  <c:v>2021</c:v>
                </c:pt>
                <c:pt idx="20">
                  <c:v>2022</c:v>
                </c:pt>
                <c:pt idx="21">
                  <c:v>2023</c:v>
                </c:pt>
                <c:pt idx="22">
                  <c:v>2024</c:v>
                </c:pt>
                <c:pt idx="23">
                  <c:v>2025</c:v>
                </c:pt>
              </c:numCache>
            </c:numRef>
          </c:cat>
          <c:val>
            <c:numRef>
              <c:f>묵호동5!$L$158:$AN$158</c:f>
              <c:numCache>
                <c:formatCode>General</c:formatCode>
                <c:ptCount val="29"/>
                <c:pt idx="5">
                  <c:v>4826</c:v>
                </c:pt>
                <c:pt idx="6" formatCode="_-* #,##0_-;\-* #,##0_-;_-* &quot;-&quot;_-;_-@_-">
                  <c:v>4516</c:v>
                </c:pt>
                <c:pt idx="7" formatCode="_-* #,##0_-;\-* #,##0_-;_-* &quot;-&quot;_-;_-@_-">
                  <c:v>4359</c:v>
                </c:pt>
                <c:pt idx="8" formatCode="_-* #,##0_-;\-* #,##0_-;_-* &quot;-&quot;_-;_-@_-">
                  <c:v>4201</c:v>
                </c:pt>
                <c:pt idx="9" formatCode="_-* #,##0_-;\-* #,##0_-;_-* &quot;-&quot;_-;_-@_-">
                  <c:v>4044</c:v>
                </c:pt>
                <c:pt idx="10" formatCode="_-* #,##0_-;\-* #,##0_-;_-* &quot;-&quot;_-;_-@_-">
                  <c:v>3887</c:v>
                </c:pt>
                <c:pt idx="11" formatCode="_-* #,##0_-;\-* #,##0_-;_-* &quot;-&quot;_-;_-@_-">
                  <c:v>3730</c:v>
                </c:pt>
                <c:pt idx="12" formatCode="_-* #,##0_-;\-* #,##0_-;_-* &quot;-&quot;_-;_-@_-">
                  <c:v>3573</c:v>
                </c:pt>
                <c:pt idx="13" formatCode="_-* #,##0_-;\-* #,##0_-;_-* &quot;-&quot;_-;_-@_-">
                  <c:v>3416</c:v>
                </c:pt>
                <c:pt idx="14" formatCode="_-* #,##0_-;\-* #,##0_-;_-* &quot;-&quot;_-;_-@_-">
                  <c:v>3259</c:v>
                </c:pt>
                <c:pt idx="15" formatCode="_-* #,##0_-;\-* #,##0_-;_-* &quot;-&quot;_-;_-@_-">
                  <c:v>3101</c:v>
                </c:pt>
                <c:pt idx="16" formatCode="_-* #,##0_-;\-* #,##0_-;_-* &quot;-&quot;_-;_-@_-">
                  <c:v>2944</c:v>
                </c:pt>
                <c:pt idx="17" formatCode="_-* #,##0_-;\-* #,##0_-;_-* &quot;-&quot;_-;_-@_-">
                  <c:v>2787</c:v>
                </c:pt>
                <c:pt idx="18" formatCode="_-* #,##0_-;\-* #,##0_-;_-* &quot;-&quot;_-;_-@_-">
                  <c:v>2630</c:v>
                </c:pt>
                <c:pt idx="19" formatCode="_-* #,##0_-;\-* #,##0_-;_-* &quot;-&quot;_-;_-@_-">
                  <c:v>2473</c:v>
                </c:pt>
                <c:pt idx="20" formatCode="_-* #,##0_-;\-* #,##0_-;_-* &quot;-&quot;_-;_-@_-">
                  <c:v>2316</c:v>
                </c:pt>
                <c:pt idx="21" formatCode="_-* #,##0_-;\-* #,##0_-;_-* &quot;-&quot;_-;_-@_-">
                  <c:v>2159</c:v>
                </c:pt>
                <c:pt idx="22" formatCode="_-* #,##0_-;\-* #,##0_-;_-* &quot;-&quot;_-;_-@_-">
                  <c:v>2001</c:v>
                </c:pt>
                <c:pt idx="23" formatCode="_-* #,##0_-;\-* #,##0_-;_-* &quot;-&quot;_-;_-@_-">
                  <c:v>1844</c:v>
                </c:pt>
              </c:numCache>
            </c:numRef>
          </c:val>
        </c:ser>
        <c:ser>
          <c:idx val="4"/>
          <c:order val="2"/>
          <c:tx>
            <c:v>로지스틱</c:v>
          </c:tx>
          <c:spPr>
            <a:ln w="3175">
              <a:solidFill>
                <a:srgbClr val="800080"/>
              </a:solidFill>
              <a:prstDash val="solid"/>
            </a:ln>
          </c:spPr>
          <c:marker>
            <c:symbol val="circle"/>
            <c:size val="3"/>
            <c:spPr>
              <a:noFill/>
              <a:ln>
                <a:solidFill>
                  <a:srgbClr val="800080"/>
                </a:solidFill>
                <a:prstDash val="solid"/>
              </a:ln>
            </c:spPr>
          </c:marker>
          <c:cat>
            <c:numRef>
              <c:f>묵호동5!$L$156:$AI$156</c:f>
              <c:numCache>
                <c:formatCode>General</c:formatCode>
                <c:ptCount val="24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  <c:pt idx="14">
                  <c:v>2016</c:v>
                </c:pt>
                <c:pt idx="15">
                  <c:v>2017</c:v>
                </c:pt>
                <c:pt idx="16">
                  <c:v>2018</c:v>
                </c:pt>
                <c:pt idx="17">
                  <c:v>2019</c:v>
                </c:pt>
                <c:pt idx="18">
                  <c:v>2020</c:v>
                </c:pt>
                <c:pt idx="19">
                  <c:v>2021</c:v>
                </c:pt>
                <c:pt idx="20">
                  <c:v>2022</c:v>
                </c:pt>
                <c:pt idx="21">
                  <c:v>2023</c:v>
                </c:pt>
                <c:pt idx="22">
                  <c:v>2024</c:v>
                </c:pt>
                <c:pt idx="23">
                  <c:v>2025</c:v>
                </c:pt>
              </c:numCache>
            </c:numRef>
          </c:cat>
          <c:val>
            <c:numRef>
              <c:f>묵호동5!$L$161:$AN$161</c:f>
              <c:numCache>
                <c:formatCode>General</c:formatCode>
                <c:ptCount val="29"/>
                <c:pt idx="5">
                  <c:v>4826</c:v>
                </c:pt>
                <c:pt idx="6" formatCode="_-* #,##0_-;\-* #,##0_-;_-* &quot;-&quot;_-;_-@_-">
                  <c:v>4522</c:v>
                </c:pt>
                <c:pt idx="7" formatCode="_-* #,##0_-;\-* #,##0_-;_-* &quot;-&quot;_-;_-@_-">
                  <c:v>4370</c:v>
                </c:pt>
                <c:pt idx="8" formatCode="_-* #,##0_-;\-* #,##0_-;_-* &quot;-&quot;_-;_-@_-">
                  <c:v>4220</c:v>
                </c:pt>
                <c:pt idx="9" formatCode="_-* #,##0_-;\-* #,##0_-;_-* &quot;-&quot;_-;_-@_-">
                  <c:v>4072</c:v>
                </c:pt>
                <c:pt idx="10" formatCode="_-* #,##0_-;\-* #,##0_-;_-* &quot;-&quot;_-;_-@_-">
                  <c:v>3926</c:v>
                </c:pt>
                <c:pt idx="11" formatCode="_-* #,##0_-;\-* #,##0_-;_-* &quot;-&quot;_-;_-@_-">
                  <c:v>3783</c:v>
                </c:pt>
                <c:pt idx="12" formatCode="_-* #,##0_-;\-* #,##0_-;_-* &quot;-&quot;_-;_-@_-">
                  <c:v>3643</c:v>
                </c:pt>
                <c:pt idx="13" formatCode="_-* #,##0_-;\-* #,##0_-;_-* &quot;-&quot;_-;_-@_-">
                  <c:v>3505</c:v>
                </c:pt>
                <c:pt idx="14" formatCode="_-* #,##0_-;\-* #,##0_-;_-* &quot;-&quot;_-;_-@_-">
                  <c:v>3370</c:v>
                </c:pt>
                <c:pt idx="15" formatCode="_-* #,##0_-;\-* #,##0_-;_-* &quot;-&quot;_-;_-@_-">
                  <c:v>3238</c:v>
                </c:pt>
                <c:pt idx="16" formatCode="_-* #,##0_-;\-* #,##0_-;_-* &quot;-&quot;_-;_-@_-">
                  <c:v>3109</c:v>
                </c:pt>
                <c:pt idx="17" formatCode="_-* #,##0_-;\-* #,##0_-;_-* &quot;-&quot;_-;_-@_-">
                  <c:v>2983</c:v>
                </c:pt>
                <c:pt idx="18" formatCode="_-* #,##0_-;\-* #,##0_-;_-* &quot;-&quot;_-;_-@_-">
                  <c:v>2861</c:v>
                </c:pt>
                <c:pt idx="19" formatCode="_-* #,##0_-;\-* #,##0_-;_-* &quot;-&quot;_-;_-@_-">
                  <c:v>2742</c:v>
                </c:pt>
                <c:pt idx="20" formatCode="_-* #,##0_-;\-* #,##0_-;_-* &quot;-&quot;_-;_-@_-">
                  <c:v>2626</c:v>
                </c:pt>
                <c:pt idx="21" formatCode="_-* #,##0_-;\-* #,##0_-;_-* &quot;-&quot;_-;_-@_-">
                  <c:v>2514</c:v>
                </c:pt>
                <c:pt idx="22" formatCode="_-* #,##0_-;\-* #,##0_-;_-* &quot;-&quot;_-;_-@_-">
                  <c:v>2405</c:v>
                </c:pt>
                <c:pt idx="23" formatCode="_-* #,##0_-;\-* #,##0_-;_-* &quot;-&quot;_-;_-@_-">
                  <c:v>2299</c:v>
                </c:pt>
              </c:numCache>
            </c:numRef>
          </c:val>
        </c:ser>
        <c:ser>
          <c:idx val="5"/>
          <c:order val="3"/>
          <c:tx>
            <c:v>평균(최대최소제외)</c:v>
          </c:tx>
          <c:spPr>
            <a:ln w="3175">
              <a:solidFill>
                <a:srgbClr val="800000"/>
              </a:solidFill>
              <a:prstDash val="sysDash"/>
            </a:ln>
          </c:spPr>
          <c:marker>
            <c:symbol val="circle"/>
            <c:size val="3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묵호동5!$L$156:$AI$156</c:f>
              <c:numCache>
                <c:formatCode>General</c:formatCode>
                <c:ptCount val="24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  <c:pt idx="14">
                  <c:v>2016</c:v>
                </c:pt>
                <c:pt idx="15">
                  <c:v>2017</c:v>
                </c:pt>
                <c:pt idx="16">
                  <c:v>2018</c:v>
                </c:pt>
                <c:pt idx="17">
                  <c:v>2019</c:v>
                </c:pt>
                <c:pt idx="18">
                  <c:v>2020</c:v>
                </c:pt>
                <c:pt idx="19">
                  <c:v>2021</c:v>
                </c:pt>
                <c:pt idx="20">
                  <c:v>2022</c:v>
                </c:pt>
                <c:pt idx="21">
                  <c:v>2023</c:v>
                </c:pt>
                <c:pt idx="22">
                  <c:v>2024</c:v>
                </c:pt>
                <c:pt idx="23">
                  <c:v>2025</c:v>
                </c:pt>
              </c:numCache>
            </c:numRef>
          </c:cat>
          <c:val>
            <c:numRef>
              <c:f>묵호동5!$L$162:$AI$162</c:f>
              <c:numCache>
                <c:formatCode>General</c:formatCode>
                <c:ptCount val="24"/>
                <c:pt idx="5">
                  <c:v>4826</c:v>
                </c:pt>
                <c:pt idx="6" formatCode="#,##0_ ">
                  <c:v>4599</c:v>
                </c:pt>
                <c:pt idx="7" formatCode="#,##0_ ">
                  <c:v>4447.5</c:v>
                </c:pt>
                <c:pt idx="8" formatCode="#,##0_ ">
                  <c:v>4297.5</c:v>
                </c:pt>
                <c:pt idx="9" formatCode="#,##0_ ">
                  <c:v>4148</c:v>
                </c:pt>
                <c:pt idx="10" formatCode="#,##0_ ">
                  <c:v>4000</c:v>
                </c:pt>
                <c:pt idx="11" formatCode="_-* #,##0_-;\-* #,##0_-;_-* &quot;-&quot;_-;_-@_-">
                  <c:v>3853.5</c:v>
                </c:pt>
                <c:pt idx="12" formatCode="#,##0_ ">
                  <c:v>3708</c:v>
                </c:pt>
                <c:pt idx="13" formatCode="#,##0_ ">
                  <c:v>3564</c:v>
                </c:pt>
                <c:pt idx="14" formatCode="#,##0_ ">
                  <c:v>3421</c:v>
                </c:pt>
                <c:pt idx="15" formatCode="#,##0_ ">
                  <c:v>3280</c:v>
                </c:pt>
                <c:pt idx="16" formatCode="#,##0_ ">
                  <c:v>3140.5</c:v>
                </c:pt>
                <c:pt idx="17" formatCode="#,##0_ ">
                  <c:v>3002</c:v>
                </c:pt>
                <c:pt idx="18" formatCode="#,##0_ ">
                  <c:v>2866</c:v>
                </c:pt>
                <c:pt idx="19" formatCode="#,##0_ ">
                  <c:v>2731</c:v>
                </c:pt>
                <c:pt idx="20" formatCode="#,##0_ ">
                  <c:v>2598</c:v>
                </c:pt>
                <c:pt idx="21" formatCode="#,##0_ ">
                  <c:v>2467</c:v>
                </c:pt>
                <c:pt idx="22" formatCode="#,##0_ ">
                  <c:v>2337</c:v>
                </c:pt>
                <c:pt idx="23" formatCode="#,##0_ ">
                  <c:v>2209</c:v>
                </c:pt>
              </c:numCache>
            </c:numRef>
          </c:val>
        </c:ser>
        <c:ser>
          <c:idx val="6"/>
          <c:order val="4"/>
          <c:tx>
            <c:v>과거</c:v>
          </c:tx>
          <c:spPr>
            <a:ln w="12700">
              <a:solidFill>
                <a:srgbClr val="008080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008080"/>
                </a:solidFill>
                <a:prstDash val="solid"/>
              </a:ln>
            </c:spPr>
          </c:marker>
          <c:cat>
            <c:numRef>
              <c:f>묵호동5!$L$156:$AI$156</c:f>
              <c:numCache>
                <c:formatCode>General</c:formatCode>
                <c:ptCount val="24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  <c:pt idx="14">
                  <c:v>2016</c:v>
                </c:pt>
                <c:pt idx="15">
                  <c:v>2017</c:v>
                </c:pt>
                <c:pt idx="16">
                  <c:v>2018</c:v>
                </c:pt>
                <c:pt idx="17">
                  <c:v>2019</c:v>
                </c:pt>
                <c:pt idx="18">
                  <c:v>2020</c:v>
                </c:pt>
                <c:pt idx="19">
                  <c:v>2021</c:v>
                </c:pt>
                <c:pt idx="20">
                  <c:v>2022</c:v>
                </c:pt>
                <c:pt idx="21">
                  <c:v>2023</c:v>
                </c:pt>
                <c:pt idx="22">
                  <c:v>2024</c:v>
                </c:pt>
                <c:pt idx="23">
                  <c:v>2025</c:v>
                </c:pt>
              </c:numCache>
            </c:numRef>
          </c:cat>
          <c:val>
            <c:numRef>
              <c:f>묵호동5!$L$154:$X$154</c:f>
              <c:numCache>
                <c:formatCode>_-* #,##0_-;\-* #,##0_-;_-* "-"_-;_-@_-</c:formatCode>
                <c:ptCount val="13"/>
                <c:pt idx="0">
                  <c:v>5578</c:v>
                </c:pt>
                <c:pt idx="1">
                  <c:v>5267</c:v>
                </c:pt>
                <c:pt idx="2">
                  <c:v>5105</c:v>
                </c:pt>
                <c:pt idx="3" formatCode="General">
                  <c:v>4844</c:v>
                </c:pt>
                <c:pt idx="4">
                  <c:v>4774</c:v>
                </c:pt>
                <c:pt idx="5" formatCode="General">
                  <c:v>4826</c:v>
                </c:pt>
                <c:pt idx="6">
                  <c:v>4522</c:v>
                </c:pt>
              </c:numCache>
            </c:numRef>
          </c:val>
        </c:ser>
        <c:ser>
          <c:idx val="2"/>
          <c:order val="5"/>
          <c:tx>
            <c:v>등비</c:v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묵호동5!$L$156:$AI$156</c:f>
              <c:numCache>
                <c:formatCode>General</c:formatCode>
                <c:ptCount val="24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  <c:pt idx="14">
                  <c:v>2016</c:v>
                </c:pt>
                <c:pt idx="15">
                  <c:v>2017</c:v>
                </c:pt>
                <c:pt idx="16">
                  <c:v>2018</c:v>
                </c:pt>
                <c:pt idx="17">
                  <c:v>2019</c:v>
                </c:pt>
                <c:pt idx="18">
                  <c:v>2020</c:v>
                </c:pt>
                <c:pt idx="19">
                  <c:v>2021</c:v>
                </c:pt>
                <c:pt idx="20">
                  <c:v>2022</c:v>
                </c:pt>
                <c:pt idx="21">
                  <c:v>2023</c:v>
                </c:pt>
                <c:pt idx="22">
                  <c:v>2024</c:v>
                </c:pt>
                <c:pt idx="23">
                  <c:v>2025</c:v>
                </c:pt>
              </c:numCache>
            </c:numRef>
          </c:cat>
          <c:val>
            <c:numRef>
              <c:f>묵호동5!$L$159:$AN$159</c:f>
              <c:numCache>
                <c:formatCode>General</c:formatCode>
                <c:ptCount val="29"/>
                <c:pt idx="5">
                  <c:v>4826</c:v>
                </c:pt>
                <c:pt idx="6" formatCode="_-* #,##0_-;\-* #,##0_-;_-* &quot;-&quot;_-;_-@_-">
                  <c:v>4688</c:v>
                </c:pt>
                <c:pt idx="7" formatCode="_-* #,##0_-;\-* #,##0_-;_-* &quot;-&quot;_-;_-@_-">
                  <c:v>4554</c:v>
                </c:pt>
                <c:pt idx="8" formatCode="_-* #,##0_-;\-* #,##0_-;_-* &quot;-&quot;_-;_-@_-">
                  <c:v>4424</c:v>
                </c:pt>
                <c:pt idx="9" formatCode="_-* #,##0_-;\-* #,##0_-;_-* &quot;-&quot;_-;_-@_-">
                  <c:v>4298</c:v>
                </c:pt>
                <c:pt idx="10" formatCode="_-* #,##0_-;\-* #,##0_-;_-* &quot;-&quot;_-;_-@_-">
                  <c:v>4175</c:v>
                </c:pt>
                <c:pt idx="11" formatCode="_-* #,##0_-;\-* #,##0_-;_-* &quot;-&quot;_-;_-@_-">
                  <c:v>4056</c:v>
                </c:pt>
                <c:pt idx="12" formatCode="_-* #,##0_-;\-* #,##0_-;_-* &quot;-&quot;_-;_-@_-">
                  <c:v>3940</c:v>
                </c:pt>
                <c:pt idx="13" formatCode="_-* #,##0_-;\-* #,##0_-;_-* &quot;-&quot;_-;_-@_-">
                  <c:v>3828</c:v>
                </c:pt>
                <c:pt idx="14" formatCode="_-* #,##0_-;\-* #,##0_-;_-* &quot;-&quot;_-;_-@_-">
                  <c:v>3718</c:v>
                </c:pt>
                <c:pt idx="15" formatCode="_-* #,##0_-;\-* #,##0_-;_-* &quot;-&quot;_-;_-@_-">
                  <c:v>3612</c:v>
                </c:pt>
                <c:pt idx="16" formatCode="_-* #,##0_-;\-* #,##0_-;_-* &quot;-&quot;_-;_-@_-">
                  <c:v>3509</c:v>
                </c:pt>
                <c:pt idx="17" formatCode="_-* #,##0_-;\-* #,##0_-;_-* &quot;-&quot;_-;_-@_-">
                  <c:v>3409</c:v>
                </c:pt>
                <c:pt idx="18" formatCode="_-* #,##0_-;\-* #,##0_-;_-* &quot;-&quot;_-;_-@_-">
                  <c:v>3312</c:v>
                </c:pt>
                <c:pt idx="19" formatCode="_-* #,##0_-;\-* #,##0_-;_-* &quot;-&quot;_-;_-@_-">
                  <c:v>3217</c:v>
                </c:pt>
                <c:pt idx="20" formatCode="_-* #,##0_-;\-* #,##0_-;_-* &quot;-&quot;_-;_-@_-">
                  <c:v>3125</c:v>
                </c:pt>
                <c:pt idx="21" formatCode="_-* #,##0_-;\-* #,##0_-;_-* &quot;-&quot;_-;_-@_-">
                  <c:v>3036</c:v>
                </c:pt>
                <c:pt idx="22" formatCode="_-* #,##0_-;\-* #,##0_-;_-* &quot;-&quot;_-;_-@_-">
                  <c:v>2949</c:v>
                </c:pt>
                <c:pt idx="23" formatCode="_-* #,##0_-;\-* #,##0_-;_-* &quot;-&quot;_-;_-@_-">
                  <c:v>2865</c:v>
                </c:pt>
              </c:numCache>
            </c:numRef>
          </c:val>
        </c:ser>
        <c:marker val="1"/>
        <c:axId val="129276544"/>
        <c:axId val="129291392"/>
      </c:lineChart>
      <c:catAx>
        <c:axId val="129276544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875" b="0" i="0" u="none" strike="noStrike" baseline="0">
                    <a:solidFill>
                      <a:srgbClr val="000000"/>
                    </a:solidFill>
                    <a:latin typeface="돋움"/>
                    <a:ea typeface="돋움"/>
                    <a:cs typeface="돋움"/>
                  </a:defRPr>
                </a:pPr>
                <a:r>
                  <a:rPr altLang="en-US"/>
                  <a:t>연도</a:t>
                </a:r>
              </a:p>
            </c:rich>
          </c:tx>
          <c:layout>
            <c:manualLayout>
              <c:xMode val="edge"/>
              <c:yMode val="edge"/>
              <c:x val="0.50000023539658589"/>
              <c:y val="0.81939243336028011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maj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돋움"/>
                <a:ea typeface="돋움"/>
                <a:cs typeface="돋움"/>
              </a:defRPr>
            </a:pPr>
            <a:endParaRPr lang="ko-KR"/>
          </a:p>
        </c:txPr>
        <c:crossAx val="129291392"/>
        <c:crosses val="autoZero"/>
        <c:auto val="1"/>
        <c:lblAlgn val="ctr"/>
        <c:lblOffset val="100"/>
        <c:tickLblSkip val="2"/>
        <c:tickMarkSkip val="1"/>
      </c:catAx>
      <c:valAx>
        <c:axId val="129291392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맑은 고딕"/>
                    <a:ea typeface="맑은 고딕"/>
                    <a:cs typeface="맑은 고딕"/>
                  </a:defRPr>
                </a:pPr>
                <a:r>
                  <a:rPr lang="ko-KR" altLang="en-US" sz="875" b="0" i="0" strike="noStrike">
                    <a:solidFill>
                      <a:srgbClr val="000000"/>
                    </a:solidFill>
                    <a:latin typeface="돋움"/>
                    <a:ea typeface="돋움"/>
                  </a:rPr>
                  <a:t>인구</a:t>
                </a:r>
                <a:r>
                  <a:rPr lang="en-US" altLang="ko-KR" sz="875" b="0" i="0" strike="noStrike">
                    <a:solidFill>
                      <a:srgbClr val="000000"/>
                    </a:solidFill>
                    <a:latin typeface="돋움"/>
                    <a:ea typeface="돋움"/>
                  </a:rPr>
                  <a:t>(</a:t>
                </a:r>
                <a:r>
                  <a:rPr lang="ko-KR" altLang="en-US" sz="875" b="0" i="0" strike="noStrike">
                    <a:solidFill>
                      <a:srgbClr val="000000"/>
                    </a:solidFill>
                    <a:latin typeface="돋움"/>
                    <a:ea typeface="돋움"/>
                  </a:rPr>
                  <a:t>명</a:t>
                </a:r>
                <a:r>
                  <a:rPr lang="en-US" altLang="ko-KR" sz="875" b="0" i="0" strike="noStrike">
                    <a:solidFill>
                      <a:srgbClr val="000000"/>
                    </a:solidFill>
                    <a:latin typeface="돋움"/>
                    <a:ea typeface="돋움"/>
                  </a:rPr>
                  <a:t>)</a:t>
                </a:r>
              </a:p>
            </c:rich>
          </c:tx>
          <c:layout>
            <c:manualLayout>
              <c:xMode val="edge"/>
              <c:yMode val="edge"/>
              <c:x val="2.6905829596412592E-2"/>
              <c:y val="0.38212967675618492"/>
            </c:manualLayout>
          </c:layout>
          <c:spPr>
            <a:noFill/>
            <a:ln w="25400">
              <a:noFill/>
            </a:ln>
          </c:spPr>
        </c:title>
        <c:numFmt formatCode="#,##0_ " sourceLinked="0"/>
        <c:maj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돋움"/>
                <a:ea typeface="돋움"/>
                <a:cs typeface="돋움"/>
              </a:defRPr>
            </a:pPr>
            <a:endParaRPr lang="ko-KR"/>
          </a:p>
        </c:txPr>
        <c:crossAx val="129276544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wMode val="edge"/>
          <c:hMode val="edge"/>
          <c:x val="0.12780280828125185"/>
          <c:y val="0.90114148278993644"/>
          <c:w val="0.91591987100267169"/>
          <c:h val="0.96197798469107765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돋움"/>
              <a:ea typeface="돋움"/>
              <a:cs typeface="돋움"/>
            </a:defRPr>
          </a:pPr>
          <a:endParaRPr lang="ko-KR"/>
        </a:p>
      </c:txPr>
    </c:legend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75" b="0" i="0" u="none" strike="noStrike" baseline="0">
          <a:solidFill>
            <a:srgbClr val="000000"/>
          </a:solidFill>
          <a:latin typeface="돋움"/>
          <a:ea typeface="돋움"/>
          <a:cs typeface="돋움"/>
        </a:defRPr>
      </a:pPr>
      <a:endParaRPr lang="ko-KR"/>
    </a:p>
  </c:txPr>
  <c:printSettings>
    <c:headerFooter alignWithMargins="0"/>
    <c:pageMargins b="1" l="0.75000000000000144" r="0.75000000000000144" t="1" header="0.5" footer="0.5"/>
    <c:pageSetup paperSize="9" orientation="landscape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ko-KR"/>
  <c:chart>
    <c:title>
      <c:tx>
        <c:rich>
          <a:bodyPr/>
          <a:lstStyle/>
          <a:p>
            <a:pPr>
              <a:defRPr sz="1175" b="1" i="0" u="none" strike="noStrike" baseline="0">
                <a:solidFill>
                  <a:srgbClr val="000000"/>
                </a:solidFill>
                <a:latin typeface="돋움"/>
                <a:ea typeface="돋움"/>
                <a:cs typeface="돋움"/>
              </a:defRPr>
            </a:pPr>
            <a:r>
              <a:rPr altLang="en-US"/>
              <a:t>북평동</a:t>
            </a:r>
          </a:p>
        </c:rich>
      </c:tx>
      <c:layout>
        <c:manualLayout>
          <c:xMode val="edge"/>
          <c:yMode val="edge"/>
          <c:x val="0.46861010086743682"/>
          <c:y val="2.8517110266159756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0313906991129369"/>
          <c:y val="9.3155980012012529E-2"/>
          <c:w val="0.83183902037152235"/>
          <c:h val="0.67490556947478386"/>
        </c:manualLayout>
      </c:layout>
      <c:lineChart>
        <c:grouping val="standard"/>
        <c:ser>
          <c:idx val="0"/>
          <c:order val="0"/>
          <c:tx>
            <c:v>등차</c:v>
          </c:tx>
          <c:spPr>
            <a:ln w="3175">
              <a:solidFill>
                <a:srgbClr val="000080"/>
              </a:solidFill>
              <a:prstDash val="solid"/>
            </a:ln>
          </c:spPr>
          <c:marker>
            <c:symbol val="diamond"/>
            <c:size val="3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북평동20년!$L$225:$AX$225</c:f>
              <c:numCache>
                <c:formatCode>General</c:formatCode>
                <c:ptCount val="39"/>
                <c:pt idx="0">
                  <c:v>1988</c:v>
                </c:pt>
                <c:pt idx="1">
                  <c:v>1989</c:v>
                </c:pt>
                <c:pt idx="2">
                  <c:v>1990</c:v>
                </c:pt>
                <c:pt idx="3">
                  <c:v>1991</c:v>
                </c:pt>
                <c:pt idx="4">
                  <c:v>1992</c:v>
                </c:pt>
                <c:pt idx="5">
                  <c:v>1993</c:v>
                </c:pt>
                <c:pt idx="6">
                  <c:v>1994</c:v>
                </c:pt>
                <c:pt idx="7">
                  <c:v>1995</c:v>
                </c:pt>
                <c:pt idx="8">
                  <c:v>1996</c:v>
                </c:pt>
                <c:pt idx="9">
                  <c:v>1997</c:v>
                </c:pt>
                <c:pt idx="10">
                  <c:v>1998</c:v>
                </c:pt>
                <c:pt idx="11">
                  <c:v>1999</c:v>
                </c:pt>
                <c:pt idx="12">
                  <c:v>2000</c:v>
                </c:pt>
                <c:pt idx="13">
                  <c:v>2001</c:v>
                </c:pt>
                <c:pt idx="14">
                  <c:v>2002</c:v>
                </c:pt>
                <c:pt idx="15">
                  <c:v>2003</c:v>
                </c:pt>
                <c:pt idx="16">
                  <c:v>2004</c:v>
                </c:pt>
                <c:pt idx="17">
                  <c:v>2005</c:v>
                </c:pt>
                <c:pt idx="18">
                  <c:v>2006</c:v>
                </c:pt>
                <c:pt idx="19">
                  <c:v>2007</c:v>
                </c:pt>
                <c:pt idx="20">
                  <c:v>2008</c:v>
                </c:pt>
                <c:pt idx="21">
                  <c:v>2009</c:v>
                </c:pt>
                <c:pt idx="22">
                  <c:v>2010</c:v>
                </c:pt>
                <c:pt idx="23">
                  <c:v>2011</c:v>
                </c:pt>
                <c:pt idx="24">
                  <c:v>2012</c:v>
                </c:pt>
                <c:pt idx="25">
                  <c:v>2013</c:v>
                </c:pt>
                <c:pt idx="26">
                  <c:v>2014</c:v>
                </c:pt>
                <c:pt idx="27">
                  <c:v>2015</c:v>
                </c:pt>
                <c:pt idx="28">
                  <c:v>2016</c:v>
                </c:pt>
                <c:pt idx="29">
                  <c:v>2017</c:v>
                </c:pt>
                <c:pt idx="30">
                  <c:v>2018</c:v>
                </c:pt>
                <c:pt idx="31">
                  <c:v>2019</c:v>
                </c:pt>
                <c:pt idx="32">
                  <c:v>2020</c:v>
                </c:pt>
                <c:pt idx="33">
                  <c:v>2021</c:v>
                </c:pt>
                <c:pt idx="34">
                  <c:v>2022</c:v>
                </c:pt>
                <c:pt idx="35">
                  <c:v>2023</c:v>
                </c:pt>
                <c:pt idx="36">
                  <c:v>2024</c:v>
                </c:pt>
                <c:pt idx="37">
                  <c:v>2025</c:v>
                </c:pt>
              </c:numCache>
            </c:numRef>
          </c:cat>
          <c:val>
            <c:numRef>
              <c:f>북평동20년!$L$226:$AW$226</c:f>
              <c:numCache>
                <c:formatCode>General</c:formatCode>
                <c:ptCount val="38"/>
                <c:pt idx="19" formatCode="_-* #,##0_-;\-* #,##0_-;_-* &quot;-&quot;_-;_-@_-">
                  <c:v>11080</c:v>
                </c:pt>
                <c:pt idx="20" formatCode="_-* #,##0_-;\-* #,##0_-;_-* &quot;-&quot;_-;_-@_-">
                  <c:v>11192</c:v>
                </c:pt>
                <c:pt idx="21" formatCode="_-* #,##0_-;\-* #,##0_-;_-* &quot;-&quot;_-;_-@_-">
                  <c:v>11305</c:v>
                </c:pt>
                <c:pt idx="22" formatCode="_-* #,##0_-;\-* #,##0_-;_-* &quot;-&quot;_-;_-@_-">
                  <c:v>11417</c:v>
                </c:pt>
                <c:pt idx="23" formatCode="_-* #,##0_-;\-* #,##0_-;_-* &quot;-&quot;_-;_-@_-">
                  <c:v>11529</c:v>
                </c:pt>
                <c:pt idx="24" formatCode="_-* #,##0_-;\-* #,##0_-;_-* &quot;-&quot;_-;_-@_-">
                  <c:v>11642</c:v>
                </c:pt>
                <c:pt idx="25" formatCode="_-* #,##0_-;\-* #,##0_-;_-* &quot;-&quot;_-;_-@_-">
                  <c:v>11754</c:v>
                </c:pt>
                <c:pt idx="26" formatCode="_-* #,##0_-;\-* #,##0_-;_-* &quot;-&quot;_-;_-@_-">
                  <c:v>11867</c:v>
                </c:pt>
                <c:pt idx="27" formatCode="_-* #,##0_-;\-* #,##0_-;_-* &quot;-&quot;_-;_-@_-">
                  <c:v>11979</c:v>
                </c:pt>
                <c:pt idx="28" formatCode="_-* #,##0_-;\-* #,##0_-;_-* &quot;-&quot;_-;_-@_-">
                  <c:v>12091</c:v>
                </c:pt>
                <c:pt idx="29" formatCode="_-* #,##0_-;\-* #,##0_-;_-* &quot;-&quot;_-;_-@_-">
                  <c:v>12204</c:v>
                </c:pt>
                <c:pt idx="30" formatCode="_-* #,##0_-;\-* #,##0_-;_-* &quot;-&quot;_-;_-@_-">
                  <c:v>12316</c:v>
                </c:pt>
                <c:pt idx="31" formatCode="_-* #,##0_-;\-* #,##0_-;_-* &quot;-&quot;_-;_-@_-">
                  <c:v>12428</c:v>
                </c:pt>
                <c:pt idx="32" formatCode="_-* #,##0_-;\-* #,##0_-;_-* &quot;-&quot;_-;_-@_-">
                  <c:v>12541</c:v>
                </c:pt>
                <c:pt idx="33" formatCode="_-* #,##0_-;\-* #,##0_-;_-* &quot;-&quot;_-;_-@_-">
                  <c:v>12653</c:v>
                </c:pt>
                <c:pt idx="34" formatCode="_-* #,##0_-;\-* #,##0_-;_-* &quot;-&quot;_-;_-@_-">
                  <c:v>12766</c:v>
                </c:pt>
                <c:pt idx="35" formatCode="_-* #,##0_-;\-* #,##0_-;_-* &quot;-&quot;_-;_-@_-">
                  <c:v>12878</c:v>
                </c:pt>
                <c:pt idx="36" formatCode="_-* #,##0_-;\-* #,##0_-;_-* &quot;-&quot;_-;_-@_-">
                  <c:v>12990</c:v>
                </c:pt>
                <c:pt idx="37" formatCode="_-* #,##0_-;\-* #,##0_-;_-* &quot;-&quot;_-;_-@_-">
                  <c:v>13103</c:v>
                </c:pt>
              </c:numCache>
            </c:numRef>
          </c:val>
        </c:ser>
        <c:ser>
          <c:idx val="1"/>
          <c:order val="1"/>
          <c:tx>
            <c:v>최소</c:v>
          </c:tx>
          <c:spPr>
            <a:ln w="3175">
              <a:solidFill>
                <a:srgbClr val="FF00FF"/>
              </a:solidFill>
              <a:prstDash val="solid"/>
            </a:ln>
          </c:spPr>
          <c:marker>
            <c:symbol val="square"/>
            <c:size val="3"/>
            <c:spPr>
              <a:noFill/>
              <a:ln>
                <a:solidFill>
                  <a:srgbClr val="FF00FF"/>
                </a:solidFill>
                <a:prstDash val="solid"/>
              </a:ln>
            </c:spPr>
          </c:marker>
          <c:cat>
            <c:numRef>
              <c:f>북평동20년!$L$225:$AX$225</c:f>
              <c:numCache>
                <c:formatCode>General</c:formatCode>
                <c:ptCount val="39"/>
                <c:pt idx="0">
                  <c:v>1988</c:v>
                </c:pt>
                <c:pt idx="1">
                  <c:v>1989</c:v>
                </c:pt>
                <c:pt idx="2">
                  <c:v>1990</c:v>
                </c:pt>
                <c:pt idx="3">
                  <c:v>1991</c:v>
                </c:pt>
                <c:pt idx="4">
                  <c:v>1992</c:v>
                </c:pt>
                <c:pt idx="5">
                  <c:v>1993</c:v>
                </c:pt>
                <c:pt idx="6">
                  <c:v>1994</c:v>
                </c:pt>
                <c:pt idx="7">
                  <c:v>1995</c:v>
                </c:pt>
                <c:pt idx="8">
                  <c:v>1996</c:v>
                </c:pt>
                <c:pt idx="9">
                  <c:v>1997</c:v>
                </c:pt>
                <c:pt idx="10">
                  <c:v>1998</c:v>
                </c:pt>
                <c:pt idx="11">
                  <c:v>1999</c:v>
                </c:pt>
                <c:pt idx="12">
                  <c:v>2000</c:v>
                </c:pt>
                <c:pt idx="13">
                  <c:v>2001</c:v>
                </c:pt>
                <c:pt idx="14">
                  <c:v>2002</c:v>
                </c:pt>
                <c:pt idx="15">
                  <c:v>2003</c:v>
                </c:pt>
                <c:pt idx="16">
                  <c:v>2004</c:v>
                </c:pt>
                <c:pt idx="17">
                  <c:v>2005</c:v>
                </c:pt>
                <c:pt idx="18">
                  <c:v>2006</c:v>
                </c:pt>
                <c:pt idx="19">
                  <c:v>2007</c:v>
                </c:pt>
                <c:pt idx="20">
                  <c:v>2008</c:v>
                </c:pt>
                <c:pt idx="21">
                  <c:v>2009</c:v>
                </c:pt>
                <c:pt idx="22">
                  <c:v>2010</c:v>
                </c:pt>
                <c:pt idx="23">
                  <c:v>2011</c:v>
                </c:pt>
                <c:pt idx="24">
                  <c:v>2012</c:v>
                </c:pt>
                <c:pt idx="25">
                  <c:v>2013</c:v>
                </c:pt>
                <c:pt idx="26">
                  <c:v>2014</c:v>
                </c:pt>
                <c:pt idx="27">
                  <c:v>2015</c:v>
                </c:pt>
                <c:pt idx="28">
                  <c:v>2016</c:v>
                </c:pt>
                <c:pt idx="29">
                  <c:v>2017</c:v>
                </c:pt>
                <c:pt idx="30">
                  <c:v>2018</c:v>
                </c:pt>
                <c:pt idx="31">
                  <c:v>2019</c:v>
                </c:pt>
                <c:pt idx="32">
                  <c:v>2020</c:v>
                </c:pt>
                <c:pt idx="33">
                  <c:v>2021</c:v>
                </c:pt>
                <c:pt idx="34">
                  <c:v>2022</c:v>
                </c:pt>
                <c:pt idx="35">
                  <c:v>2023</c:v>
                </c:pt>
                <c:pt idx="36">
                  <c:v>2024</c:v>
                </c:pt>
                <c:pt idx="37">
                  <c:v>2025</c:v>
                </c:pt>
              </c:numCache>
            </c:numRef>
          </c:cat>
          <c:val>
            <c:numRef>
              <c:f>북평동20년!$L$227:$AW$227</c:f>
              <c:numCache>
                <c:formatCode>General</c:formatCode>
                <c:ptCount val="38"/>
                <c:pt idx="19" formatCode="_-* #,##0_-;\-* #,##0_-;_-* &quot;-&quot;_-;_-@_-">
                  <c:v>11080</c:v>
                </c:pt>
                <c:pt idx="20" formatCode="_-* #,##0_-;\-* #,##0_-;_-* &quot;-&quot;_-;_-@_-">
                  <c:v>12362</c:v>
                </c:pt>
                <c:pt idx="21" formatCode="_-* #,##0_-;\-* #,##0_-;_-* &quot;-&quot;_-;_-@_-">
                  <c:v>12545</c:v>
                </c:pt>
                <c:pt idx="22" formatCode="_-* #,##0_-;\-* #,##0_-;_-* &quot;-&quot;_-;_-@_-">
                  <c:v>12729</c:v>
                </c:pt>
                <c:pt idx="23" formatCode="_-* #,##0_-;\-* #,##0_-;_-* &quot;-&quot;_-;_-@_-">
                  <c:v>12912</c:v>
                </c:pt>
                <c:pt idx="24" formatCode="_-* #,##0_-;\-* #,##0_-;_-* &quot;-&quot;_-;_-@_-">
                  <c:v>13096</c:v>
                </c:pt>
                <c:pt idx="25" formatCode="_-* #,##0_-;\-* #,##0_-;_-* &quot;-&quot;_-;_-@_-">
                  <c:v>13280</c:v>
                </c:pt>
                <c:pt idx="26" formatCode="_-* #,##0_-;\-* #,##0_-;_-* &quot;-&quot;_-;_-@_-">
                  <c:v>13463</c:v>
                </c:pt>
                <c:pt idx="27" formatCode="_-* #,##0_-;\-* #,##0_-;_-* &quot;-&quot;_-;_-@_-">
                  <c:v>13647</c:v>
                </c:pt>
                <c:pt idx="28" formatCode="_-* #,##0_-;\-* #,##0_-;_-* &quot;-&quot;_-;_-@_-">
                  <c:v>13830</c:v>
                </c:pt>
                <c:pt idx="29" formatCode="_-* #,##0_-;\-* #,##0_-;_-* &quot;-&quot;_-;_-@_-">
                  <c:v>14014</c:v>
                </c:pt>
                <c:pt idx="30" formatCode="_-* #,##0_-;\-* #,##0_-;_-* &quot;-&quot;_-;_-@_-">
                  <c:v>14197</c:v>
                </c:pt>
                <c:pt idx="31" formatCode="_-* #,##0_-;\-* #,##0_-;_-* &quot;-&quot;_-;_-@_-">
                  <c:v>14381</c:v>
                </c:pt>
                <c:pt idx="32" formatCode="_-* #,##0_-;\-* #,##0_-;_-* &quot;-&quot;_-;_-@_-">
                  <c:v>14564</c:v>
                </c:pt>
                <c:pt idx="33" formatCode="_-* #,##0_-;\-* #,##0_-;_-* &quot;-&quot;_-;_-@_-">
                  <c:v>14748</c:v>
                </c:pt>
                <c:pt idx="34" formatCode="_-* #,##0_-;\-* #,##0_-;_-* &quot;-&quot;_-;_-@_-">
                  <c:v>14931</c:v>
                </c:pt>
                <c:pt idx="35" formatCode="_-* #,##0_-;\-* #,##0_-;_-* &quot;-&quot;_-;_-@_-">
                  <c:v>15115</c:v>
                </c:pt>
                <c:pt idx="36" formatCode="_-* #,##0_-;\-* #,##0_-;_-* &quot;-&quot;_-;_-@_-">
                  <c:v>15298</c:v>
                </c:pt>
                <c:pt idx="37" formatCode="_-* #,##0_-;\-* #,##0_-;_-* &quot;-&quot;_-;_-@_-">
                  <c:v>15482</c:v>
                </c:pt>
              </c:numCache>
            </c:numRef>
          </c:val>
        </c:ser>
        <c:ser>
          <c:idx val="4"/>
          <c:order val="2"/>
          <c:tx>
            <c:v>로지스틱</c:v>
          </c:tx>
          <c:spPr>
            <a:ln w="3175">
              <a:solidFill>
                <a:srgbClr val="800080"/>
              </a:solidFill>
              <a:prstDash val="solid"/>
            </a:ln>
          </c:spPr>
          <c:marker>
            <c:symbol val="circle"/>
            <c:size val="3"/>
            <c:spPr>
              <a:noFill/>
              <a:ln>
                <a:solidFill>
                  <a:srgbClr val="800080"/>
                </a:solidFill>
                <a:prstDash val="solid"/>
              </a:ln>
            </c:spPr>
          </c:marker>
          <c:cat>
            <c:numRef>
              <c:f>북평동20년!$L$225:$AX$225</c:f>
              <c:numCache>
                <c:formatCode>General</c:formatCode>
                <c:ptCount val="39"/>
                <c:pt idx="0">
                  <c:v>1988</c:v>
                </c:pt>
                <c:pt idx="1">
                  <c:v>1989</c:v>
                </c:pt>
                <c:pt idx="2">
                  <c:v>1990</c:v>
                </c:pt>
                <c:pt idx="3">
                  <c:v>1991</c:v>
                </c:pt>
                <c:pt idx="4">
                  <c:v>1992</c:v>
                </c:pt>
                <c:pt idx="5">
                  <c:v>1993</c:v>
                </c:pt>
                <c:pt idx="6">
                  <c:v>1994</c:v>
                </c:pt>
                <c:pt idx="7">
                  <c:v>1995</c:v>
                </c:pt>
                <c:pt idx="8">
                  <c:v>1996</c:v>
                </c:pt>
                <c:pt idx="9">
                  <c:v>1997</c:v>
                </c:pt>
                <c:pt idx="10">
                  <c:v>1998</c:v>
                </c:pt>
                <c:pt idx="11">
                  <c:v>1999</c:v>
                </c:pt>
                <c:pt idx="12">
                  <c:v>2000</c:v>
                </c:pt>
                <c:pt idx="13">
                  <c:v>2001</c:v>
                </c:pt>
                <c:pt idx="14">
                  <c:v>2002</c:v>
                </c:pt>
                <c:pt idx="15">
                  <c:v>2003</c:v>
                </c:pt>
                <c:pt idx="16">
                  <c:v>2004</c:v>
                </c:pt>
                <c:pt idx="17">
                  <c:v>2005</c:v>
                </c:pt>
                <c:pt idx="18">
                  <c:v>2006</c:v>
                </c:pt>
                <c:pt idx="19">
                  <c:v>2007</c:v>
                </c:pt>
                <c:pt idx="20">
                  <c:v>2008</c:v>
                </c:pt>
                <c:pt idx="21">
                  <c:v>2009</c:v>
                </c:pt>
                <c:pt idx="22">
                  <c:v>2010</c:v>
                </c:pt>
                <c:pt idx="23">
                  <c:v>2011</c:v>
                </c:pt>
                <c:pt idx="24">
                  <c:v>2012</c:v>
                </c:pt>
                <c:pt idx="25">
                  <c:v>2013</c:v>
                </c:pt>
                <c:pt idx="26">
                  <c:v>2014</c:v>
                </c:pt>
                <c:pt idx="27">
                  <c:v>2015</c:v>
                </c:pt>
                <c:pt idx="28">
                  <c:v>2016</c:v>
                </c:pt>
                <c:pt idx="29">
                  <c:v>2017</c:v>
                </c:pt>
                <c:pt idx="30">
                  <c:v>2018</c:v>
                </c:pt>
                <c:pt idx="31">
                  <c:v>2019</c:v>
                </c:pt>
                <c:pt idx="32">
                  <c:v>2020</c:v>
                </c:pt>
                <c:pt idx="33">
                  <c:v>2021</c:v>
                </c:pt>
                <c:pt idx="34">
                  <c:v>2022</c:v>
                </c:pt>
                <c:pt idx="35">
                  <c:v>2023</c:v>
                </c:pt>
                <c:pt idx="36">
                  <c:v>2024</c:v>
                </c:pt>
                <c:pt idx="37">
                  <c:v>2025</c:v>
                </c:pt>
              </c:numCache>
            </c:numRef>
          </c:cat>
          <c:val>
            <c:numRef>
              <c:f>북평동20년!$L$230:$AW$230</c:f>
              <c:numCache>
                <c:formatCode>General</c:formatCode>
                <c:ptCount val="38"/>
                <c:pt idx="19" formatCode="_-* #,##0_-;\-* #,##0_-;_-* &quot;-&quot;_-;_-@_-">
                  <c:v>11080</c:v>
                </c:pt>
                <c:pt idx="20" formatCode="_-* #,##0_-;\-* #,##0_-;_-* &quot;-&quot;_-;_-@_-">
                  <c:v>12391</c:v>
                </c:pt>
                <c:pt idx="21" formatCode="_-* #,##0_-;\-* #,##0_-;_-* &quot;-&quot;_-;_-@_-">
                  <c:v>12581</c:v>
                </c:pt>
                <c:pt idx="22" formatCode="_-* #,##0_-;\-* #,##0_-;_-* &quot;-&quot;_-;_-@_-">
                  <c:v>12772</c:v>
                </c:pt>
                <c:pt idx="23" formatCode="_-* #,##0_-;\-* #,##0_-;_-* &quot;-&quot;_-;_-@_-">
                  <c:v>12962</c:v>
                </c:pt>
                <c:pt idx="24" formatCode="_-* #,##0_-;\-* #,##0_-;_-* &quot;-&quot;_-;_-@_-">
                  <c:v>13152</c:v>
                </c:pt>
                <c:pt idx="25" formatCode="_-* #,##0_-;\-* #,##0_-;_-* &quot;-&quot;_-;_-@_-">
                  <c:v>13341</c:v>
                </c:pt>
                <c:pt idx="26" formatCode="_-* #,##0_-;\-* #,##0_-;_-* &quot;-&quot;_-;_-@_-">
                  <c:v>13531</c:v>
                </c:pt>
                <c:pt idx="27" formatCode="_-* #,##0_-;\-* #,##0_-;_-* &quot;-&quot;_-;_-@_-">
                  <c:v>13719</c:v>
                </c:pt>
                <c:pt idx="28" formatCode="_-* #,##0_-;\-* #,##0_-;_-* &quot;-&quot;_-;_-@_-">
                  <c:v>13908</c:v>
                </c:pt>
                <c:pt idx="29" formatCode="_-* #,##0_-;\-* #,##0_-;_-* &quot;-&quot;_-;_-@_-">
                  <c:v>14095</c:v>
                </c:pt>
                <c:pt idx="30" formatCode="_-* #,##0_-;\-* #,##0_-;_-* &quot;-&quot;_-;_-@_-">
                  <c:v>14282</c:v>
                </c:pt>
                <c:pt idx="31" formatCode="_-* #,##0_-;\-* #,##0_-;_-* &quot;-&quot;_-;_-@_-">
                  <c:v>14468</c:v>
                </c:pt>
                <c:pt idx="32" formatCode="_-* #,##0_-;\-* #,##0_-;_-* &quot;-&quot;_-;_-@_-">
                  <c:v>14653</c:v>
                </c:pt>
                <c:pt idx="33" formatCode="_-* #,##0_-;\-* #,##0_-;_-* &quot;-&quot;_-;_-@_-">
                  <c:v>14837</c:v>
                </c:pt>
                <c:pt idx="34" formatCode="_-* #,##0_-;\-* #,##0_-;_-* &quot;-&quot;_-;_-@_-">
                  <c:v>15020</c:v>
                </c:pt>
                <c:pt idx="35" formatCode="_-* #,##0_-;\-* #,##0_-;_-* &quot;-&quot;_-;_-@_-">
                  <c:v>15202</c:v>
                </c:pt>
                <c:pt idx="36" formatCode="_-* #,##0_-;\-* #,##0_-;_-* &quot;-&quot;_-;_-@_-">
                  <c:v>15383</c:v>
                </c:pt>
                <c:pt idx="37" formatCode="_-* #,##0_-;\-* #,##0_-;_-* &quot;-&quot;_-;_-@_-">
                  <c:v>15562</c:v>
                </c:pt>
              </c:numCache>
            </c:numRef>
          </c:val>
        </c:ser>
        <c:ser>
          <c:idx val="5"/>
          <c:order val="3"/>
          <c:tx>
            <c:v>평균(최대최소제외)</c:v>
          </c:tx>
          <c:spPr>
            <a:ln w="3175">
              <a:solidFill>
                <a:srgbClr val="800000"/>
              </a:solidFill>
              <a:prstDash val="sysDash"/>
            </a:ln>
          </c:spPr>
          <c:marker>
            <c:symbol val="circle"/>
            <c:size val="3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북평동20년!$L$225:$AX$225</c:f>
              <c:numCache>
                <c:formatCode>General</c:formatCode>
                <c:ptCount val="39"/>
                <c:pt idx="0">
                  <c:v>1988</c:v>
                </c:pt>
                <c:pt idx="1">
                  <c:v>1989</c:v>
                </c:pt>
                <c:pt idx="2">
                  <c:v>1990</c:v>
                </c:pt>
                <c:pt idx="3">
                  <c:v>1991</c:v>
                </c:pt>
                <c:pt idx="4">
                  <c:v>1992</c:v>
                </c:pt>
                <c:pt idx="5">
                  <c:v>1993</c:v>
                </c:pt>
                <c:pt idx="6">
                  <c:v>1994</c:v>
                </c:pt>
                <c:pt idx="7">
                  <c:v>1995</c:v>
                </c:pt>
                <c:pt idx="8">
                  <c:v>1996</c:v>
                </c:pt>
                <c:pt idx="9">
                  <c:v>1997</c:v>
                </c:pt>
                <c:pt idx="10">
                  <c:v>1998</c:v>
                </c:pt>
                <c:pt idx="11">
                  <c:v>1999</c:v>
                </c:pt>
                <c:pt idx="12">
                  <c:v>2000</c:v>
                </c:pt>
                <c:pt idx="13">
                  <c:v>2001</c:v>
                </c:pt>
                <c:pt idx="14">
                  <c:v>2002</c:v>
                </c:pt>
                <c:pt idx="15">
                  <c:v>2003</c:v>
                </c:pt>
                <c:pt idx="16">
                  <c:v>2004</c:v>
                </c:pt>
                <c:pt idx="17">
                  <c:v>2005</c:v>
                </c:pt>
                <c:pt idx="18">
                  <c:v>2006</c:v>
                </c:pt>
                <c:pt idx="19">
                  <c:v>2007</c:v>
                </c:pt>
                <c:pt idx="20">
                  <c:v>2008</c:v>
                </c:pt>
                <c:pt idx="21">
                  <c:v>2009</c:v>
                </c:pt>
                <c:pt idx="22">
                  <c:v>2010</c:v>
                </c:pt>
                <c:pt idx="23">
                  <c:v>2011</c:v>
                </c:pt>
                <c:pt idx="24">
                  <c:v>2012</c:v>
                </c:pt>
                <c:pt idx="25">
                  <c:v>2013</c:v>
                </c:pt>
                <c:pt idx="26">
                  <c:v>2014</c:v>
                </c:pt>
                <c:pt idx="27">
                  <c:v>2015</c:v>
                </c:pt>
                <c:pt idx="28">
                  <c:v>2016</c:v>
                </c:pt>
                <c:pt idx="29">
                  <c:v>2017</c:v>
                </c:pt>
                <c:pt idx="30">
                  <c:v>2018</c:v>
                </c:pt>
                <c:pt idx="31">
                  <c:v>2019</c:v>
                </c:pt>
                <c:pt idx="32">
                  <c:v>2020</c:v>
                </c:pt>
                <c:pt idx="33">
                  <c:v>2021</c:v>
                </c:pt>
                <c:pt idx="34">
                  <c:v>2022</c:v>
                </c:pt>
                <c:pt idx="35">
                  <c:v>2023</c:v>
                </c:pt>
                <c:pt idx="36">
                  <c:v>2024</c:v>
                </c:pt>
                <c:pt idx="37">
                  <c:v>2025</c:v>
                </c:pt>
              </c:numCache>
            </c:numRef>
          </c:cat>
          <c:val>
            <c:numRef>
              <c:f>북평동20년!$L$231:$AW$231</c:f>
              <c:numCache>
                <c:formatCode>General</c:formatCode>
                <c:ptCount val="38"/>
                <c:pt idx="19" formatCode="_-* #,##0_-;\-* #,##0_-;_-* &quot;-&quot;_-;_-@_-">
                  <c:v>11080</c:v>
                </c:pt>
                <c:pt idx="20" formatCode="#,##0_ ">
                  <c:v>11784</c:v>
                </c:pt>
                <c:pt idx="21" formatCode="#,##0_ ">
                  <c:v>11939</c:v>
                </c:pt>
                <c:pt idx="22" formatCode="#,##0_ ">
                  <c:v>12095</c:v>
                </c:pt>
                <c:pt idx="23" formatCode="#,##0_ ">
                  <c:v>12251.5</c:v>
                </c:pt>
                <c:pt idx="24" formatCode="#,##0_ ">
                  <c:v>12409</c:v>
                </c:pt>
                <c:pt idx="25" formatCode="#,##0_ ">
                  <c:v>12567.5</c:v>
                </c:pt>
                <c:pt idx="26" formatCode="#,##0_ ">
                  <c:v>12726</c:v>
                </c:pt>
                <c:pt idx="27" formatCode="#,##0_ ">
                  <c:v>12886</c:v>
                </c:pt>
                <c:pt idx="28" formatCode="#,##0_ ">
                  <c:v>13046.5</c:v>
                </c:pt>
                <c:pt idx="29" formatCode="#,##0_ ">
                  <c:v>13207.5</c:v>
                </c:pt>
                <c:pt idx="30" formatCode="#,##0_ ">
                  <c:v>13369.5</c:v>
                </c:pt>
                <c:pt idx="31" formatCode="#,##0_ ">
                  <c:v>13532.5</c:v>
                </c:pt>
                <c:pt idx="32" formatCode="#,##0_ ">
                  <c:v>13696</c:v>
                </c:pt>
                <c:pt idx="33" formatCode="#,##0_ ">
                  <c:v>13860.5</c:v>
                </c:pt>
                <c:pt idx="34" formatCode="#,##0_ ">
                  <c:v>14025.5</c:v>
                </c:pt>
                <c:pt idx="35" formatCode="#,##0_ ">
                  <c:v>14192</c:v>
                </c:pt>
                <c:pt idx="36" formatCode="#,##0_ ">
                  <c:v>14358.5</c:v>
                </c:pt>
                <c:pt idx="37" formatCode="#,##0_ ">
                  <c:v>14526.5</c:v>
                </c:pt>
              </c:numCache>
            </c:numRef>
          </c:val>
        </c:ser>
        <c:ser>
          <c:idx val="6"/>
          <c:order val="4"/>
          <c:tx>
            <c:v>과거</c:v>
          </c:tx>
          <c:spPr>
            <a:ln w="12700">
              <a:solidFill>
                <a:srgbClr val="008080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008080"/>
                </a:solidFill>
                <a:prstDash val="solid"/>
              </a:ln>
            </c:spPr>
          </c:marker>
          <c:cat>
            <c:numRef>
              <c:f>북평동20년!$L$225:$AX$225</c:f>
              <c:numCache>
                <c:formatCode>General</c:formatCode>
                <c:ptCount val="39"/>
                <c:pt idx="0">
                  <c:v>1988</c:v>
                </c:pt>
                <c:pt idx="1">
                  <c:v>1989</c:v>
                </c:pt>
                <c:pt idx="2">
                  <c:v>1990</c:v>
                </c:pt>
                <c:pt idx="3">
                  <c:v>1991</c:v>
                </c:pt>
                <c:pt idx="4">
                  <c:v>1992</c:v>
                </c:pt>
                <c:pt idx="5">
                  <c:v>1993</c:v>
                </c:pt>
                <c:pt idx="6">
                  <c:v>1994</c:v>
                </c:pt>
                <c:pt idx="7">
                  <c:v>1995</c:v>
                </c:pt>
                <c:pt idx="8">
                  <c:v>1996</c:v>
                </c:pt>
                <c:pt idx="9">
                  <c:v>1997</c:v>
                </c:pt>
                <c:pt idx="10">
                  <c:v>1998</c:v>
                </c:pt>
                <c:pt idx="11">
                  <c:v>1999</c:v>
                </c:pt>
                <c:pt idx="12">
                  <c:v>2000</c:v>
                </c:pt>
                <c:pt idx="13">
                  <c:v>2001</c:v>
                </c:pt>
                <c:pt idx="14">
                  <c:v>2002</c:v>
                </c:pt>
                <c:pt idx="15">
                  <c:v>2003</c:v>
                </c:pt>
                <c:pt idx="16">
                  <c:v>2004</c:v>
                </c:pt>
                <c:pt idx="17">
                  <c:v>2005</c:v>
                </c:pt>
                <c:pt idx="18">
                  <c:v>2006</c:v>
                </c:pt>
                <c:pt idx="19">
                  <c:v>2007</c:v>
                </c:pt>
                <c:pt idx="20">
                  <c:v>2008</c:v>
                </c:pt>
                <c:pt idx="21">
                  <c:v>2009</c:v>
                </c:pt>
                <c:pt idx="22">
                  <c:v>2010</c:v>
                </c:pt>
                <c:pt idx="23">
                  <c:v>2011</c:v>
                </c:pt>
                <c:pt idx="24">
                  <c:v>2012</c:v>
                </c:pt>
                <c:pt idx="25">
                  <c:v>2013</c:v>
                </c:pt>
                <c:pt idx="26">
                  <c:v>2014</c:v>
                </c:pt>
                <c:pt idx="27">
                  <c:v>2015</c:v>
                </c:pt>
                <c:pt idx="28">
                  <c:v>2016</c:v>
                </c:pt>
                <c:pt idx="29">
                  <c:v>2017</c:v>
                </c:pt>
                <c:pt idx="30">
                  <c:v>2018</c:v>
                </c:pt>
                <c:pt idx="31">
                  <c:v>2019</c:v>
                </c:pt>
                <c:pt idx="32">
                  <c:v>2020</c:v>
                </c:pt>
                <c:pt idx="33">
                  <c:v>2021</c:v>
                </c:pt>
                <c:pt idx="34">
                  <c:v>2022</c:v>
                </c:pt>
                <c:pt idx="35">
                  <c:v>2023</c:v>
                </c:pt>
                <c:pt idx="36">
                  <c:v>2024</c:v>
                </c:pt>
                <c:pt idx="37">
                  <c:v>2025</c:v>
                </c:pt>
              </c:numCache>
            </c:numRef>
          </c:cat>
          <c:val>
            <c:numRef>
              <c:f>북평동20년!$L$223:$AG$223</c:f>
              <c:numCache>
                <c:formatCode>_-* #,##0_-;\-* #,##0_-;_-* "-"_-;_-@_-</c:formatCode>
                <c:ptCount val="22"/>
                <c:pt idx="0" formatCode="General">
                  <c:v>8945</c:v>
                </c:pt>
                <c:pt idx="1">
                  <c:v>9401</c:v>
                </c:pt>
                <c:pt idx="2" formatCode="General">
                  <c:v>8706</c:v>
                </c:pt>
                <c:pt idx="3">
                  <c:v>9085</c:v>
                </c:pt>
                <c:pt idx="4" formatCode="General">
                  <c:v>8744</c:v>
                </c:pt>
                <c:pt idx="5">
                  <c:v>8817</c:v>
                </c:pt>
                <c:pt idx="6">
                  <c:v>8907</c:v>
                </c:pt>
                <c:pt idx="7">
                  <c:v>9561</c:v>
                </c:pt>
                <c:pt idx="8">
                  <c:v>10107</c:v>
                </c:pt>
                <c:pt idx="9">
                  <c:v>10416</c:v>
                </c:pt>
                <c:pt idx="10">
                  <c:v>10645</c:v>
                </c:pt>
                <c:pt idx="11">
                  <c:v>11923</c:v>
                </c:pt>
                <c:pt idx="12">
                  <c:v>12487</c:v>
                </c:pt>
                <c:pt idx="13">
                  <c:v>12310</c:v>
                </c:pt>
                <c:pt idx="14">
                  <c:v>12027</c:v>
                </c:pt>
                <c:pt idx="15">
                  <c:v>11848</c:v>
                </c:pt>
                <c:pt idx="16">
                  <c:v>11403</c:v>
                </c:pt>
                <c:pt idx="17">
                  <c:v>11136</c:v>
                </c:pt>
                <c:pt idx="18">
                  <c:v>11152</c:v>
                </c:pt>
                <c:pt idx="19">
                  <c:v>11080</c:v>
                </c:pt>
                <c:pt idx="20">
                  <c:v>12391</c:v>
                </c:pt>
              </c:numCache>
            </c:numRef>
          </c:val>
        </c:ser>
        <c:ser>
          <c:idx val="2"/>
          <c:order val="5"/>
          <c:tx>
            <c:v>등비</c:v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FF0000"/>
                </a:solidFill>
                <a:prstDash val="solid"/>
              </a:ln>
            </c:spPr>
          </c:marker>
          <c:val>
            <c:numRef>
              <c:f>북평동20년!$L$228:$AW$228</c:f>
              <c:numCache>
                <c:formatCode>General</c:formatCode>
                <c:ptCount val="38"/>
                <c:pt idx="19" formatCode="_-* #,##0_-;\-* #,##0_-;_-* &quot;-&quot;_-;_-@_-">
                  <c:v>11080</c:v>
                </c:pt>
                <c:pt idx="20" formatCode="_-* #,##0_-;\-* #,##0_-;_-* &quot;-&quot;_-;_-@_-">
                  <c:v>11206</c:v>
                </c:pt>
                <c:pt idx="21" formatCode="_-* #,##0_-;\-* #,##0_-;_-* &quot;-&quot;_-;_-@_-">
                  <c:v>11333</c:v>
                </c:pt>
                <c:pt idx="22" formatCode="_-* #,##0_-;\-* #,##0_-;_-* &quot;-&quot;_-;_-@_-">
                  <c:v>11461</c:v>
                </c:pt>
                <c:pt idx="23" formatCode="_-* #,##0_-;\-* #,##0_-;_-* &quot;-&quot;_-;_-@_-">
                  <c:v>11591</c:v>
                </c:pt>
                <c:pt idx="24" formatCode="_-* #,##0_-;\-* #,##0_-;_-* &quot;-&quot;_-;_-@_-">
                  <c:v>11722</c:v>
                </c:pt>
                <c:pt idx="25" formatCode="_-* #,##0_-;\-* #,##0_-;_-* &quot;-&quot;_-;_-@_-">
                  <c:v>11855</c:v>
                </c:pt>
                <c:pt idx="26" formatCode="_-* #,##0_-;\-* #,##0_-;_-* &quot;-&quot;_-;_-@_-">
                  <c:v>11989</c:v>
                </c:pt>
                <c:pt idx="27" formatCode="_-* #,##0_-;\-* #,##0_-;_-* &quot;-&quot;_-;_-@_-">
                  <c:v>12125</c:v>
                </c:pt>
                <c:pt idx="28" formatCode="_-* #,##0_-;\-* #,##0_-;_-* &quot;-&quot;_-;_-@_-">
                  <c:v>12263</c:v>
                </c:pt>
                <c:pt idx="29" formatCode="_-* #,##0_-;\-* #,##0_-;_-* &quot;-&quot;_-;_-@_-">
                  <c:v>12401</c:v>
                </c:pt>
                <c:pt idx="30" formatCode="_-* #,##0_-;\-* #,##0_-;_-* &quot;-&quot;_-;_-@_-">
                  <c:v>12542</c:v>
                </c:pt>
                <c:pt idx="31" formatCode="_-* #,##0_-;\-* #,##0_-;_-* &quot;-&quot;_-;_-@_-">
                  <c:v>12684</c:v>
                </c:pt>
                <c:pt idx="32" formatCode="_-* #,##0_-;\-* #,##0_-;_-* &quot;-&quot;_-;_-@_-">
                  <c:v>12828</c:v>
                </c:pt>
                <c:pt idx="33" formatCode="_-* #,##0_-;\-* #,##0_-;_-* &quot;-&quot;_-;_-@_-">
                  <c:v>12973</c:v>
                </c:pt>
                <c:pt idx="34" formatCode="_-* #,##0_-;\-* #,##0_-;_-* &quot;-&quot;_-;_-@_-">
                  <c:v>13120</c:v>
                </c:pt>
                <c:pt idx="35" formatCode="_-* #,##0_-;\-* #,##0_-;_-* &quot;-&quot;_-;_-@_-">
                  <c:v>13269</c:v>
                </c:pt>
                <c:pt idx="36" formatCode="_-* #,##0_-;\-* #,##0_-;_-* &quot;-&quot;_-;_-@_-">
                  <c:v>13419</c:v>
                </c:pt>
                <c:pt idx="37" formatCode="_-* #,##0_-;\-* #,##0_-;_-* &quot;-&quot;_-;_-@_-">
                  <c:v>13571</c:v>
                </c:pt>
              </c:numCache>
            </c:numRef>
          </c:val>
        </c:ser>
        <c:marker val="1"/>
        <c:axId val="131213952"/>
        <c:axId val="131245184"/>
      </c:lineChart>
      <c:catAx>
        <c:axId val="131213952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875" b="0" i="0" u="none" strike="noStrike" baseline="0">
                    <a:solidFill>
                      <a:srgbClr val="000000"/>
                    </a:solidFill>
                    <a:latin typeface="돋움"/>
                    <a:ea typeface="돋움"/>
                    <a:cs typeface="돋움"/>
                  </a:defRPr>
                </a:pPr>
                <a:r>
                  <a:rPr altLang="en-US"/>
                  <a:t>연도</a:t>
                </a:r>
              </a:p>
            </c:rich>
          </c:tx>
          <c:layout>
            <c:manualLayout>
              <c:xMode val="edge"/>
              <c:yMode val="edge"/>
              <c:x val="0.50336346409613442"/>
              <c:y val="0.81939243336028011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maj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돋움"/>
                <a:ea typeface="돋움"/>
                <a:cs typeface="돋움"/>
              </a:defRPr>
            </a:pPr>
            <a:endParaRPr lang="ko-KR"/>
          </a:p>
        </c:txPr>
        <c:crossAx val="131245184"/>
        <c:crosses val="autoZero"/>
        <c:auto val="1"/>
        <c:lblAlgn val="ctr"/>
        <c:lblOffset val="100"/>
        <c:tickLblSkip val="2"/>
        <c:tickMarkSkip val="1"/>
      </c:catAx>
      <c:valAx>
        <c:axId val="131245184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맑은 고딕"/>
                    <a:ea typeface="맑은 고딕"/>
                    <a:cs typeface="맑은 고딕"/>
                  </a:defRPr>
                </a:pPr>
                <a:r>
                  <a:rPr lang="ko-KR" altLang="en-US" sz="875" b="0" i="0" strike="noStrike">
                    <a:solidFill>
                      <a:srgbClr val="000000"/>
                    </a:solidFill>
                    <a:latin typeface="돋움"/>
                    <a:ea typeface="돋움"/>
                  </a:rPr>
                  <a:t>인구</a:t>
                </a:r>
                <a:r>
                  <a:rPr lang="en-US" altLang="ko-KR" sz="875" b="0" i="0" strike="noStrike">
                    <a:solidFill>
                      <a:srgbClr val="000000"/>
                    </a:solidFill>
                    <a:latin typeface="돋움"/>
                    <a:ea typeface="돋움"/>
                  </a:rPr>
                  <a:t>(</a:t>
                </a:r>
                <a:r>
                  <a:rPr lang="ko-KR" altLang="en-US" sz="875" b="0" i="0" strike="noStrike">
                    <a:solidFill>
                      <a:srgbClr val="000000"/>
                    </a:solidFill>
                    <a:latin typeface="돋움"/>
                    <a:ea typeface="돋움"/>
                  </a:rPr>
                  <a:t>명</a:t>
                </a:r>
                <a:r>
                  <a:rPr lang="en-US" altLang="ko-KR" sz="875" b="0" i="0" strike="noStrike">
                    <a:solidFill>
                      <a:srgbClr val="000000"/>
                    </a:solidFill>
                    <a:latin typeface="돋움"/>
                    <a:ea typeface="돋움"/>
                  </a:rPr>
                  <a:t>)</a:t>
                </a:r>
              </a:p>
            </c:rich>
          </c:tx>
          <c:layout>
            <c:manualLayout>
              <c:xMode val="edge"/>
              <c:yMode val="edge"/>
              <c:x val="2.5784753363228687E-2"/>
              <c:y val="0.38212967675618492"/>
            </c:manualLayout>
          </c:layout>
          <c:spPr>
            <a:noFill/>
            <a:ln w="25400">
              <a:noFill/>
            </a:ln>
          </c:spPr>
        </c:title>
        <c:numFmt formatCode="#,##0_ " sourceLinked="0"/>
        <c:maj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돋움"/>
                <a:ea typeface="돋움"/>
                <a:cs typeface="돋움"/>
              </a:defRPr>
            </a:pPr>
            <a:endParaRPr lang="ko-KR"/>
          </a:p>
        </c:txPr>
        <c:crossAx val="131213952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wMode val="edge"/>
          <c:hMode val="edge"/>
          <c:x val="0.12668173204806787"/>
          <c:y val="0.89733920142111512"/>
          <c:w val="0.91479879476948922"/>
          <c:h val="0.95817570332225577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돋움"/>
              <a:ea typeface="돋움"/>
              <a:cs typeface="돋움"/>
            </a:defRPr>
          </a:pPr>
          <a:endParaRPr lang="ko-KR"/>
        </a:p>
      </c:txPr>
    </c:legend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75" b="0" i="0" u="none" strike="noStrike" baseline="0">
          <a:solidFill>
            <a:srgbClr val="000000"/>
          </a:solidFill>
          <a:latin typeface="돋움"/>
          <a:ea typeface="돋움"/>
          <a:cs typeface="돋움"/>
        </a:defRPr>
      </a:pPr>
      <a:endParaRPr lang="ko-KR"/>
    </a:p>
  </c:txPr>
  <c:printSettings>
    <c:headerFooter alignWithMargins="0"/>
    <c:pageMargins b="1" l="0.75000000000000144" r="0.75000000000000144" t="1" header="0.5" footer="0.5"/>
    <c:pageSetup paperSize="9" orientation="landscape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ko-KR"/>
  <c:chart>
    <c:title>
      <c:tx>
        <c:rich>
          <a:bodyPr/>
          <a:lstStyle/>
          <a:p>
            <a:pPr>
              <a:defRPr sz="1175" b="1" i="0" u="none" strike="noStrike" baseline="0">
                <a:solidFill>
                  <a:srgbClr val="000000"/>
                </a:solidFill>
                <a:latin typeface="돋움"/>
                <a:ea typeface="돋움"/>
                <a:cs typeface="돋움"/>
              </a:defRPr>
            </a:pPr>
            <a:r>
              <a:rPr altLang="en-US"/>
              <a:t>북평동</a:t>
            </a:r>
          </a:p>
        </c:rich>
      </c:tx>
      <c:layout>
        <c:manualLayout>
          <c:xMode val="edge"/>
          <c:yMode val="edge"/>
          <c:x val="0.46861010086743682"/>
          <c:y val="2.8517110266159756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0426014675815599"/>
          <c:y val="9.3155980012012529E-2"/>
          <c:w val="0.830717943524659"/>
          <c:h val="0.67680671192400665"/>
        </c:manualLayout>
      </c:layout>
      <c:lineChart>
        <c:grouping val="standard"/>
        <c:ser>
          <c:idx val="0"/>
          <c:order val="0"/>
          <c:tx>
            <c:v>등차</c:v>
          </c:tx>
          <c:spPr>
            <a:ln w="3175">
              <a:solidFill>
                <a:srgbClr val="000080"/>
              </a:solidFill>
              <a:prstDash val="solid"/>
            </a:ln>
          </c:spPr>
          <c:marker>
            <c:symbol val="diamond"/>
            <c:size val="3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북평동10!$L$181:$AO$181</c:f>
              <c:numCache>
                <c:formatCode>General</c:formatCode>
                <c:ptCount val="30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  <c:pt idx="22">
                  <c:v>2019</c:v>
                </c:pt>
                <c:pt idx="23">
                  <c:v>2020</c:v>
                </c:pt>
                <c:pt idx="24">
                  <c:v>2021</c:v>
                </c:pt>
                <c:pt idx="25">
                  <c:v>2022</c:v>
                </c:pt>
                <c:pt idx="26">
                  <c:v>2023</c:v>
                </c:pt>
                <c:pt idx="27">
                  <c:v>2024</c:v>
                </c:pt>
                <c:pt idx="28">
                  <c:v>2025</c:v>
                </c:pt>
              </c:numCache>
            </c:numRef>
          </c:cat>
          <c:val>
            <c:numRef>
              <c:f>북평동10!$L$182:$AN$182</c:f>
              <c:numCache>
                <c:formatCode>General</c:formatCode>
                <c:ptCount val="29"/>
                <c:pt idx="10" formatCode="_-* #,##0_-;\-* #,##0_-;_-* &quot;-&quot;_-;_-@_-">
                  <c:v>11080</c:v>
                </c:pt>
                <c:pt idx="11" formatCode="_-* #,##0_-;\-* #,##0_-;_-* &quot;-&quot;_-;_-@_-">
                  <c:v>11146</c:v>
                </c:pt>
                <c:pt idx="12" formatCode="_-* #,##0_-;\-* #,##0_-;_-* &quot;-&quot;_-;_-@_-">
                  <c:v>11213</c:v>
                </c:pt>
                <c:pt idx="13" formatCode="_-* #,##0_-;\-* #,##0_-;_-* &quot;-&quot;_-;_-@_-">
                  <c:v>11279</c:v>
                </c:pt>
                <c:pt idx="14" formatCode="_-* #,##0_-;\-* #,##0_-;_-* &quot;-&quot;_-;_-@_-">
                  <c:v>11346</c:v>
                </c:pt>
                <c:pt idx="15" formatCode="_-* #,##0_-;\-* #,##0_-;_-* &quot;-&quot;_-;_-@_-">
                  <c:v>11412</c:v>
                </c:pt>
                <c:pt idx="16" formatCode="_-* #,##0_-;\-* #,##0_-;_-* &quot;-&quot;_-;_-@_-">
                  <c:v>11478</c:v>
                </c:pt>
                <c:pt idx="17" formatCode="_-* #,##0_-;\-* #,##0_-;_-* &quot;-&quot;_-;_-@_-">
                  <c:v>11545</c:v>
                </c:pt>
                <c:pt idx="18" formatCode="_-* #,##0_-;\-* #,##0_-;_-* &quot;-&quot;_-;_-@_-">
                  <c:v>11611</c:v>
                </c:pt>
                <c:pt idx="19" formatCode="_-* #,##0_-;\-* #,##0_-;_-* &quot;-&quot;_-;_-@_-">
                  <c:v>11678</c:v>
                </c:pt>
                <c:pt idx="20" formatCode="_-* #,##0_-;\-* #,##0_-;_-* &quot;-&quot;_-;_-@_-">
                  <c:v>11744</c:v>
                </c:pt>
                <c:pt idx="21" formatCode="_-* #,##0_-;\-* #,##0_-;_-* &quot;-&quot;_-;_-@_-">
                  <c:v>11810</c:v>
                </c:pt>
                <c:pt idx="22" formatCode="_-* #,##0_-;\-* #,##0_-;_-* &quot;-&quot;_-;_-@_-">
                  <c:v>11877</c:v>
                </c:pt>
                <c:pt idx="23" formatCode="_-* #,##0_-;\-* #,##0_-;_-* &quot;-&quot;_-;_-@_-">
                  <c:v>11943</c:v>
                </c:pt>
                <c:pt idx="24" formatCode="_-* #,##0_-;\-* #,##0_-;_-* &quot;-&quot;_-;_-@_-">
                  <c:v>12010</c:v>
                </c:pt>
                <c:pt idx="25" formatCode="_-* #,##0_-;\-* #,##0_-;_-* &quot;-&quot;_-;_-@_-">
                  <c:v>12076</c:v>
                </c:pt>
                <c:pt idx="26" formatCode="_-* #,##0_-;\-* #,##0_-;_-* &quot;-&quot;_-;_-@_-">
                  <c:v>12142</c:v>
                </c:pt>
                <c:pt idx="27" formatCode="_-* #,##0_-;\-* #,##0_-;_-* &quot;-&quot;_-;_-@_-">
                  <c:v>12209</c:v>
                </c:pt>
                <c:pt idx="28" formatCode="_-* #,##0_-;\-* #,##0_-;_-* &quot;-&quot;_-;_-@_-">
                  <c:v>12275</c:v>
                </c:pt>
              </c:numCache>
            </c:numRef>
          </c:val>
        </c:ser>
        <c:ser>
          <c:idx val="1"/>
          <c:order val="1"/>
          <c:tx>
            <c:v>최소</c:v>
          </c:tx>
          <c:spPr>
            <a:ln w="3175">
              <a:solidFill>
                <a:srgbClr val="FF00FF"/>
              </a:solidFill>
              <a:prstDash val="solid"/>
            </a:ln>
          </c:spPr>
          <c:marker>
            <c:symbol val="square"/>
            <c:size val="3"/>
            <c:spPr>
              <a:noFill/>
              <a:ln>
                <a:solidFill>
                  <a:srgbClr val="FF00FF"/>
                </a:solidFill>
                <a:prstDash val="solid"/>
              </a:ln>
            </c:spPr>
          </c:marker>
          <c:cat>
            <c:numRef>
              <c:f>북평동10!$L$181:$AO$181</c:f>
              <c:numCache>
                <c:formatCode>General</c:formatCode>
                <c:ptCount val="30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  <c:pt idx="22">
                  <c:v>2019</c:v>
                </c:pt>
                <c:pt idx="23">
                  <c:v>2020</c:v>
                </c:pt>
                <c:pt idx="24">
                  <c:v>2021</c:v>
                </c:pt>
                <c:pt idx="25">
                  <c:v>2022</c:v>
                </c:pt>
                <c:pt idx="26">
                  <c:v>2023</c:v>
                </c:pt>
                <c:pt idx="27">
                  <c:v>2024</c:v>
                </c:pt>
                <c:pt idx="28">
                  <c:v>2025</c:v>
                </c:pt>
              </c:numCache>
            </c:numRef>
          </c:cat>
          <c:val>
            <c:numRef>
              <c:f>북평동10!$L$183:$AN$183</c:f>
              <c:numCache>
                <c:formatCode>General</c:formatCode>
                <c:ptCount val="29"/>
                <c:pt idx="10" formatCode="_-* #,##0_-;\-* #,##0_-;_-* &quot;-&quot;_-;_-@_-">
                  <c:v>11080</c:v>
                </c:pt>
                <c:pt idx="11" formatCode="_-* #,##0_-;\-* #,##0_-;_-* &quot;-&quot;_-;_-@_-">
                  <c:v>11513</c:v>
                </c:pt>
                <c:pt idx="12" formatCode="_-* #,##0_-;\-* #,##0_-;_-* &quot;-&quot;_-;_-@_-">
                  <c:v>11516</c:v>
                </c:pt>
                <c:pt idx="13" formatCode="_-* #,##0_-;\-* #,##0_-;_-* &quot;-&quot;_-;_-@_-">
                  <c:v>11519</c:v>
                </c:pt>
                <c:pt idx="14" formatCode="_-* #,##0_-;\-* #,##0_-;_-* &quot;-&quot;_-;_-@_-">
                  <c:v>11523</c:v>
                </c:pt>
                <c:pt idx="15" formatCode="_-* #,##0_-;\-* #,##0_-;_-* &quot;-&quot;_-;_-@_-">
                  <c:v>11526</c:v>
                </c:pt>
                <c:pt idx="16" formatCode="_-* #,##0_-;\-* #,##0_-;_-* &quot;-&quot;_-;_-@_-">
                  <c:v>11529</c:v>
                </c:pt>
                <c:pt idx="17" formatCode="_-* #,##0_-;\-* #,##0_-;_-* &quot;-&quot;_-;_-@_-">
                  <c:v>11532</c:v>
                </c:pt>
                <c:pt idx="18" formatCode="_-* #,##0_-;\-* #,##0_-;_-* &quot;-&quot;_-;_-@_-">
                  <c:v>11536</c:v>
                </c:pt>
                <c:pt idx="19" formatCode="_-* #,##0_-;\-* #,##0_-;_-* &quot;-&quot;_-;_-@_-">
                  <c:v>11539</c:v>
                </c:pt>
                <c:pt idx="20" formatCode="_-* #,##0_-;\-* #,##0_-;_-* &quot;-&quot;_-;_-@_-">
                  <c:v>11542</c:v>
                </c:pt>
                <c:pt idx="21" formatCode="_-* #,##0_-;\-* #,##0_-;_-* &quot;-&quot;_-;_-@_-">
                  <c:v>11545</c:v>
                </c:pt>
                <c:pt idx="22" formatCode="_-* #,##0_-;\-* #,##0_-;_-* &quot;-&quot;_-;_-@_-">
                  <c:v>11549</c:v>
                </c:pt>
                <c:pt idx="23" formatCode="_-* #,##0_-;\-* #,##0_-;_-* &quot;-&quot;_-;_-@_-">
                  <c:v>11552</c:v>
                </c:pt>
                <c:pt idx="24" formatCode="_-* #,##0_-;\-* #,##0_-;_-* &quot;-&quot;_-;_-@_-">
                  <c:v>11555</c:v>
                </c:pt>
                <c:pt idx="25" formatCode="_-* #,##0_-;\-* #,##0_-;_-* &quot;-&quot;_-;_-@_-">
                  <c:v>11558</c:v>
                </c:pt>
                <c:pt idx="26" formatCode="_-* #,##0_-;\-* #,##0_-;_-* &quot;-&quot;_-;_-@_-">
                  <c:v>11562</c:v>
                </c:pt>
                <c:pt idx="27" formatCode="_-* #,##0_-;\-* #,##0_-;_-* &quot;-&quot;_-;_-@_-">
                  <c:v>11565</c:v>
                </c:pt>
                <c:pt idx="28" formatCode="_-* #,##0_-;\-* #,##0_-;_-* &quot;-&quot;_-;_-@_-">
                  <c:v>11568</c:v>
                </c:pt>
              </c:numCache>
            </c:numRef>
          </c:val>
        </c:ser>
        <c:ser>
          <c:idx val="4"/>
          <c:order val="2"/>
          <c:tx>
            <c:v>로지스틱</c:v>
          </c:tx>
          <c:spPr>
            <a:ln w="3175">
              <a:solidFill>
                <a:srgbClr val="800080"/>
              </a:solidFill>
              <a:prstDash val="solid"/>
            </a:ln>
          </c:spPr>
          <c:marker>
            <c:symbol val="circle"/>
            <c:size val="3"/>
            <c:spPr>
              <a:noFill/>
              <a:ln>
                <a:solidFill>
                  <a:srgbClr val="800080"/>
                </a:solidFill>
                <a:prstDash val="solid"/>
              </a:ln>
            </c:spPr>
          </c:marker>
          <c:cat>
            <c:numRef>
              <c:f>북평동10!$L$181:$AO$181</c:f>
              <c:numCache>
                <c:formatCode>General</c:formatCode>
                <c:ptCount val="30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  <c:pt idx="22">
                  <c:v>2019</c:v>
                </c:pt>
                <c:pt idx="23">
                  <c:v>2020</c:v>
                </c:pt>
                <c:pt idx="24">
                  <c:v>2021</c:v>
                </c:pt>
                <c:pt idx="25">
                  <c:v>2022</c:v>
                </c:pt>
                <c:pt idx="26">
                  <c:v>2023</c:v>
                </c:pt>
                <c:pt idx="27">
                  <c:v>2024</c:v>
                </c:pt>
                <c:pt idx="28">
                  <c:v>2025</c:v>
                </c:pt>
              </c:numCache>
            </c:numRef>
          </c:cat>
          <c:val>
            <c:numRef>
              <c:f>북평동10!$L$186:$AN$186</c:f>
              <c:numCache>
                <c:formatCode>General</c:formatCode>
                <c:ptCount val="29"/>
                <c:pt idx="10" formatCode="_-* #,##0_-;\-* #,##0_-;_-* &quot;-&quot;_-;_-@_-">
                  <c:v>11080</c:v>
                </c:pt>
                <c:pt idx="11" formatCode="_-* #,##0_-;\-* #,##0_-;_-* &quot;-&quot;_-;_-@_-">
                  <c:v>11514</c:v>
                </c:pt>
                <c:pt idx="12" formatCode="_-* #,##0_-;\-* #,##0_-;_-* &quot;-&quot;_-;_-@_-">
                  <c:v>11518</c:v>
                </c:pt>
                <c:pt idx="13" formatCode="_-* #,##0_-;\-* #,##0_-;_-* &quot;-&quot;_-;_-@_-">
                  <c:v>11522</c:v>
                </c:pt>
                <c:pt idx="14" formatCode="_-* #,##0_-;\-* #,##0_-;_-* &quot;-&quot;_-;_-@_-">
                  <c:v>11526</c:v>
                </c:pt>
                <c:pt idx="15" formatCode="_-* #,##0_-;\-* #,##0_-;_-* &quot;-&quot;_-;_-@_-">
                  <c:v>11530</c:v>
                </c:pt>
                <c:pt idx="16" formatCode="_-* #,##0_-;\-* #,##0_-;_-* &quot;-&quot;_-;_-@_-">
                  <c:v>11534</c:v>
                </c:pt>
                <c:pt idx="17" formatCode="_-* #,##0_-;\-* #,##0_-;_-* &quot;-&quot;_-;_-@_-">
                  <c:v>11538</c:v>
                </c:pt>
                <c:pt idx="18" formatCode="_-* #,##0_-;\-* #,##0_-;_-* &quot;-&quot;_-;_-@_-">
                  <c:v>11542</c:v>
                </c:pt>
                <c:pt idx="19" formatCode="_-* #,##0_-;\-* #,##0_-;_-* &quot;-&quot;_-;_-@_-">
                  <c:v>11546</c:v>
                </c:pt>
                <c:pt idx="20" formatCode="_-* #,##0_-;\-* #,##0_-;_-* &quot;-&quot;_-;_-@_-">
                  <c:v>11550</c:v>
                </c:pt>
                <c:pt idx="21" formatCode="_-* #,##0_-;\-* #,##0_-;_-* &quot;-&quot;_-;_-@_-">
                  <c:v>11554</c:v>
                </c:pt>
                <c:pt idx="22" formatCode="_-* #,##0_-;\-* #,##0_-;_-* &quot;-&quot;_-;_-@_-">
                  <c:v>11558</c:v>
                </c:pt>
                <c:pt idx="23" formatCode="_-* #,##0_-;\-* #,##0_-;_-* &quot;-&quot;_-;_-@_-">
                  <c:v>11562</c:v>
                </c:pt>
                <c:pt idx="24" formatCode="_-* #,##0_-;\-* #,##0_-;_-* &quot;-&quot;_-;_-@_-">
                  <c:v>11566</c:v>
                </c:pt>
                <c:pt idx="25" formatCode="_-* #,##0_-;\-* #,##0_-;_-* &quot;-&quot;_-;_-@_-">
                  <c:v>11570</c:v>
                </c:pt>
                <c:pt idx="26" formatCode="_-* #,##0_-;\-* #,##0_-;_-* &quot;-&quot;_-;_-@_-">
                  <c:v>11573</c:v>
                </c:pt>
                <c:pt idx="27" formatCode="_-* #,##0_-;\-* #,##0_-;_-* &quot;-&quot;_-;_-@_-">
                  <c:v>11577</c:v>
                </c:pt>
                <c:pt idx="28" formatCode="_-* #,##0_-;\-* #,##0_-;_-* &quot;-&quot;_-;_-@_-">
                  <c:v>11581</c:v>
                </c:pt>
              </c:numCache>
            </c:numRef>
          </c:val>
        </c:ser>
        <c:ser>
          <c:idx val="5"/>
          <c:order val="3"/>
          <c:tx>
            <c:v>평균(최대최소제외)</c:v>
          </c:tx>
          <c:spPr>
            <a:ln w="3175">
              <a:solidFill>
                <a:srgbClr val="800000"/>
              </a:solidFill>
              <a:prstDash val="sysDash"/>
            </a:ln>
          </c:spPr>
          <c:marker>
            <c:symbol val="circle"/>
            <c:size val="3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북평동10!$L$181:$AO$181</c:f>
              <c:numCache>
                <c:formatCode>General</c:formatCode>
                <c:ptCount val="30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  <c:pt idx="22">
                  <c:v>2019</c:v>
                </c:pt>
                <c:pt idx="23">
                  <c:v>2020</c:v>
                </c:pt>
                <c:pt idx="24">
                  <c:v>2021</c:v>
                </c:pt>
                <c:pt idx="25">
                  <c:v>2022</c:v>
                </c:pt>
                <c:pt idx="26">
                  <c:v>2023</c:v>
                </c:pt>
                <c:pt idx="27">
                  <c:v>2024</c:v>
                </c:pt>
                <c:pt idx="28">
                  <c:v>2025</c:v>
                </c:pt>
              </c:numCache>
            </c:numRef>
          </c:cat>
          <c:val>
            <c:numRef>
              <c:f>북평동10!$L$187:$AN$187</c:f>
              <c:numCache>
                <c:formatCode>General</c:formatCode>
                <c:ptCount val="29"/>
                <c:pt idx="10" formatCode="_-* #,##0_-;\-* #,##0_-;_-* &quot;-&quot;_-;_-@_-">
                  <c:v>11080</c:v>
                </c:pt>
                <c:pt idx="11" formatCode="_-* #,##0_-;\-* #,##0_-;_-* &quot;-&quot;_-;_-@_-">
                  <c:v>11386.8</c:v>
                </c:pt>
                <c:pt idx="12" formatCode="#,##0_ ">
                  <c:v>11419.6</c:v>
                </c:pt>
                <c:pt idx="13" formatCode="#,##0_ ">
                  <c:v>11451.8</c:v>
                </c:pt>
                <c:pt idx="14" formatCode="#,##0_ ">
                  <c:v>11526</c:v>
                </c:pt>
                <c:pt idx="15" formatCode="#,##0_ ">
                  <c:v>11530</c:v>
                </c:pt>
                <c:pt idx="16" formatCode="#,##0_ ">
                  <c:v>11534</c:v>
                </c:pt>
                <c:pt idx="17" formatCode="#,##0_ ">
                  <c:v>11538</c:v>
                </c:pt>
                <c:pt idx="18" formatCode="#,##0_ ">
                  <c:v>11542</c:v>
                </c:pt>
                <c:pt idx="19" formatCode="#,##0_ ">
                  <c:v>11546</c:v>
                </c:pt>
                <c:pt idx="20" formatCode="#,##0_ ">
                  <c:v>11550</c:v>
                </c:pt>
                <c:pt idx="21" formatCode="#,##0_ ">
                  <c:v>11554</c:v>
                </c:pt>
                <c:pt idx="22" formatCode="#,##0_ ">
                  <c:v>11558</c:v>
                </c:pt>
                <c:pt idx="23" formatCode="#,##0_ ">
                  <c:v>11562</c:v>
                </c:pt>
                <c:pt idx="24" formatCode="#,##0_ ">
                  <c:v>11566</c:v>
                </c:pt>
                <c:pt idx="25" formatCode="#,##0_ ">
                  <c:v>11570</c:v>
                </c:pt>
                <c:pt idx="26" formatCode="#,##0_ ">
                  <c:v>11573</c:v>
                </c:pt>
                <c:pt idx="27" formatCode="#,##0_ ">
                  <c:v>11577</c:v>
                </c:pt>
                <c:pt idx="28" formatCode="#,##0_ ">
                  <c:v>11581</c:v>
                </c:pt>
              </c:numCache>
            </c:numRef>
          </c:val>
        </c:ser>
        <c:ser>
          <c:idx val="6"/>
          <c:order val="4"/>
          <c:tx>
            <c:v>과거</c:v>
          </c:tx>
          <c:spPr>
            <a:ln w="12700">
              <a:solidFill>
                <a:srgbClr val="008080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008080"/>
                </a:solidFill>
                <a:prstDash val="solid"/>
              </a:ln>
            </c:spPr>
          </c:marker>
          <c:cat>
            <c:numRef>
              <c:f>북평동10!$L$181:$AO$181</c:f>
              <c:numCache>
                <c:formatCode>General</c:formatCode>
                <c:ptCount val="30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  <c:pt idx="22">
                  <c:v>2019</c:v>
                </c:pt>
                <c:pt idx="23">
                  <c:v>2020</c:v>
                </c:pt>
                <c:pt idx="24">
                  <c:v>2021</c:v>
                </c:pt>
                <c:pt idx="25">
                  <c:v>2022</c:v>
                </c:pt>
                <c:pt idx="26">
                  <c:v>2023</c:v>
                </c:pt>
                <c:pt idx="27">
                  <c:v>2024</c:v>
                </c:pt>
                <c:pt idx="28">
                  <c:v>2025</c:v>
                </c:pt>
              </c:numCache>
            </c:numRef>
          </c:cat>
          <c:val>
            <c:numRef>
              <c:f>북평동10!$L$179:$X$179</c:f>
              <c:numCache>
                <c:formatCode>_-* #,##0_-;\-* #,##0_-;_-* "-"_-;_-@_-</c:formatCode>
                <c:ptCount val="13"/>
                <c:pt idx="0">
                  <c:v>10416</c:v>
                </c:pt>
                <c:pt idx="1">
                  <c:v>10645</c:v>
                </c:pt>
                <c:pt idx="2">
                  <c:v>11923</c:v>
                </c:pt>
                <c:pt idx="3" formatCode="General">
                  <c:v>12487</c:v>
                </c:pt>
                <c:pt idx="4">
                  <c:v>12310</c:v>
                </c:pt>
                <c:pt idx="5" formatCode="General">
                  <c:v>12027</c:v>
                </c:pt>
                <c:pt idx="6">
                  <c:v>11848</c:v>
                </c:pt>
                <c:pt idx="7">
                  <c:v>11403</c:v>
                </c:pt>
                <c:pt idx="8">
                  <c:v>11136</c:v>
                </c:pt>
                <c:pt idx="9">
                  <c:v>11152</c:v>
                </c:pt>
                <c:pt idx="10">
                  <c:v>11080</c:v>
                </c:pt>
                <c:pt idx="11">
                  <c:v>11146</c:v>
                </c:pt>
              </c:numCache>
            </c:numRef>
          </c:val>
        </c:ser>
        <c:ser>
          <c:idx val="2"/>
          <c:order val="5"/>
          <c:tx>
            <c:v>등비</c:v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FF0000"/>
                </a:solidFill>
                <a:prstDash val="solid"/>
              </a:ln>
            </c:spPr>
          </c:marker>
          <c:val>
            <c:numRef>
              <c:f>북평동10!$L$184:$AN$184</c:f>
              <c:numCache>
                <c:formatCode>General</c:formatCode>
                <c:ptCount val="29"/>
                <c:pt idx="10" formatCode="_-* #,##0_-;\-* #,##0_-;_-* &quot;-&quot;_-;_-@_-">
                  <c:v>11080</c:v>
                </c:pt>
                <c:pt idx="11" formatCode="_-* #,##0_-;\-* #,##0_-;_-* &quot;-&quot;_-;_-@_-">
                  <c:v>11149</c:v>
                </c:pt>
                <c:pt idx="12" formatCode="_-* #,##0_-;\-* #,##0_-;_-* &quot;-&quot;_-;_-@_-">
                  <c:v>11218</c:v>
                </c:pt>
                <c:pt idx="13" formatCode="_-* #,##0_-;\-* #,##0_-;_-* &quot;-&quot;_-;_-@_-">
                  <c:v>11287</c:v>
                </c:pt>
                <c:pt idx="14" formatCode="_-* #,##0_-;\-* #,##0_-;_-* &quot;-&quot;_-;_-@_-">
                  <c:v>11357</c:v>
                </c:pt>
                <c:pt idx="15" formatCode="_-* #,##0_-;\-* #,##0_-;_-* &quot;-&quot;_-;_-@_-">
                  <c:v>11428</c:v>
                </c:pt>
                <c:pt idx="16" formatCode="_-* #,##0_-;\-* #,##0_-;_-* &quot;-&quot;_-;_-@_-">
                  <c:v>11499</c:v>
                </c:pt>
                <c:pt idx="17" formatCode="_-* #,##0_-;\-* #,##0_-;_-* &quot;-&quot;_-;_-@_-">
                  <c:v>11570</c:v>
                </c:pt>
                <c:pt idx="18" formatCode="_-* #,##0_-;\-* #,##0_-;_-* &quot;-&quot;_-;_-@_-">
                  <c:v>11642</c:v>
                </c:pt>
                <c:pt idx="19" formatCode="_-* #,##0_-;\-* #,##0_-;_-* &quot;-&quot;_-;_-@_-">
                  <c:v>11714</c:v>
                </c:pt>
                <c:pt idx="20" formatCode="_-* #,##0_-;\-* #,##0_-;_-* &quot;-&quot;_-;_-@_-">
                  <c:v>11787</c:v>
                </c:pt>
                <c:pt idx="21" formatCode="_-* #,##0_-;\-* #,##0_-;_-* &quot;-&quot;_-;_-@_-">
                  <c:v>11860</c:v>
                </c:pt>
                <c:pt idx="22" formatCode="_-* #,##0_-;\-* #,##0_-;_-* &quot;-&quot;_-;_-@_-">
                  <c:v>11933</c:v>
                </c:pt>
                <c:pt idx="23" formatCode="_-* #,##0_-;\-* #,##0_-;_-* &quot;-&quot;_-;_-@_-">
                  <c:v>12007</c:v>
                </c:pt>
                <c:pt idx="24" formatCode="_-* #,##0_-;\-* #,##0_-;_-* &quot;-&quot;_-;_-@_-">
                  <c:v>12082</c:v>
                </c:pt>
                <c:pt idx="25" formatCode="_-* #,##0_-;\-* #,##0_-;_-* &quot;-&quot;_-;_-@_-">
                  <c:v>12157</c:v>
                </c:pt>
                <c:pt idx="26" formatCode="_-* #,##0_-;\-* #,##0_-;_-* &quot;-&quot;_-;_-@_-">
                  <c:v>12232</c:v>
                </c:pt>
                <c:pt idx="27" formatCode="_-* #,##0_-;\-* #,##0_-;_-* &quot;-&quot;_-;_-@_-">
                  <c:v>12308</c:v>
                </c:pt>
                <c:pt idx="28" formatCode="_-* #,##0_-;\-* #,##0_-;_-* &quot;-&quot;_-;_-@_-">
                  <c:v>12384</c:v>
                </c:pt>
              </c:numCache>
            </c:numRef>
          </c:val>
        </c:ser>
        <c:marker val="1"/>
        <c:axId val="131626112"/>
        <c:axId val="131628416"/>
      </c:lineChart>
      <c:catAx>
        <c:axId val="131626112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875" b="0" i="0" u="none" strike="noStrike" baseline="0">
                    <a:solidFill>
                      <a:srgbClr val="000000"/>
                    </a:solidFill>
                    <a:latin typeface="돋움"/>
                    <a:ea typeface="돋움"/>
                    <a:cs typeface="돋움"/>
                  </a:defRPr>
                </a:pPr>
                <a:r>
                  <a:rPr altLang="en-US"/>
                  <a:t>연도</a:t>
                </a:r>
              </a:p>
            </c:rich>
          </c:tx>
          <c:layout>
            <c:manualLayout>
              <c:xMode val="edge"/>
              <c:yMode val="edge"/>
              <c:x val="0.50336346409613442"/>
              <c:y val="0.82129357404468961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maj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돋움"/>
                <a:ea typeface="돋움"/>
                <a:cs typeface="돋움"/>
              </a:defRPr>
            </a:pPr>
            <a:endParaRPr lang="ko-KR"/>
          </a:p>
        </c:txPr>
        <c:crossAx val="131628416"/>
        <c:crosses val="autoZero"/>
        <c:auto val="1"/>
        <c:lblAlgn val="ctr"/>
        <c:lblOffset val="100"/>
        <c:tickLblSkip val="2"/>
        <c:tickMarkSkip val="1"/>
      </c:catAx>
      <c:valAx>
        <c:axId val="131628416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맑은 고딕"/>
                    <a:ea typeface="맑은 고딕"/>
                    <a:cs typeface="맑은 고딕"/>
                  </a:defRPr>
                </a:pPr>
                <a:r>
                  <a:rPr lang="ko-KR" altLang="en-US" sz="875" b="0" i="0" strike="noStrike">
                    <a:solidFill>
                      <a:srgbClr val="000000"/>
                    </a:solidFill>
                    <a:latin typeface="돋움"/>
                    <a:ea typeface="돋움"/>
                  </a:rPr>
                  <a:t>인구</a:t>
                </a:r>
                <a:r>
                  <a:rPr lang="en-US" altLang="ko-KR" sz="875" b="0" i="0" strike="noStrike">
                    <a:solidFill>
                      <a:srgbClr val="000000"/>
                    </a:solidFill>
                    <a:latin typeface="돋움"/>
                    <a:ea typeface="돋움"/>
                  </a:rPr>
                  <a:t>(</a:t>
                </a:r>
                <a:r>
                  <a:rPr lang="ko-KR" altLang="en-US" sz="875" b="0" i="0" strike="noStrike">
                    <a:solidFill>
                      <a:srgbClr val="000000"/>
                    </a:solidFill>
                    <a:latin typeface="돋움"/>
                    <a:ea typeface="돋움"/>
                  </a:rPr>
                  <a:t>명</a:t>
                </a:r>
                <a:r>
                  <a:rPr lang="en-US" altLang="ko-KR" sz="875" b="0" i="0" strike="noStrike">
                    <a:solidFill>
                      <a:srgbClr val="000000"/>
                    </a:solidFill>
                    <a:latin typeface="돋움"/>
                    <a:ea typeface="돋움"/>
                  </a:rPr>
                  <a:t>)</a:t>
                </a:r>
              </a:p>
            </c:rich>
          </c:tx>
          <c:layout>
            <c:manualLayout>
              <c:xMode val="edge"/>
              <c:yMode val="edge"/>
              <c:x val="2.6905829596412592E-2"/>
              <c:y val="0.38403081744059558"/>
            </c:manualLayout>
          </c:layout>
          <c:spPr>
            <a:noFill/>
            <a:ln w="25400">
              <a:noFill/>
            </a:ln>
          </c:spPr>
        </c:title>
        <c:numFmt formatCode="#,##0_ " sourceLinked="0"/>
        <c:maj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돋움"/>
                <a:ea typeface="돋움"/>
                <a:cs typeface="돋움"/>
              </a:defRPr>
            </a:pPr>
            <a:endParaRPr lang="ko-KR"/>
          </a:p>
        </c:txPr>
        <c:crossAx val="131626112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wMode val="edge"/>
          <c:hMode val="edge"/>
          <c:x val="0.13228711321398717"/>
          <c:y val="0.90114148278993644"/>
          <c:w val="0.92040417593540658"/>
          <c:h val="0.96197798469107765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돋움"/>
              <a:ea typeface="돋움"/>
              <a:cs typeface="돋움"/>
            </a:defRPr>
          </a:pPr>
          <a:endParaRPr lang="ko-KR"/>
        </a:p>
      </c:txPr>
    </c:legend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75" b="0" i="0" u="none" strike="noStrike" baseline="0">
          <a:solidFill>
            <a:srgbClr val="000000"/>
          </a:solidFill>
          <a:latin typeface="돋움"/>
          <a:ea typeface="돋움"/>
          <a:cs typeface="돋움"/>
        </a:defRPr>
      </a:pPr>
      <a:endParaRPr lang="ko-KR"/>
    </a:p>
  </c:txPr>
  <c:printSettings>
    <c:headerFooter alignWithMargins="0"/>
    <c:pageMargins b="1" l="0.75000000000000144" r="0.75000000000000144" t="1" header="0.5" footer="0.5"/>
    <c:pageSetup paperSize="9" orientation="landscape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ko-KR"/>
  <c:chart>
    <c:title>
      <c:tx>
        <c:rich>
          <a:bodyPr/>
          <a:lstStyle/>
          <a:p>
            <a:pPr>
              <a:defRPr sz="1175" b="1" i="0" u="none" strike="noStrike" baseline="0">
                <a:solidFill>
                  <a:srgbClr val="000000"/>
                </a:solidFill>
                <a:latin typeface="돋움"/>
                <a:ea typeface="돋움"/>
                <a:cs typeface="돋움"/>
              </a:defRPr>
            </a:pPr>
            <a:r>
              <a:rPr altLang="en-US"/>
              <a:t>북평동</a:t>
            </a:r>
          </a:p>
        </c:rich>
      </c:tx>
      <c:layout>
        <c:manualLayout>
          <c:xMode val="edge"/>
          <c:yMode val="edge"/>
          <c:x val="0.46861010086743682"/>
          <c:y val="2.8517110266159756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0426014675815599"/>
          <c:y val="9.1254837562787627E-2"/>
          <c:w val="0.830717943524659"/>
          <c:h val="0.67680671192400665"/>
        </c:manualLayout>
      </c:layout>
      <c:lineChart>
        <c:grouping val="standard"/>
        <c:ser>
          <c:idx val="0"/>
          <c:order val="0"/>
          <c:tx>
            <c:v>등차</c:v>
          </c:tx>
          <c:spPr>
            <a:ln w="3175">
              <a:solidFill>
                <a:srgbClr val="000080"/>
              </a:solidFill>
              <a:prstDash val="solid"/>
            </a:ln>
          </c:spPr>
          <c:marker>
            <c:symbol val="diamond"/>
            <c:size val="3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북평동5!$L$156:$AI$156</c:f>
              <c:numCache>
                <c:formatCode>General</c:formatCode>
                <c:ptCount val="24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  <c:pt idx="14">
                  <c:v>2016</c:v>
                </c:pt>
                <c:pt idx="15">
                  <c:v>2017</c:v>
                </c:pt>
                <c:pt idx="16">
                  <c:v>2018</c:v>
                </c:pt>
                <c:pt idx="17">
                  <c:v>2019</c:v>
                </c:pt>
                <c:pt idx="18">
                  <c:v>2020</c:v>
                </c:pt>
                <c:pt idx="19">
                  <c:v>2021</c:v>
                </c:pt>
                <c:pt idx="20">
                  <c:v>2022</c:v>
                </c:pt>
                <c:pt idx="21">
                  <c:v>2023</c:v>
                </c:pt>
                <c:pt idx="22">
                  <c:v>2024</c:v>
                </c:pt>
                <c:pt idx="23">
                  <c:v>2025</c:v>
                </c:pt>
              </c:numCache>
            </c:numRef>
          </c:cat>
          <c:val>
            <c:numRef>
              <c:f>북평동5!$L$157:$AN$157</c:f>
              <c:numCache>
                <c:formatCode>General</c:formatCode>
                <c:ptCount val="29"/>
                <c:pt idx="5">
                  <c:v>11080</c:v>
                </c:pt>
                <c:pt idx="6" formatCode="_-* #,##0_-;\-* #,##0_-;_-* &quot;-&quot;_-;_-@_-">
                  <c:v>10891</c:v>
                </c:pt>
                <c:pt idx="7" formatCode="_-* #,##0_-;\-* #,##0_-;_-* &quot;-&quot;_-;_-@_-">
                  <c:v>10701</c:v>
                </c:pt>
                <c:pt idx="8" formatCode="_-* #,##0_-;\-* #,##0_-;_-* &quot;-&quot;_-;_-@_-">
                  <c:v>10512</c:v>
                </c:pt>
                <c:pt idx="9" formatCode="_-* #,##0_-;\-* #,##0_-;_-* &quot;-&quot;_-;_-@_-">
                  <c:v>10322</c:v>
                </c:pt>
                <c:pt idx="10" formatCode="_-* #,##0_-;\-* #,##0_-;_-* &quot;-&quot;_-;_-@_-">
                  <c:v>10133</c:v>
                </c:pt>
                <c:pt idx="11" formatCode="_-* #,##0_-;\-* #,##0_-;_-* &quot;-&quot;_-;_-@_-">
                  <c:v>9944</c:v>
                </c:pt>
                <c:pt idx="12" formatCode="_-* #,##0_-;\-* #,##0_-;_-* &quot;-&quot;_-;_-@_-">
                  <c:v>9754</c:v>
                </c:pt>
                <c:pt idx="13" formatCode="_-* #,##0_-;\-* #,##0_-;_-* &quot;-&quot;_-;_-@_-">
                  <c:v>9565</c:v>
                </c:pt>
                <c:pt idx="14" formatCode="_-* #,##0_-;\-* #,##0_-;_-* &quot;-&quot;_-;_-@_-">
                  <c:v>9375</c:v>
                </c:pt>
                <c:pt idx="15" formatCode="_-* #,##0_-;\-* #,##0_-;_-* &quot;-&quot;_-;_-@_-">
                  <c:v>9186</c:v>
                </c:pt>
                <c:pt idx="16" formatCode="_-* #,##0_-;\-* #,##0_-;_-* &quot;-&quot;_-;_-@_-">
                  <c:v>8997</c:v>
                </c:pt>
                <c:pt idx="17" formatCode="_-* #,##0_-;\-* #,##0_-;_-* &quot;-&quot;_-;_-@_-">
                  <c:v>8807</c:v>
                </c:pt>
                <c:pt idx="18" formatCode="_-* #,##0_-;\-* #,##0_-;_-* &quot;-&quot;_-;_-@_-">
                  <c:v>8618</c:v>
                </c:pt>
                <c:pt idx="19" formatCode="_-* #,##0_-;\-* #,##0_-;_-* &quot;-&quot;_-;_-@_-">
                  <c:v>8428</c:v>
                </c:pt>
                <c:pt idx="20" formatCode="_-* #,##0_-;\-* #,##0_-;_-* &quot;-&quot;_-;_-@_-">
                  <c:v>8239</c:v>
                </c:pt>
                <c:pt idx="21" formatCode="_-* #,##0_-;\-* #,##0_-;_-* &quot;-&quot;_-;_-@_-">
                  <c:v>8050</c:v>
                </c:pt>
                <c:pt idx="22" formatCode="_-* #,##0_-;\-* #,##0_-;_-* &quot;-&quot;_-;_-@_-">
                  <c:v>7860</c:v>
                </c:pt>
                <c:pt idx="23" formatCode="_-* #,##0_-;\-* #,##0_-;_-* &quot;-&quot;_-;_-@_-">
                  <c:v>7671</c:v>
                </c:pt>
              </c:numCache>
            </c:numRef>
          </c:val>
        </c:ser>
        <c:ser>
          <c:idx val="1"/>
          <c:order val="1"/>
          <c:tx>
            <c:v>최소</c:v>
          </c:tx>
          <c:spPr>
            <a:ln w="3175">
              <a:solidFill>
                <a:srgbClr val="FF00FF"/>
              </a:solidFill>
              <a:prstDash val="solid"/>
            </a:ln>
          </c:spPr>
          <c:marker>
            <c:symbol val="square"/>
            <c:size val="3"/>
            <c:spPr>
              <a:noFill/>
              <a:ln>
                <a:solidFill>
                  <a:srgbClr val="FF00FF"/>
                </a:solidFill>
                <a:prstDash val="solid"/>
              </a:ln>
            </c:spPr>
          </c:marker>
          <c:cat>
            <c:numRef>
              <c:f>북평동5!$L$156:$AI$156</c:f>
              <c:numCache>
                <c:formatCode>General</c:formatCode>
                <c:ptCount val="24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  <c:pt idx="14">
                  <c:v>2016</c:v>
                </c:pt>
                <c:pt idx="15">
                  <c:v>2017</c:v>
                </c:pt>
                <c:pt idx="16">
                  <c:v>2018</c:v>
                </c:pt>
                <c:pt idx="17">
                  <c:v>2019</c:v>
                </c:pt>
                <c:pt idx="18">
                  <c:v>2020</c:v>
                </c:pt>
                <c:pt idx="19">
                  <c:v>2021</c:v>
                </c:pt>
                <c:pt idx="20">
                  <c:v>2022</c:v>
                </c:pt>
                <c:pt idx="21">
                  <c:v>2023</c:v>
                </c:pt>
                <c:pt idx="22">
                  <c:v>2024</c:v>
                </c:pt>
                <c:pt idx="23">
                  <c:v>2025</c:v>
                </c:pt>
              </c:numCache>
            </c:numRef>
          </c:cat>
          <c:val>
            <c:numRef>
              <c:f>북평동5!$L$158:$AN$158</c:f>
              <c:numCache>
                <c:formatCode>General</c:formatCode>
                <c:ptCount val="29"/>
                <c:pt idx="5">
                  <c:v>11080</c:v>
                </c:pt>
                <c:pt idx="6" formatCode="_-* #,##0_-;\-* #,##0_-;_-* &quot;-&quot;_-;_-@_-">
                  <c:v>10732</c:v>
                </c:pt>
                <c:pt idx="7" formatCode="_-* #,##0_-;\-* #,##0_-;_-* &quot;-&quot;_-;_-@_-">
                  <c:v>10529</c:v>
                </c:pt>
                <c:pt idx="8" formatCode="_-* #,##0_-;\-* #,##0_-;_-* &quot;-&quot;_-;_-@_-">
                  <c:v>10327</c:v>
                </c:pt>
                <c:pt idx="9" formatCode="_-* #,##0_-;\-* #,##0_-;_-* &quot;-&quot;_-;_-@_-">
                  <c:v>10124</c:v>
                </c:pt>
                <c:pt idx="10" formatCode="_-* #,##0_-;\-* #,##0_-;_-* &quot;-&quot;_-;_-@_-">
                  <c:v>9922</c:v>
                </c:pt>
                <c:pt idx="11" formatCode="_-* #,##0_-;\-* #,##0_-;_-* &quot;-&quot;_-;_-@_-">
                  <c:v>9719</c:v>
                </c:pt>
                <c:pt idx="12" formatCode="_-* #,##0_-;\-* #,##0_-;_-* &quot;-&quot;_-;_-@_-">
                  <c:v>9517</c:v>
                </c:pt>
                <c:pt idx="13" formatCode="_-* #,##0_-;\-* #,##0_-;_-* &quot;-&quot;_-;_-@_-">
                  <c:v>9314</c:v>
                </c:pt>
                <c:pt idx="14" formatCode="_-* #,##0_-;\-* #,##0_-;_-* &quot;-&quot;_-;_-@_-">
                  <c:v>9111</c:v>
                </c:pt>
                <c:pt idx="15" formatCode="_-* #,##0_-;\-* #,##0_-;_-* &quot;-&quot;_-;_-@_-">
                  <c:v>8909</c:v>
                </c:pt>
                <c:pt idx="16" formatCode="_-* #,##0_-;\-* #,##0_-;_-* &quot;-&quot;_-;_-@_-">
                  <c:v>8706</c:v>
                </c:pt>
                <c:pt idx="17" formatCode="_-* #,##0_-;\-* #,##0_-;_-* &quot;-&quot;_-;_-@_-">
                  <c:v>8504</c:v>
                </c:pt>
                <c:pt idx="18" formatCode="_-* #,##0_-;\-* #,##0_-;_-* &quot;-&quot;_-;_-@_-">
                  <c:v>8301</c:v>
                </c:pt>
                <c:pt idx="19" formatCode="_-* #,##0_-;\-* #,##0_-;_-* &quot;-&quot;_-;_-@_-">
                  <c:v>8099</c:v>
                </c:pt>
                <c:pt idx="20" formatCode="_-* #,##0_-;\-* #,##0_-;_-* &quot;-&quot;_-;_-@_-">
                  <c:v>7896</c:v>
                </c:pt>
                <c:pt idx="21" formatCode="_-* #,##0_-;\-* #,##0_-;_-* &quot;-&quot;_-;_-@_-">
                  <c:v>7693</c:v>
                </c:pt>
                <c:pt idx="22" formatCode="_-* #,##0_-;\-* #,##0_-;_-* &quot;-&quot;_-;_-@_-">
                  <c:v>7491</c:v>
                </c:pt>
                <c:pt idx="23" formatCode="_-* #,##0_-;\-* #,##0_-;_-* &quot;-&quot;_-;_-@_-">
                  <c:v>7288</c:v>
                </c:pt>
              </c:numCache>
            </c:numRef>
          </c:val>
        </c:ser>
        <c:ser>
          <c:idx val="4"/>
          <c:order val="2"/>
          <c:tx>
            <c:v>로지스틱</c:v>
          </c:tx>
          <c:spPr>
            <a:ln w="3175">
              <a:solidFill>
                <a:srgbClr val="800080"/>
              </a:solidFill>
              <a:prstDash val="solid"/>
            </a:ln>
          </c:spPr>
          <c:marker>
            <c:symbol val="circle"/>
            <c:size val="3"/>
            <c:spPr>
              <a:noFill/>
              <a:ln>
                <a:solidFill>
                  <a:srgbClr val="800080"/>
                </a:solidFill>
                <a:prstDash val="solid"/>
              </a:ln>
            </c:spPr>
          </c:marker>
          <c:cat>
            <c:numRef>
              <c:f>북평동5!$L$156:$AI$156</c:f>
              <c:numCache>
                <c:formatCode>General</c:formatCode>
                <c:ptCount val="24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  <c:pt idx="14">
                  <c:v>2016</c:v>
                </c:pt>
                <c:pt idx="15">
                  <c:v>2017</c:v>
                </c:pt>
                <c:pt idx="16">
                  <c:v>2018</c:v>
                </c:pt>
                <c:pt idx="17">
                  <c:v>2019</c:v>
                </c:pt>
                <c:pt idx="18">
                  <c:v>2020</c:v>
                </c:pt>
                <c:pt idx="19">
                  <c:v>2021</c:v>
                </c:pt>
                <c:pt idx="20">
                  <c:v>2022</c:v>
                </c:pt>
                <c:pt idx="21">
                  <c:v>2023</c:v>
                </c:pt>
                <c:pt idx="22">
                  <c:v>2024</c:v>
                </c:pt>
                <c:pt idx="23">
                  <c:v>2025</c:v>
                </c:pt>
              </c:numCache>
            </c:numRef>
          </c:cat>
          <c:val>
            <c:numRef>
              <c:f>북평동5!$L$161:$AN$161</c:f>
              <c:numCache>
                <c:formatCode>General</c:formatCode>
                <c:ptCount val="29"/>
                <c:pt idx="5">
                  <c:v>11080</c:v>
                </c:pt>
                <c:pt idx="6" formatCode="_-* #,##0_-;\-* #,##0_-;_-* &quot;-&quot;_-;_-@_-">
                  <c:v>10735</c:v>
                </c:pt>
                <c:pt idx="7" formatCode="_-* #,##0_-;\-* #,##0_-;_-* &quot;-&quot;_-;_-@_-">
                  <c:v>10534</c:v>
                </c:pt>
                <c:pt idx="8" formatCode="_-* #,##0_-;\-* #,##0_-;_-* &quot;-&quot;_-;_-@_-">
                  <c:v>10335</c:v>
                </c:pt>
                <c:pt idx="9" formatCode="_-* #,##0_-;\-* #,##0_-;_-* &quot;-&quot;_-;_-@_-">
                  <c:v>10136</c:v>
                </c:pt>
                <c:pt idx="10" formatCode="_-* #,##0_-;\-* #,##0_-;_-* &quot;-&quot;_-;_-@_-">
                  <c:v>9939</c:v>
                </c:pt>
                <c:pt idx="11" formatCode="_-* #,##0_-;\-* #,##0_-;_-* &quot;-&quot;_-;_-@_-">
                  <c:v>9743</c:v>
                </c:pt>
                <c:pt idx="12" formatCode="_-* #,##0_-;\-* #,##0_-;_-* &quot;-&quot;_-;_-@_-">
                  <c:v>9547</c:v>
                </c:pt>
                <c:pt idx="13" formatCode="_-* #,##0_-;\-* #,##0_-;_-* &quot;-&quot;_-;_-@_-">
                  <c:v>9354</c:v>
                </c:pt>
                <c:pt idx="14" formatCode="_-* #,##0_-;\-* #,##0_-;_-* &quot;-&quot;_-;_-@_-">
                  <c:v>9162</c:v>
                </c:pt>
                <c:pt idx="15" formatCode="_-* #,##0_-;\-* #,##0_-;_-* &quot;-&quot;_-;_-@_-">
                  <c:v>8971</c:v>
                </c:pt>
                <c:pt idx="16" formatCode="_-* #,##0_-;\-* #,##0_-;_-* &quot;-&quot;_-;_-@_-">
                  <c:v>8782</c:v>
                </c:pt>
                <c:pt idx="17" formatCode="_-* #,##0_-;\-* #,##0_-;_-* &quot;-&quot;_-;_-@_-">
                  <c:v>8594</c:v>
                </c:pt>
                <c:pt idx="18" formatCode="_-* #,##0_-;\-* #,##0_-;_-* &quot;-&quot;_-;_-@_-">
                  <c:v>8409</c:v>
                </c:pt>
                <c:pt idx="19" formatCode="_-* #,##0_-;\-* #,##0_-;_-* &quot;-&quot;_-;_-@_-">
                  <c:v>8225</c:v>
                </c:pt>
                <c:pt idx="20" formatCode="_-* #,##0_-;\-* #,##0_-;_-* &quot;-&quot;_-;_-@_-">
                  <c:v>8043</c:v>
                </c:pt>
                <c:pt idx="21" formatCode="_-* #,##0_-;\-* #,##0_-;_-* &quot;-&quot;_-;_-@_-">
                  <c:v>7864</c:v>
                </c:pt>
                <c:pt idx="22" formatCode="_-* #,##0_-;\-* #,##0_-;_-* &quot;-&quot;_-;_-@_-">
                  <c:v>7686</c:v>
                </c:pt>
                <c:pt idx="23" formatCode="_-* #,##0_-;\-* #,##0_-;_-* &quot;-&quot;_-;_-@_-">
                  <c:v>7511</c:v>
                </c:pt>
              </c:numCache>
            </c:numRef>
          </c:val>
        </c:ser>
        <c:ser>
          <c:idx val="5"/>
          <c:order val="3"/>
          <c:tx>
            <c:v>평균(최대최소제외)</c:v>
          </c:tx>
          <c:spPr>
            <a:ln w="3175">
              <a:solidFill>
                <a:srgbClr val="800000"/>
              </a:solidFill>
              <a:prstDash val="sysDash"/>
            </a:ln>
          </c:spPr>
          <c:marker>
            <c:symbol val="circle"/>
            <c:size val="3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북평동5!$L$156:$AI$156</c:f>
              <c:numCache>
                <c:formatCode>General</c:formatCode>
                <c:ptCount val="24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  <c:pt idx="14">
                  <c:v>2016</c:v>
                </c:pt>
                <c:pt idx="15">
                  <c:v>2017</c:v>
                </c:pt>
                <c:pt idx="16">
                  <c:v>2018</c:v>
                </c:pt>
                <c:pt idx="17">
                  <c:v>2019</c:v>
                </c:pt>
                <c:pt idx="18">
                  <c:v>2020</c:v>
                </c:pt>
                <c:pt idx="19">
                  <c:v>2021</c:v>
                </c:pt>
                <c:pt idx="20">
                  <c:v>2022</c:v>
                </c:pt>
                <c:pt idx="21">
                  <c:v>2023</c:v>
                </c:pt>
                <c:pt idx="22">
                  <c:v>2024</c:v>
                </c:pt>
                <c:pt idx="23">
                  <c:v>2025</c:v>
                </c:pt>
              </c:numCache>
            </c:numRef>
          </c:cat>
          <c:val>
            <c:numRef>
              <c:f>북평동5!$L$162:$AI$162</c:f>
              <c:numCache>
                <c:formatCode>General</c:formatCode>
                <c:ptCount val="24"/>
                <c:pt idx="5">
                  <c:v>11080</c:v>
                </c:pt>
                <c:pt idx="6" formatCode="#,##0_ ">
                  <c:v>10813</c:v>
                </c:pt>
                <c:pt idx="7" formatCode="#,##0_ ">
                  <c:v>10617.5</c:v>
                </c:pt>
                <c:pt idx="8" formatCode="#,##0_ ">
                  <c:v>10423.5</c:v>
                </c:pt>
                <c:pt idx="9" formatCode="#,##0_ ">
                  <c:v>10229</c:v>
                </c:pt>
                <c:pt idx="10" formatCode="#,##0_ ">
                  <c:v>10036</c:v>
                </c:pt>
                <c:pt idx="11" formatCode="_-* #,##0_-;\-* #,##0_-;_-* &quot;-&quot;_-;_-@_-">
                  <c:v>9843.5</c:v>
                </c:pt>
                <c:pt idx="12" formatCode="#,##0_ ">
                  <c:v>9650.5</c:v>
                </c:pt>
                <c:pt idx="13" formatCode="#,##0_ ">
                  <c:v>9459.5</c:v>
                </c:pt>
                <c:pt idx="14" formatCode="#,##0_ ">
                  <c:v>9268.5</c:v>
                </c:pt>
                <c:pt idx="15" formatCode="#,##0_ ">
                  <c:v>9078.5</c:v>
                </c:pt>
                <c:pt idx="16" formatCode="#,##0_ ">
                  <c:v>8889.5</c:v>
                </c:pt>
                <c:pt idx="17" formatCode="#,##0_ ">
                  <c:v>8700.5</c:v>
                </c:pt>
                <c:pt idx="18" formatCode="#,##0_ ">
                  <c:v>8513.5</c:v>
                </c:pt>
                <c:pt idx="19" formatCode="#,##0_ ">
                  <c:v>8326.5</c:v>
                </c:pt>
                <c:pt idx="20" formatCode="#,##0_ ">
                  <c:v>8141</c:v>
                </c:pt>
                <c:pt idx="21" formatCode="#,##0_ ">
                  <c:v>7957</c:v>
                </c:pt>
                <c:pt idx="22" formatCode="#,##0_ ">
                  <c:v>7773</c:v>
                </c:pt>
                <c:pt idx="23" formatCode="#,##0_ ">
                  <c:v>7591</c:v>
                </c:pt>
              </c:numCache>
            </c:numRef>
          </c:val>
        </c:ser>
        <c:ser>
          <c:idx val="6"/>
          <c:order val="4"/>
          <c:tx>
            <c:v>과거</c:v>
          </c:tx>
          <c:spPr>
            <a:ln w="12700">
              <a:solidFill>
                <a:srgbClr val="008080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008080"/>
                </a:solidFill>
                <a:prstDash val="solid"/>
              </a:ln>
            </c:spPr>
          </c:marker>
          <c:cat>
            <c:numRef>
              <c:f>북평동5!$L$156:$AI$156</c:f>
              <c:numCache>
                <c:formatCode>General</c:formatCode>
                <c:ptCount val="24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  <c:pt idx="14">
                  <c:v>2016</c:v>
                </c:pt>
                <c:pt idx="15">
                  <c:v>2017</c:v>
                </c:pt>
                <c:pt idx="16">
                  <c:v>2018</c:v>
                </c:pt>
                <c:pt idx="17">
                  <c:v>2019</c:v>
                </c:pt>
                <c:pt idx="18">
                  <c:v>2020</c:v>
                </c:pt>
                <c:pt idx="19">
                  <c:v>2021</c:v>
                </c:pt>
                <c:pt idx="20">
                  <c:v>2022</c:v>
                </c:pt>
                <c:pt idx="21">
                  <c:v>2023</c:v>
                </c:pt>
                <c:pt idx="22">
                  <c:v>2024</c:v>
                </c:pt>
                <c:pt idx="23">
                  <c:v>2025</c:v>
                </c:pt>
              </c:numCache>
            </c:numRef>
          </c:cat>
          <c:val>
            <c:numRef>
              <c:f>북평동5!$L$154:$X$154</c:f>
              <c:numCache>
                <c:formatCode>_-* #,##0_-;\-* #,##0_-;_-* "-"_-;_-@_-</c:formatCode>
                <c:ptCount val="13"/>
                <c:pt idx="0">
                  <c:v>12027</c:v>
                </c:pt>
                <c:pt idx="1">
                  <c:v>11848</c:v>
                </c:pt>
                <c:pt idx="2">
                  <c:v>11403</c:v>
                </c:pt>
                <c:pt idx="3" formatCode="General">
                  <c:v>11136</c:v>
                </c:pt>
                <c:pt idx="4">
                  <c:v>11152</c:v>
                </c:pt>
                <c:pt idx="5" formatCode="General">
                  <c:v>11080</c:v>
                </c:pt>
                <c:pt idx="6">
                  <c:v>10735</c:v>
                </c:pt>
              </c:numCache>
            </c:numRef>
          </c:val>
        </c:ser>
        <c:ser>
          <c:idx val="2"/>
          <c:order val="5"/>
          <c:tx>
            <c:v>등비</c:v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북평동5!$L$156:$AI$156</c:f>
              <c:numCache>
                <c:formatCode>General</c:formatCode>
                <c:ptCount val="24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  <c:pt idx="14">
                  <c:v>2016</c:v>
                </c:pt>
                <c:pt idx="15">
                  <c:v>2017</c:v>
                </c:pt>
                <c:pt idx="16">
                  <c:v>2018</c:v>
                </c:pt>
                <c:pt idx="17">
                  <c:v>2019</c:v>
                </c:pt>
                <c:pt idx="18">
                  <c:v>2020</c:v>
                </c:pt>
                <c:pt idx="19">
                  <c:v>2021</c:v>
                </c:pt>
                <c:pt idx="20">
                  <c:v>2022</c:v>
                </c:pt>
                <c:pt idx="21">
                  <c:v>2023</c:v>
                </c:pt>
                <c:pt idx="22">
                  <c:v>2024</c:v>
                </c:pt>
                <c:pt idx="23">
                  <c:v>2025</c:v>
                </c:pt>
              </c:numCache>
            </c:numRef>
          </c:cat>
          <c:val>
            <c:numRef>
              <c:f>북평동5!$L$159:$AN$159</c:f>
              <c:numCache>
                <c:formatCode>General</c:formatCode>
                <c:ptCount val="29"/>
                <c:pt idx="5">
                  <c:v>11080</c:v>
                </c:pt>
                <c:pt idx="6" formatCode="_-* #,##0_-;\-* #,##0_-;_-* &quot;-&quot;_-;_-@_-">
                  <c:v>10900</c:v>
                </c:pt>
                <c:pt idx="7" formatCode="_-* #,##0_-;\-* #,##0_-;_-* &quot;-&quot;_-;_-@_-">
                  <c:v>10722</c:v>
                </c:pt>
                <c:pt idx="8" formatCode="_-* #,##0_-;\-* #,##0_-;_-* &quot;-&quot;_-;_-@_-">
                  <c:v>10548</c:v>
                </c:pt>
                <c:pt idx="9" formatCode="_-* #,##0_-;\-* #,##0_-;_-* &quot;-&quot;_-;_-@_-">
                  <c:v>10376</c:v>
                </c:pt>
                <c:pt idx="10" formatCode="_-* #,##0_-;\-* #,##0_-;_-* &quot;-&quot;_-;_-@_-">
                  <c:v>10207</c:v>
                </c:pt>
                <c:pt idx="11" formatCode="_-* #,##0_-;\-* #,##0_-;_-* &quot;-&quot;_-;_-@_-">
                  <c:v>10041</c:v>
                </c:pt>
                <c:pt idx="12" formatCode="_-* #,##0_-;\-* #,##0_-;_-* &quot;-&quot;_-;_-@_-">
                  <c:v>9878</c:v>
                </c:pt>
                <c:pt idx="13" formatCode="_-* #,##0_-;\-* #,##0_-;_-* &quot;-&quot;_-;_-@_-">
                  <c:v>9717</c:v>
                </c:pt>
                <c:pt idx="14" formatCode="_-* #,##0_-;\-* #,##0_-;_-* &quot;-&quot;_-;_-@_-">
                  <c:v>9559</c:v>
                </c:pt>
                <c:pt idx="15" formatCode="_-* #,##0_-;\-* #,##0_-;_-* &quot;-&quot;_-;_-@_-">
                  <c:v>9404</c:v>
                </c:pt>
                <c:pt idx="16" formatCode="_-* #,##0_-;\-* #,##0_-;_-* &quot;-&quot;_-;_-@_-">
                  <c:v>9251</c:v>
                </c:pt>
                <c:pt idx="17" formatCode="_-* #,##0_-;\-* #,##0_-;_-* &quot;-&quot;_-;_-@_-">
                  <c:v>9100</c:v>
                </c:pt>
                <c:pt idx="18" formatCode="_-* #,##0_-;\-* #,##0_-;_-* &quot;-&quot;_-;_-@_-">
                  <c:v>8952</c:v>
                </c:pt>
                <c:pt idx="19" formatCode="_-* #,##0_-;\-* #,##0_-;_-* &quot;-&quot;_-;_-@_-">
                  <c:v>8806</c:v>
                </c:pt>
                <c:pt idx="20" formatCode="_-* #,##0_-;\-* #,##0_-;_-* &quot;-&quot;_-;_-@_-">
                  <c:v>8663</c:v>
                </c:pt>
                <c:pt idx="21" formatCode="_-* #,##0_-;\-* #,##0_-;_-* &quot;-&quot;_-;_-@_-">
                  <c:v>8522</c:v>
                </c:pt>
                <c:pt idx="22" formatCode="_-* #,##0_-;\-* #,##0_-;_-* &quot;-&quot;_-;_-@_-">
                  <c:v>8384</c:v>
                </c:pt>
                <c:pt idx="23" formatCode="_-* #,##0_-;\-* #,##0_-;_-* &quot;-&quot;_-;_-@_-">
                  <c:v>8247</c:v>
                </c:pt>
              </c:numCache>
            </c:numRef>
          </c:val>
        </c:ser>
        <c:marker val="1"/>
        <c:axId val="131477504"/>
        <c:axId val="131479424"/>
      </c:lineChart>
      <c:catAx>
        <c:axId val="131477504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875" b="0" i="0" u="none" strike="noStrike" baseline="0">
                    <a:solidFill>
                      <a:srgbClr val="000000"/>
                    </a:solidFill>
                    <a:latin typeface="돋움"/>
                    <a:ea typeface="돋움"/>
                    <a:cs typeface="돋움"/>
                  </a:defRPr>
                </a:pPr>
                <a:r>
                  <a:rPr altLang="en-US"/>
                  <a:t>연도</a:t>
                </a:r>
              </a:p>
            </c:rich>
          </c:tx>
          <c:layout>
            <c:manualLayout>
              <c:xMode val="edge"/>
              <c:yMode val="edge"/>
              <c:x val="0.50336346409613442"/>
              <c:y val="0.81939243336028011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maj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돋움"/>
                <a:ea typeface="돋움"/>
                <a:cs typeface="돋움"/>
              </a:defRPr>
            </a:pPr>
            <a:endParaRPr lang="ko-KR"/>
          </a:p>
        </c:txPr>
        <c:crossAx val="131479424"/>
        <c:crosses val="autoZero"/>
        <c:auto val="1"/>
        <c:lblAlgn val="ctr"/>
        <c:lblOffset val="100"/>
        <c:tickLblSkip val="2"/>
        <c:tickMarkSkip val="1"/>
      </c:catAx>
      <c:valAx>
        <c:axId val="131479424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맑은 고딕"/>
                    <a:ea typeface="맑은 고딕"/>
                    <a:cs typeface="맑은 고딕"/>
                  </a:defRPr>
                </a:pPr>
                <a:r>
                  <a:rPr lang="ko-KR" altLang="en-US" sz="875" b="0" i="0" strike="noStrike">
                    <a:solidFill>
                      <a:srgbClr val="000000"/>
                    </a:solidFill>
                    <a:latin typeface="돋움"/>
                    <a:ea typeface="돋움"/>
                  </a:rPr>
                  <a:t>인구</a:t>
                </a:r>
                <a:r>
                  <a:rPr lang="en-US" altLang="ko-KR" sz="875" b="0" i="0" strike="noStrike">
                    <a:solidFill>
                      <a:srgbClr val="000000"/>
                    </a:solidFill>
                    <a:latin typeface="돋움"/>
                    <a:ea typeface="돋움"/>
                  </a:rPr>
                  <a:t>(</a:t>
                </a:r>
                <a:r>
                  <a:rPr lang="ko-KR" altLang="en-US" sz="875" b="0" i="0" strike="noStrike">
                    <a:solidFill>
                      <a:srgbClr val="000000"/>
                    </a:solidFill>
                    <a:latin typeface="돋움"/>
                    <a:ea typeface="돋움"/>
                  </a:rPr>
                  <a:t>명</a:t>
                </a:r>
                <a:r>
                  <a:rPr lang="en-US" altLang="ko-KR" sz="875" b="0" i="0" strike="noStrike">
                    <a:solidFill>
                      <a:srgbClr val="000000"/>
                    </a:solidFill>
                    <a:latin typeface="돋움"/>
                    <a:ea typeface="돋움"/>
                  </a:rPr>
                  <a:t>)</a:t>
                </a:r>
              </a:p>
            </c:rich>
          </c:tx>
          <c:layout>
            <c:manualLayout>
              <c:xMode val="edge"/>
              <c:yMode val="edge"/>
              <c:x val="2.6905829596412592E-2"/>
              <c:y val="0.38212967675618492"/>
            </c:manualLayout>
          </c:layout>
          <c:spPr>
            <a:noFill/>
            <a:ln w="25400">
              <a:noFill/>
            </a:ln>
          </c:spPr>
        </c:title>
        <c:numFmt formatCode="#,##0_ " sourceLinked="0"/>
        <c:maj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돋움"/>
                <a:ea typeface="돋움"/>
                <a:cs typeface="돋움"/>
              </a:defRPr>
            </a:pPr>
            <a:endParaRPr lang="ko-KR"/>
          </a:p>
        </c:txPr>
        <c:crossAx val="131477504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wMode val="edge"/>
          <c:hMode val="edge"/>
          <c:x val="0.12780280828125185"/>
          <c:y val="0.90114148278993644"/>
          <c:w val="0.91591987100267169"/>
          <c:h val="0.96197798469107765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돋움"/>
              <a:ea typeface="돋움"/>
              <a:cs typeface="돋움"/>
            </a:defRPr>
          </a:pPr>
          <a:endParaRPr lang="ko-KR"/>
        </a:p>
      </c:txPr>
    </c:legend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75" b="0" i="0" u="none" strike="noStrike" baseline="0">
          <a:solidFill>
            <a:srgbClr val="000000"/>
          </a:solidFill>
          <a:latin typeface="돋움"/>
          <a:ea typeface="돋움"/>
          <a:cs typeface="돋움"/>
        </a:defRPr>
      </a:pPr>
      <a:endParaRPr lang="ko-KR"/>
    </a:p>
  </c:txPr>
  <c:printSettings>
    <c:headerFooter alignWithMargins="0"/>
    <c:pageMargins b="1" l="0.75000000000000144" r="0.75000000000000144" t="1" header="0.5" footer="0.5"/>
    <c:pageSetup paperSize="9" orientation="landscape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ko-KR"/>
  <c:chart>
    <c:title>
      <c:tx>
        <c:rich>
          <a:bodyPr/>
          <a:lstStyle/>
          <a:p>
            <a:pPr>
              <a:defRPr sz="1175" b="1" i="0" u="none" strike="noStrike" baseline="0">
                <a:solidFill>
                  <a:srgbClr val="000000"/>
                </a:solidFill>
                <a:latin typeface="돋움"/>
                <a:ea typeface="돋움"/>
                <a:cs typeface="돋움"/>
              </a:defRPr>
            </a:pPr>
            <a:r>
              <a:rPr altLang="en-US"/>
              <a:t>망상동</a:t>
            </a:r>
          </a:p>
        </c:rich>
      </c:tx>
      <c:layout>
        <c:manualLayout>
          <c:xMode val="edge"/>
          <c:yMode val="edge"/>
          <c:x val="0.46861010086743682"/>
          <c:y val="2.8517110266159756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9.6412608830122329E-2"/>
          <c:y val="9.3155980012012529E-2"/>
          <c:w val="0.83856548145269227"/>
          <c:h val="0.67490556947478386"/>
        </c:manualLayout>
      </c:layout>
      <c:lineChart>
        <c:grouping val="standard"/>
        <c:ser>
          <c:idx val="0"/>
          <c:order val="0"/>
          <c:tx>
            <c:v>등차</c:v>
          </c:tx>
          <c:spPr>
            <a:ln w="3175">
              <a:solidFill>
                <a:srgbClr val="000080"/>
              </a:solidFill>
              <a:prstDash val="solid"/>
            </a:ln>
          </c:spPr>
          <c:marker>
            <c:symbol val="diamond"/>
            <c:size val="3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망상동20년!$L$225:$AX$225</c:f>
              <c:numCache>
                <c:formatCode>General</c:formatCode>
                <c:ptCount val="39"/>
                <c:pt idx="0">
                  <c:v>1988</c:v>
                </c:pt>
                <c:pt idx="1">
                  <c:v>1989</c:v>
                </c:pt>
                <c:pt idx="2">
                  <c:v>1990</c:v>
                </c:pt>
                <c:pt idx="3">
                  <c:v>1991</c:v>
                </c:pt>
                <c:pt idx="4">
                  <c:v>1992</c:v>
                </c:pt>
                <c:pt idx="5">
                  <c:v>1993</c:v>
                </c:pt>
                <c:pt idx="6">
                  <c:v>1994</c:v>
                </c:pt>
                <c:pt idx="7">
                  <c:v>1995</c:v>
                </c:pt>
                <c:pt idx="8">
                  <c:v>1996</c:v>
                </c:pt>
                <c:pt idx="9">
                  <c:v>1997</c:v>
                </c:pt>
                <c:pt idx="10">
                  <c:v>1998</c:v>
                </c:pt>
                <c:pt idx="11">
                  <c:v>1999</c:v>
                </c:pt>
                <c:pt idx="12">
                  <c:v>2000</c:v>
                </c:pt>
                <c:pt idx="13">
                  <c:v>2001</c:v>
                </c:pt>
                <c:pt idx="14">
                  <c:v>2002</c:v>
                </c:pt>
                <c:pt idx="15">
                  <c:v>2003</c:v>
                </c:pt>
                <c:pt idx="16">
                  <c:v>2004</c:v>
                </c:pt>
                <c:pt idx="17">
                  <c:v>2005</c:v>
                </c:pt>
                <c:pt idx="18">
                  <c:v>2006</c:v>
                </c:pt>
                <c:pt idx="19">
                  <c:v>2007</c:v>
                </c:pt>
                <c:pt idx="20">
                  <c:v>2008</c:v>
                </c:pt>
                <c:pt idx="21">
                  <c:v>2009</c:v>
                </c:pt>
                <c:pt idx="22">
                  <c:v>2010</c:v>
                </c:pt>
                <c:pt idx="23">
                  <c:v>2011</c:v>
                </c:pt>
                <c:pt idx="24">
                  <c:v>2012</c:v>
                </c:pt>
                <c:pt idx="25">
                  <c:v>2013</c:v>
                </c:pt>
                <c:pt idx="26">
                  <c:v>2014</c:v>
                </c:pt>
                <c:pt idx="27">
                  <c:v>2015</c:v>
                </c:pt>
                <c:pt idx="28">
                  <c:v>2016</c:v>
                </c:pt>
                <c:pt idx="29">
                  <c:v>2017</c:v>
                </c:pt>
                <c:pt idx="30">
                  <c:v>2018</c:v>
                </c:pt>
                <c:pt idx="31">
                  <c:v>2019</c:v>
                </c:pt>
                <c:pt idx="32">
                  <c:v>2020</c:v>
                </c:pt>
                <c:pt idx="33">
                  <c:v>2021</c:v>
                </c:pt>
                <c:pt idx="34">
                  <c:v>2022</c:v>
                </c:pt>
                <c:pt idx="35">
                  <c:v>2023</c:v>
                </c:pt>
                <c:pt idx="36">
                  <c:v>2024</c:v>
                </c:pt>
                <c:pt idx="37">
                  <c:v>2025</c:v>
                </c:pt>
                <c:pt idx="38">
                  <c:v>2026</c:v>
                </c:pt>
              </c:numCache>
            </c:numRef>
          </c:cat>
          <c:val>
            <c:numRef>
              <c:f>망상동20년!$L$226:$AW$226</c:f>
              <c:numCache>
                <c:formatCode>General</c:formatCode>
                <c:ptCount val="38"/>
                <c:pt idx="19" formatCode="_-* #,##0_-;\-* #,##0_-;_-* &quot;-&quot;_-;_-@_-">
                  <c:v>4374</c:v>
                </c:pt>
                <c:pt idx="20" formatCode="_-* #,##0_-;\-* #,##0_-;_-* &quot;-&quot;_-;_-@_-">
                  <c:v>4168</c:v>
                </c:pt>
                <c:pt idx="21" formatCode="_-* #,##0_-;\-* #,##0_-;_-* &quot;-&quot;_-;_-@_-">
                  <c:v>3961</c:v>
                </c:pt>
                <c:pt idx="22" formatCode="_-* #,##0_-;\-* #,##0_-;_-* &quot;-&quot;_-;_-@_-">
                  <c:v>3755</c:v>
                </c:pt>
                <c:pt idx="23" formatCode="_-* #,##0_-;\-* #,##0_-;_-* &quot;-&quot;_-;_-@_-">
                  <c:v>3549</c:v>
                </c:pt>
                <c:pt idx="24" formatCode="_-* #,##0_-;\-* #,##0_-;_-* &quot;-&quot;_-;_-@_-">
                  <c:v>3343</c:v>
                </c:pt>
                <c:pt idx="25" formatCode="_-* #,##0_-;\-* #,##0_-;_-* &quot;-&quot;_-;_-@_-">
                  <c:v>3136</c:v>
                </c:pt>
                <c:pt idx="26" formatCode="_-* #,##0_-;\-* #,##0_-;_-* &quot;-&quot;_-;_-@_-">
                  <c:v>2930</c:v>
                </c:pt>
                <c:pt idx="27" formatCode="_-* #,##0_-;\-* #,##0_-;_-* &quot;-&quot;_-;_-@_-">
                  <c:v>2724</c:v>
                </c:pt>
                <c:pt idx="28" formatCode="_-* #,##0_-;\-* #,##0_-;_-* &quot;-&quot;_-;_-@_-">
                  <c:v>2518</c:v>
                </c:pt>
                <c:pt idx="29" formatCode="_-* #,##0_-;\-* #,##0_-;_-* &quot;-&quot;_-;_-@_-">
                  <c:v>2311</c:v>
                </c:pt>
                <c:pt idx="30" formatCode="_-* #,##0_-;\-* #,##0_-;_-* &quot;-&quot;_-;_-@_-">
                  <c:v>2105</c:v>
                </c:pt>
                <c:pt idx="31" formatCode="_-* #,##0_-;\-* #,##0_-;_-* &quot;-&quot;_-;_-@_-">
                  <c:v>1899</c:v>
                </c:pt>
                <c:pt idx="32" formatCode="_-* #,##0_-;\-* #,##0_-;_-* &quot;-&quot;_-;_-@_-">
                  <c:v>1693</c:v>
                </c:pt>
                <c:pt idx="33" formatCode="_-* #,##0_-;\-* #,##0_-;_-* &quot;-&quot;_-;_-@_-">
                  <c:v>1486</c:v>
                </c:pt>
                <c:pt idx="34" formatCode="_-* #,##0_-;\-* #,##0_-;_-* &quot;-&quot;_-;_-@_-">
                  <c:v>1280</c:v>
                </c:pt>
                <c:pt idx="35" formatCode="_-* #,##0_-;\-* #,##0_-;_-* &quot;-&quot;_-;_-@_-">
                  <c:v>1074</c:v>
                </c:pt>
                <c:pt idx="36" formatCode="_-* #,##0_-;\-* #,##0_-;_-* &quot;-&quot;_-;_-@_-">
                  <c:v>868</c:v>
                </c:pt>
                <c:pt idx="37" formatCode="_-* #,##0_-;\-* #,##0_-;_-* &quot;-&quot;_-;_-@_-">
                  <c:v>661</c:v>
                </c:pt>
              </c:numCache>
            </c:numRef>
          </c:val>
        </c:ser>
        <c:ser>
          <c:idx val="1"/>
          <c:order val="1"/>
          <c:tx>
            <c:v>최소</c:v>
          </c:tx>
          <c:spPr>
            <a:ln w="3175">
              <a:solidFill>
                <a:srgbClr val="FF00FF"/>
              </a:solidFill>
              <a:prstDash val="solid"/>
            </a:ln>
          </c:spPr>
          <c:marker>
            <c:symbol val="square"/>
            <c:size val="3"/>
            <c:spPr>
              <a:noFill/>
              <a:ln>
                <a:solidFill>
                  <a:srgbClr val="FF00FF"/>
                </a:solidFill>
                <a:prstDash val="solid"/>
              </a:ln>
            </c:spPr>
          </c:marker>
          <c:cat>
            <c:numRef>
              <c:f>망상동20년!$L$225:$AX$225</c:f>
              <c:numCache>
                <c:formatCode>General</c:formatCode>
                <c:ptCount val="39"/>
                <c:pt idx="0">
                  <c:v>1988</c:v>
                </c:pt>
                <c:pt idx="1">
                  <c:v>1989</c:v>
                </c:pt>
                <c:pt idx="2">
                  <c:v>1990</c:v>
                </c:pt>
                <c:pt idx="3">
                  <c:v>1991</c:v>
                </c:pt>
                <c:pt idx="4">
                  <c:v>1992</c:v>
                </c:pt>
                <c:pt idx="5">
                  <c:v>1993</c:v>
                </c:pt>
                <c:pt idx="6">
                  <c:v>1994</c:v>
                </c:pt>
                <c:pt idx="7">
                  <c:v>1995</c:v>
                </c:pt>
                <c:pt idx="8">
                  <c:v>1996</c:v>
                </c:pt>
                <c:pt idx="9">
                  <c:v>1997</c:v>
                </c:pt>
                <c:pt idx="10">
                  <c:v>1998</c:v>
                </c:pt>
                <c:pt idx="11">
                  <c:v>1999</c:v>
                </c:pt>
                <c:pt idx="12">
                  <c:v>2000</c:v>
                </c:pt>
                <c:pt idx="13">
                  <c:v>2001</c:v>
                </c:pt>
                <c:pt idx="14">
                  <c:v>2002</c:v>
                </c:pt>
                <c:pt idx="15">
                  <c:v>2003</c:v>
                </c:pt>
                <c:pt idx="16">
                  <c:v>2004</c:v>
                </c:pt>
                <c:pt idx="17">
                  <c:v>2005</c:v>
                </c:pt>
                <c:pt idx="18">
                  <c:v>2006</c:v>
                </c:pt>
                <c:pt idx="19">
                  <c:v>2007</c:v>
                </c:pt>
                <c:pt idx="20">
                  <c:v>2008</c:v>
                </c:pt>
                <c:pt idx="21">
                  <c:v>2009</c:v>
                </c:pt>
                <c:pt idx="22">
                  <c:v>2010</c:v>
                </c:pt>
                <c:pt idx="23">
                  <c:v>2011</c:v>
                </c:pt>
                <c:pt idx="24">
                  <c:v>2012</c:v>
                </c:pt>
                <c:pt idx="25">
                  <c:v>2013</c:v>
                </c:pt>
                <c:pt idx="26">
                  <c:v>2014</c:v>
                </c:pt>
                <c:pt idx="27">
                  <c:v>2015</c:v>
                </c:pt>
                <c:pt idx="28">
                  <c:v>2016</c:v>
                </c:pt>
                <c:pt idx="29">
                  <c:v>2017</c:v>
                </c:pt>
                <c:pt idx="30">
                  <c:v>2018</c:v>
                </c:pt>
                <c:pt idx="31">
                  <c:v>2019</c:v>
                </c:pt>
                <c:pt idx="32">
                  <c:v>2020</c:v>
                </c:pt>
                <c:pt idx="33">
                  <c:v>2021</c:v>
                </c:pt>
                <c:pt idx="34">
                  <c:v>2022</c:v>
                </c:pt>
                <c:pt idx="35">
                  <c:v>2023</c:v>
                </c:pt>
                <c:pt idx="36">
                  <c:v>2024</c:v>
                </c:pt>
                <c:pt idx="37">
                  <c:v>2025</c:v>
                </c:pt>
                <c:pt idx="38">
                  <c:v>2026</c:v>
                </c:pt>
              </c:numCache>
            </c:numRef>
          </c:cat>
          <c:val>
            <c:numRef>
              <c:f>망상동20년!$L$227:$AW$227</c:f>
              <c:numCache>
                <c:formatCode>General</c:formatCode>
                <c:ptCount val="38"/>
                <c:pt idx="19" formatCode="_-* #,##0_-;\-* #,##0_-;_-* &quot;-&quot;_-;_-@_-">
                  <c:v>4374</c:v>
                </c:pt>
                <c:pt idx="20" formatCode="_-* #,##0_-;\-* #,##0_-;_-* &quot;-&quot;_-;_-@_-">
                  <c:v>3913</c:v>
                </c:pt>
                <c:pt idx="21" formatCode="_-* #,##0_-;\-* #,##0_-;_-* &quot;-&quot;_-;_-@_-">
                  <c:v>3721</c:v>
                </c:pt>
                <c:pt idx="22" formatCode="_-* #,##0_-;\-* #,##0_-;_-* &quot;-&quot;_-;_-@_-">
                  <c:v>3529</c:v>
                </c:pt>
                <c:pt idx="23" formatCode="_-* #,##0_-;\-* #,##0_-;_-* &quot;-&quot;_-;_-@_-">
                  <c:v>3338</c:v>
                </c:pt>
                <c:pt idx="24" formatCode="_-* #,##0_-;\-* #,##0_-;_-* &quot;-&quot;_-;_-@_-">
                  <c:v>3146</c:v>
                </c:pt>
                <c:pt idx="25" formatCode="_-* #,##0_-;\-* #,##0_-;_-* &quot;-&quot;_-;_-@_-">
                  <c:v>2955</c:v>
                </c:pt>
                <c:pt idx="26" formatCode="_-* #,##0_-;\-* #,##0_-;_-* &quot;-&quot;_-;_-@_-">
                  <c:v>2763</c:v>
                </c:pt>
                <c:pt idx="27" formatCode="_-* #,##0_-;\-* #,##0_-;_-* &quot;-&quot;_-;_-@_-">
                  <c:v>2572</c:v>
                </c:pt>
                <c:pt idx="28" formatCode="_-* #,##0_-;\-* #,##0_-;_-* &quot;-&quot;_-;_-@_-">
                  <c:v>2380</c:v>
                </c:pt>
                <c:pt idx="29" formatCode="_-* #,##0_-;\-* #,##0_-;_-* &quot;-&quot;_-;_-@_-">
                  <c:v>2189</c:v>
                </c:pt>
                <c:pt idx="30" formatCode="_-* #,##0_-;\-* #,##0_-;_-* &quot;-&quot;_-;_-@_-">
                  <c:v>1997</c:v>
                </c:pt>
                <c:pt idx="31" formatCode="_-* #,##0_-;\-* #,##0_-;_-* &quot;-&quot;_-;_-@_-">
                  <c:v>1805</c:v>
                </c:pt>
                <c:pt idx="32" formatCode="_-* #,##0_-;\-* #,##0_-;_-* &quot;-&quot;_-;_-@_-">
                  <c:v>1614</c:v>
                </c:pt>
                <c:pt idx="33" formatCode="_-* #,##0_-;\-* #,##0_-;_-* &quot;-&quot;_-;_-@_-">
                  <c:v>1422</c:v>
                </c:pt>
                <c:pt idx="34" formatCode="_-* #,##0_-;\-* #,##0_-;_-* &quot;-&quot;_-;_-@_-">
                  <c:v>1231</c:v>
                </c:pt>
                <c:pt idx="35" formatCode="_-* #,##0_-;\-* #,##0_-;_-* &quot;-&quot;_-;_-@_-">
                  <c:v>1039</c:v>
                </c:pt>
                <c:pt idx="36" formatCode="_-* #,##0_-;\-* #,##0_-;_-* &quot;-&quot;_-;_-@_-">
                  <c:v>848</c:v>
                </c:pt>
                <c:pt idx="37" formatCode="_-* #,##0_-;\-* #,##0_-;_-* &quot;-&quot;_-;_-@_-">
                  <c:v>656</c:v>
                </c:pt>
              </c:numCache>
            </c:numRef>
          </c:val>
        </c:ser>
        <c:ser>
          <c:idx val="4"/>
          <c:order val="2"/>
          <c:tx>
            <c:v>로지스틱</c:v>
          </c:tx>
          <c:spPr>
            <a:ln w="3175">
              <a:solidFill>
                <a:srgbClr val="800080"/>
              </a:solidFill>
              <a:prstDash val="solid"/>
            </a:ln>
          </c:spPr>
          <c:marker>
            <c:symbol val="circle"/>
            <c:size val="3"/>
            <c:spPr>
              <a:noFill/>
              <a:ln>
                <a:solidFill>
                  <a:srgbClr val="800080"/>
                </a:solidFill>
                <a:prstDash val="solid"/>
              </a:ln>
            </c:spPr>
          </c:marker>
          <c:cat>
            <c:numRef>
              <c:f>망상동20년!$L$225:$AX$225</c:f>
              <c:numCache>
                <c:formatCode>General</c:formatCode>
                <c:ptCount val="39"/>
                <c:pt idx="0">
                  <c:v>1988</c:v>
                </c:pt>
                <c:pt idx="1">
                  <c:v>1989</c:v>
                </c:pt>
                <c:pt idx="2">
                  <c:v>1990</c:v>
                </c:pt>
                <c:pt idx="3">
                  <c:v>1991</c:v>
                </c:pt>
                <c:pt idx="4">
                  <c:v>1992</c:v>
                </c:pt>
                <c:pt idx="5">
                  <c:v>1993</c:v>
                </c:pt>
                <c:pt idx="6">
                  <c:v>1994</c:v>
                </c:pt>
                <c:pt idx="7">
                  <c:v>1995</c:v>
                </c:pt>
                <c:pt idx="8">
                  <c:v>1996</c:v>
                </c:pt>
                <c:pt idx="9">
                  <c:v>1997</c:v>
                </c:pt>
                <c:pt idx="10">
                  <c:v>1998</c:v>
                </c:pt>
                <c:pt idx="11">
                  <c:v>1999</c:v>
                </c:pt>
                <c:pt idx="12">
                  <c:v>2000</c:v>
                </c:pt>
                <c:pt idx="13">
                  <c:v>2001</c:v>
                </c:pt>
                <c:pt idx="14">
                  <c:v>2002</c:v>
                </c:pt>
                <c:pt idx="15">
                  <c:v>2003</c:v>
                </c:pt>
                <c:pt idx="16">
                  <c:v>2004</c:v>
                </c:pt>
                <c:pt idx="17">
                  <c:v>2005</c:v>
                </c:pt>
                <c:pt idx="18">
                  <c:v>2006</c:v>
                </c:pt>
                <c:pt idx="19">
                  <c:v>2007</c:v>
                </c:pt>
                <c:pt idx="20">
                  <c:v>2008</c:v>
                </c:pt>
                <c:pt idx="21">
                  <c:v>2009</c:v>
                </c:pt>
                <c:pt idx="22">
                  <c:v>2010</c:v>
                </c:pt>
                <c:pt idx="23">
                  <c:v>2011</c:v>
                </c:pt>
                <c:pt idx="24">
                  <c:v>2012</c:v>
                </c:pt>
                <c:pt idx="25">
                  <c:v>2013</c:v>
                </c:pt>
                <c:pt idx="26">
                  <c:v>2014</c:v>
                </c:pt>
                <c:pt idx="27">
                  <c:v>2015</c:v>
                </c:pt>
                <c:pt idx="28">
                  <c:v>2016</c:v>
                </c:pt>
                <c:pt idx="29">
                  <c:v>2017</c:v>
                </c:pt>
                <c:pt idx="30">
                  <c:v>2018</c:v>
                </c:pt>
                <c:pt idx="31">
                  <c:v>2019</c:v>
                </c:pt>
                <c:pt idx="32">
                  <c:v>2020</c:v>
                </c:pt>
                <c:pt idx="33">
                  <c:v>2021</c:v>
                </c:pt>
                <c:pt idx="34">
                  <c:v>2022</c:v>
                </c:pt>
                <c:pt idx="35">
                  <c:v>2023</c:v>
                </c:pt>
                <c:pt idx="36">
                  <c:v>2024</c:v>
                </c:pt>
                <c:pt idx="37">
                  <c:v>2025</c:v>
                </c:pt>
                <c:pt idx="38">
                  <c:v>2026</c:v>
                </c:pt>
              </c:numCache>
            </c:numRef>
          </c:cat>
          <c:val>
            <c:numRef>
              <c:f>망상동20년!$L$230:$AW$230</c:f>
              <c:numCache>
                <c:formatCode>General</c:formatCode>
                <c:ptCount val="38"/>
                <c:pt idx="19" formatCode="_-* #,##0_-;\-* #,##0_-;_-* &quot;-&quot;_-;_-@_-">
                  <c:v>4374</c:v>
                </c:pt>
                <c:pt idx="20" formatCode="_-* #,##0_-;\-* #,##0_-;_-* &quot;-&quot;_-;_-@_-">
                  <c:v>4054</c:v>
                </c:pt>
                <c:pt idx="21" formatCode="_-* #,##0_-;\-* #,##0_-;_-* &quot;-&quot;_-;_-@_-">
                  <c:v>3902</c:v>
                </c:pt>
                <c:pt idx="22" formatCode="_-* #,##0_-;\-* #,##0_-;_-* &quot;-&quot;_-;_-@_-">
                  <c:v>3754</c:v>
                </c:pt>
                <c:pt idx="23" formatCode="_-* #,##0_-;\-* #,##0_-;_-* &quot;-&quot;_-;_-@_-">
                  <c:v>3610</c:v>
                </c:pt>
                <c:pt idx="24" formatCode="_-* #,##0_-;\-* #,##0_-;_-* &quot;-&quot;_-;_-@_-">
                  <c:v>3470</c:v>
                </c:pt>
                <c:pt idx="25" formatCode="_-* #,##0_-;\-* #,##0_-;_-* &quot;-&quot;_-;_-@_-">
                  <c:v>3334</c:v>
                </c:pt>
                <c:pt idx="26" formatCode="_-* #,##0_-;\-* #,##0_-;_-* &quot;-&quot;_-;_-@_-">
                  <c:v>3202</c:v>
                </c:pt>
                <c:pt idx="27" formatCode="_-* #,##0_-;\-* #,##0_-;_-* &quot;-&quot;_-;_-@_-">
                  <c:v>3074</c:v>
                </c:pt>
                <c:pt idx="28" formatCode="_-* #,##0_-;\-* #,##0_-;_-* &quot;-&quot;_-;_-@_-">
                  <c:v>2950</c:v>
                </c:pt>
                <c:pt idx="29" formatCode="_-* #,##0_-;\-* #,##0_-;_-* &quot;-&quot;_-;_-@_-">
                  <c:v>2830</c:v>
                </c:pt>
                <c:pt idx="30" formatCode="_-* #,##0_-;\-* #,##0_-;_-* &quot;-&quot;_-;_-@_-">
                  <c:v>2714</c:v>
                </c:pt>
                <c:pt idx="31" formatCode="_-* #,##0_-;\-* #,##0_-;_-* &quot;-&quot;_-;_-@_-">
                  <c:v>2602</c:v>
                </c:pt>
                <c:pt idx="32" formatCode="_-* #,##0_-;\-* #,##0_-;_-* &quot;-&quot;_-;_-@_-">
                  <c:v>2494</c:v>
                </c:pt>
                <c:pt idx="33" formatCode="_-* #,##0_-;\-* #,##0_-;_-* &quot;-&quot;_-;_-@_-">
                  <c:v>2389</c:v>
                </c:pt>
                <c:pt idx="34" formatCode="_-* #,##0_-;\-* #,##0_-;_-* &quot;-&quot;_-;_-@_-">
                  <c:v>2288</c:v>
                </c:pt>
                <c:pt idx="35" formatCode="_-* #,##0_-;\-* #,##0_-;_-* &quot;-&quot;_-;_-@_-">
                  <c:v>2191</c:v>
                </c:pt>
                <c:pt idx="36" formatCode="_-* #,##0_-;\-* #,##0_-;_-* &quot;-&quot;_-;_-@_-">
                  <c:v>2097</c:v>
                </c:pt>
                <c:pt idx="37" formatCode="_-* #,##0_-;\-* #,##0_-;_-* &quot;-&quot;_-;_-@_-">
                  <c:v>2007</c:v>
                </c:pt>
              </c:numCache>
            </c:numRef>
          </c:val>
        </c:ser>
        <c:ser>
          <c:idx val="5"/>
          <c:order val="3"/>
          <c:tx>
            <c:v>평균(최대최소제외)</c:v>
          </c:tx>
          <c:spPr>
            <a:ln w="3175">
              <a:solidFill>
                <a:srgbClr val="800000"/>
              </a:solidFill>
              <a:prstDash val="sysDash"/>
            </a:ln>
          </c:spPr>
          <c:marker>
            <c:symbol val="circle"/>
            <c:size val="3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망상동20년!$L$225:$AX$225</c:f>
              <c:numCache>
                <c:formatCode>General</c:formatCode>
                <c:ptCount val="39"/>
                <c:pt idx="0">
                  <c:v>1988</c:v>
                </c:pt>
                <c:pt idx="1">
                  <c:v>1989</c:v>
                </c:pt>
                <c:pt idx="2">
                  <c:v>1990</c:v>
                </c:pt>
                <c:pt idx="3">
                  <c:v>1991</c:v>
                </c:pt>
                <c:pt idx="4">
                  <c:v>1992</c:v>
                </c:pt>
                <c:pt idx="5">
                  <c:v>1993</c:v>
                </c:pt>
                <c:pt idx="6">
                  <c:v>1994</c:v>
                </c:pt>
                <c:pt idx="7">
                  <c:v>1995</c:v>
                </c:pt>
                <c:pt idx="8">
                  <c:v>1996</c:v>
                </c:pt>
                <c:pt idx="9">
                  <c:v>1997</c:v>
                </c:pt>
                <c:pt idx="10">
                  <c:v>1998</c:v>
                </c:pt>
                <c:pt idx="11">
                  <c:v>1999</c:v>
                </c:pt>
                <c:pt idx="12">
                  <c:v>2000</c:v>
                </c:pt>
                <c:pt idx="13">
                  <c:v>2001</c:v>
                </c:pt>
                <c:pt idx="14">
                  <c:v>2002</c:v>
                </c:pt>
                <c:pt idx="15">
                  <c:v>2003</c:v>
                </c:pt>
                <c:pt idx="16">
                  <c:v>2004</c:v>
                </c:pt>
                <c:pt idx="17">
                  <c:v>2005</c:v>
                </c:pt>
                <c:pt idx="18">
                  <c:v>2006</c:v>
                </c:pt>
                <c:pt idx="19">
                  <c:v>2007</c:v>
                </c:pt>
                <c:pt idx="20">
                  <c:v>2008</c:v>
                </c:pt>
                <c:pt idx="21">
                  <c:v>2009</c:v>
                </c:pt>
                <c:pt idx="22">
                  <c:v>2010</c:v>
                </c:pt>
                <c:pt idx="23">
                  <c:v>2011</c:v>
                </c:pt>
                <c:pt idx="24">
                  <c:v>2012</c:v>
                </c:pt>
                <c:pt idx="25">
                  <c:v>2013</c:v>
                </c:pt>
                <c:pt idx="26">
                  <c:v>2014</c:v>
                </c:pt>
                <c:pt idx="27">
                  <c:v>2015</c:v>
                </c:pt>
                <c:pt idx="28">
                  <c:v>2016</c:v>
                </c:pt>
                <c:pt idx="29">
                  <c:v>2017</c:v>
                </c:pt>
                <c:pt idx="30">
                  <c:v>2018</c:v>
                </c:pt>
                <c:pt idx="31">
                  <c:v>2019</c:v>
                </c:pt>
                <c:pt idx="32">
                  <c:v>2020</c:v>
                </c:pt>
                <c:pt idx="33">
                  <c:v>2021</c:v>
                </c:pt>
                <c:pt idx="34">
                  <c:v>2022</c:v>
                </c:pt>
                <c:pt idx="35">
                  <c:v>2023</c:v>
                </c:pt>
                <c:pt idx="36">
                  <c:v>2024</c:v>
                </c:pt>
                <c:pt idx="37">
                  <c:v>2025</c:v>
                </c:pt>
                <c:pt idx="38">
                  <c:v>2026</c:v>
                </c:pt>
              </c:numCache>
            </c:numRef>
          </c:cat>
          <c:val>
            <c:numRef>
              <c:f>망상동20년!$L$231:$AW$231</c:f>
              <c:numCache>
                <c:formatCode>General</c:formatCode>
                <c:ptCount val="38"/>
                <c:pt idx="19" formatCode="_-* #,##0_-;\-* #,##0_-;_-* &quot;-&quot;_-;_-@_-">
                  <c:v>4374</c:v>
                </c:pt>
                <c:pt idx="20" formatCode="#,##0_ ">
                  <c:v>4111</c:v>
                </c:pt>
                <c:pt idx="21" formatCode="#,##0_ ">
                  <c:v>3931.5</c:v>
                </c:pt>
                <c:pt idx="22" formatCode="#,##0_ ">
                  <c:v>3754.5</c:v>
                </c:pt>
                <c:pt idx="23" formatCode="#,##0_ ">
                  <c:v>3579.5</c:v>
                </c:pt>
                <c:pt idx="24" formatCode="#,##0_ ">
                  <c:v>3406.5</c:v>
                </c:pt>
                <c:pt idx="25" formatCode="#,##0_ ">
                  <c:v>3235</c:v>
                </c:pt>
                <c:pt idx="26" formatCode="#,##0_ ">
                  <c:v>3066</c:v>
                </c:pt>
                <c:pt idx="27" formatCode="#,##0_ ">
                  <c:v>2899</c:v>
                </c:pt>
                <c:pt idx="28" formatCode="#,##0_ ">
                  <c:v>2734</c:v>
                </c:pt>
                <c:pt idx="29" formatCode="#,##0_ ">
                  <c:v>2570.5</c:v>
                </c:pt>
                <c:pt idx="30" formatCode="#,##0_ ">
                  <c:v>2409.5</c:v>
                </c:pt>
                <c:pt idx="31" formatCode="#,##0_ ">
                  <c:v>2250.5</c:v>
                </c:pt>
                <c:pt idx="32" formatCode="#,##0_ ">
                  <c:v>2093.5</c:v>
                </c:pt>
                <c:pt idx="33" formatCode="#,##0_ ">
                  <c:v>1937.5</c:v>
                </c:pt>
                <c:pt idx="34" formatCode="#,##0_ ">
                  <c:v>1784</c:v>
                </c:pt>
                <c:pt idx="35" formatCode="#,##0_ ">
                  <c:v>1632.5</c:v>
                </c:pt>
                <c:pt idx="36" formatCode="#,##0_ ">
                  <c:v>1482.5</c:v>
                </c:pt>
                <c:pt idx="37" formatCode="#,##0_ ">
                  <c:v>1334</c:v>
                </c:pt>
              </c:numCache>
            </c:numRef>
          </c:val>
        </c:ser>
        <c:ser>
          <c:idx val="6"/>
          <c:order val="4"/>
          <c:tx>
            <c:v>과거</c:v>
          </c:tx>
          <c:spPr>
            <a:ln w="12700">
              <a:solidFill>
                <a:srgbClr val="008080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008080"/>
                </a:solidFill>
                <a:prstDash val="solid"/>
              </a:ln>
            </c:spPr>
          </c:marker>
          <c:cat>
            <c:numRef>
              <c:f>망상동20년!$L$225:$AX$225</c:f>
              <c:numCache>
                <c:formatCode>General</c:formatCode>
                <c:ptCount val="39"/>
                <c:pt idx="0">
                  <c:v>1988</c:v>
                </c:pt>
                <c:pt idx="1">
                  <c:v>1989</c:v>
                </c:pt>
                <c:pt idx="2">
                  <c:v>1990</c:v>
                </c:pt>
                <c:pt idx="3">
                  <c:v>1991</c:v>
                </c:pt>
                <c:pt idx="4">
                  <c:v>1992</c:v>
                </c:pt>
                <c:pt idx="5">
                  <c:v>1993</c:v>
                </c:pt>
                <c:pt idx="6">
                  <c:v>1994</c:v>
                </c:pt>
                <c:pt idx="7">
                  <c:v>1995</c:v>
                </c:pt>
                <c:pt idx="8">
                  <c:v>1996</c:v>
                </c:pt>
                <c:pt idx="9">
                  <c:v>1997</c:v>
                </c:pt>
                <c:pt idx="10">
                  <c:v>1998</c:v>
                </c:pt>
                <c:pt idx="11">
                  <c:v>1999</c:v>
                </c:pt>
                <c:pt idx="12">
                  <c:v>2000</c:v>
                </c:pt>
                <c:pt idx="13">
                  <c:v>2001</c:v>
                </c:pt>
                <c:pt idx="14">
                  <c:v>2002</c:v>
                </c:pt>
                <c:pt idx="15">
                  <c:v>2003</c:v>
                </c:pt>
                <c:pt idx="16">
                  <c:v>2004</c:v>
                </c:pt>
                <c:pt idx="17">
                  <c:v>2005</c:v>
                </c:pt>
                <c:pt idx="18">
                  <c:v>2006</c:v>
                </c:pt>
                <c:pt idx="19">
                  <c:v>2007</c:v>
                </c:pt>
                <c:pt idx="20">
                  <c:v>2008</c:v>
                </c:pt>
                <c:pt idx="21">
                  <c:v>2009</c:v>
                </c:pt>
                <c:pt idx="22">
                  <c:v>2010</c:v>
                </c:pt>
                <c:pt idx="23">
                  <c:v>2011</c:v>
                </c:pt>
                <c:pt idx="24">
                  <c:v>2012</c:v>
                </c:pt>
                <c:pt idx="25">
                  <c:v>2013</c:v>
                </c:pt>
                <c:pt idx="26">
                  <c:v>2014</c:v>
                </c:pt>
                <c:pt idx="27">
                  <c:v>2015</c:v>
                </c:pt>
                <c:pt idx="28">
                  <c:v>2016</c:v>
                </c:pt>
                <c:pt idx="29">
                  <c:v>2017</c:v>
                </c:pt>
                <c:pt idx="30">
                  <c:v>2018</c:v>
                </c:pt>
                <c:pt idx="31">
                  <c:v>2019</c:v>
                </c:pt>
                <c:pt idx="32">
                  <c:v>2020</c:v>
                </c:pt>
                <c:pt idx="33">
                  <c:v>2021</c:v>
                </c:pt>
                <c:pt idx="34">
                  <c:v>2022</c:v>
                </c:pt>
                <c:pt idx="35">
                  <c:v>2023</c:v>
                </c:pt>
                <c:pt idx="36">
                  <c:v>2024</c:v>
                </c:pt>
                <c:pt idx="37">
                  <c:v>2025</c:v>
                </c:pt>
                <c:pt idx="38">
                  <c:v>2026</c:v>
                </c:pt>
              </c:numCache>
            </c:numRef>
          </c:cat>
          <c:val>
            <c:numRef>
              <c:f>망상동20년!$L$223:$AG$223</c:f>
              <c:numCache>
                <c:formatCode>_-* #,##0_-;\-* #,##0_-;_-* "-"_-;_-@_-</c:formatCode>
                <c:ptCount val="22"/>
                <c:pt idx="0" formatCode="General">
                  <c:v>8293</c:v>
                </c:pt>
                <c:pt idx="1">
                  <c:v>8370</c:v>
                </c:pt>
                <c:pt idx="2" formatCode="General">
                  <c:v>7082</c:v>
                </c:pt>
                <c:pt idx="3">
                  <c:v>7199</c:v>
                </c:pt>
                <c:pt idx="4" formatCode="General">
                  <c:v>6932</c:v>
                </c:pt>
                <c:pt idx="5">
                  <c:v>6684</c:v>
                </c:pt>
                <c:pt idx="6">
                  <c:v>6207</c:v>
                </c:pt>
                <c:pt idx="7">
                  <c:v>5816</c:v>
                </c:pt>
                <c:pt idx="8">
                  <c:v>5548</c:v>
                </c:pt>
                <c:pt idx="9">
                  <c:v>5872</c:v>
                </c:pt>
                <c:pt idx="10">
                  <c:v>5835</c:v>
                </c:pt>
                <c:pt idx="11">
                  <c:v>5719</c:v>
                </c:pt>
                <c:pt idx="12">
                  <c:v>5594</c:v>
                </c:pt>
                <c:pt idx="13">
                  <c:v>5248</c:v>
                </c:pt>
                <c:pt idx="14">
                  <c:v>5034</c:v>
                </c:pt>
                <c:pt idx="15">
                  <c:v>4835</c:v>
                </c:pt>
                <c:pt idx="16">
                  <c:v>4742</c:v>
                </c:pt>
                <c:pt idx="17">
                  <c:v>4623</c:v>
                </c:pt>
                <c:pt idx="18">
                  <c:v>4474</c:v>
                </c:pt>
                <c:pt idx="19">
                  <c:v>4374</c:v>
                </c:pt>
                <c:pt idx="20">
                  <c:v>4054</c:v>
                </c:pt>
              </c:numCache>
            </c:numRef>
          </c:val>
        </c:ser>
        <c:ser>
          <c:idx val="2"/>
          <c:order val="5"/>
          <c:tx>
            <c:v>등비</c:v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FF0000"/>
                </a:solidFill>
                <a:prstDash val="solid"/>
              </a:ln>
            </c:spPr>
          </c:marker>
          <c:val>
            <c:numRef>
              <c:f>망상동20년!$L$228:$AW$228</c:f>
              <c:numCache>
                <c:formatCode>General</c:formatCode>
                <c:ptCount val="38"/>
                <c:pt idx="19" formatCode="_-* #,##0_-;\-* #,##0_-;_-* &quot;-&quot;_-;_-@_-">
                  <c:v>4374</c:v>
                </c:pt>
                <c:pt idx="20" formatCode="_-* #,##0_-;\-* #,##0_-;_-* &quot;-&quot;_-;_-@_-">
                  <c:v>4229</c:v>
                </c:pt>
                <c:pt idx="21" formatCode="_-* #,##0_-;\-* #,##0_-;_-* &quot;-&quot;_-;_-@_-">
                  <c:v>4089</c:v>
                </c:pt>
                <c:pt idx="22" formatCode="_-* #,##0_-;\-* #,##0_-;_-* &quot;-&quot;_-;_-@_-">
                  <c:v>3954</c:v>
                </c:pt>
                <c:pt idx="23" formatCode="_-* #,##0_-;\-* #,##0_-;_-* &quot;-&quot;_-;_-@_-">
                  <c:v>3823</c:v>
                </c:pt>
                <c:pt idx="24" formatCode="_-* #,##0_-;\-* #,##0_-;_-* &quot;-&quot;_-;_-@_-">
                  <c:v>3696</c:v>
                </c:pt>
                <c:pt idx="25" formatCode="_-* #,##0_-;\-* #,##0_-;_-* &quot;-&quot;_-;_-@_-">
                  <c:v>3574</c:v>
                </c:pt>
                <c:pt idx="26" formatCode="_-* #,##0_-;\-* #,##0_-;_-* &quot;-&quot;_-;_-@_-">
                  <c:v>3456</c:v>
                </c:pt>
                <c:pt idx="27" formatCode="_-* #,##0_-;\-* #,##0_-;_-* &quot;-&quot;_-;_-@_-">
                  <c:v>3341</c:v>
                </c:pt>
                <c:pt idx="28" formatCode="_-* #,##0_-;\-* #,##0_-;_-* &quot;-&quot;_-;_-@_-">
                  <c:v>3230</c:v>
                </c:pt>
                <c:pt idx="29" formatCode="_-* #,##0_-;\-* #,##0_-;_-* &quot;-&quot;_-;_-@_-">
                  <c:v>3124</c:v>
                </c:pt>
                <c:pt idx="30" formatCode="_-* #,##0_-;\-* #,##0_-;_-* &quot;-&quot;_-;_-@_-">
                  <c:v>3020</c:v>
                </c:pt>
                <c:pt idx="31" formatCode="_-* #,##0_-;\-* #,##0_-;_-* &quot;-&quot;_-;_-@_-">
                  <c:v>2920</c:v>
                </c:pt>
                <c:pt idx="32" formatCode="_-* #,##0_-;\-* #,##0_-;_-* &quot;-&quot;_-;_-@_-">
                  <c:v>2823</c:v>
                </c:pt>
                <c:pt idx="33" formatCode="_-* #,##0_-;\-* #,##0_-;_-* &quot;-&quot;_-;_-@_-">
                  <c:v>2730</c:v>
                </c:pt>
                <c:pt idx="34" formatCode="_-* #,##0_-;\-* #,##0_-;_-* &quot;-&quot;_-;_-@_-">
                  <c:v>2640</c:v>
                </c:pt>
                <c:pt idx="35" formatCode="_-* #,##0_-;\-* #,##0_-;_-* &quot;-&quot;_-;_-@_-">
                  <c:v>2552</c:v>
                </c:pt>
                <c:pt idx="36" formatCode="_-* #,##0_-;\-* #,##0_-;_-* &quot;-&quot;_-;_-@_-">
                  <c:v>2468</c:v>
                </c:pt>
                <c:pt idx="37" formatCode="_-* #,##0_-;\-* #,##0_-;_-* &quot;-&quot;_-;_-@_-">
                  <c:v>2386</c:v>
                </c:pt>
              </c:numCache>
            </c:numRef>
          </c:val>
        </c:ser>
        <c:marker val="1"/>
        <c:axId val="131800064"/>
        <c:axId val="131810816"/>
      </c:lineChart>
      <c:catAx>
        <c:axId val="131800064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875" b="0" i="0" u="none" strike="noStrike" baseline="0">
                    <a:solidFill>
                      <a:srgbClr val="000000"/>
                    </a:solidFill>
                    <a:latin typeface="돋움"/>
                    <a:ea typeface="돋움"/>
                    <a:cs typeface="돋움"/>
                  </a:defRPr>
                </a:pPr>
                <a:r>
                  <a:rPr altLang="en-US"/>
                  <a:t>연도</a:t>
                </a:r>
              </a:p>
            </c:rich>
          </c:tx>
          <c:layout>
            <c:manualLayout>
              <c:xMode val="edge"/>
              <c:yMode val="edge"/>
              <c:x val="0.50000023539658589"/>
              <c:y val="0.81939243336028011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maj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돋움"/>
                <a:ea typeface="돋움"/>
                <a:cs typeface="돋움"/>
              </a:defRPr>
            </a:pPr>
            <a:endParaRPr lang="ko-KR"/>
          </a:p>
        </c:txPr>
        <c:crossAx val="131810816"/>
        <c:crosses val="autoZero"/>
        <c:auto val="1"/>
        <c:lblAlgn val="ctr"/>
        <c:lblOffset val="100"/>
        <c:tickLblSkip val="2"/>
        <c:tickMarkSkip val="1"/>
      </c:catAx>
      <c:valAx>
        <c:axId val="131810816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맑은 고딕"/>
                    <a:ea typeface="맑은 고딕"/>
                    <a:cs typeface="맑은 고딕"/>
                  </a:defRPr>
                </a:pPr>
                <a:r>
                  <a:rPr lang="ko-KR" altLang="en-US" sz="875" b="0" i="0" strike="noStrike">
                    <a:solidFill>
                      <a:srgbClr val="000000"/>
                    </a:solidFill>
                    <a:latin typeface="돋움"/>
                    <a:ea typeface="돋움"/>
                  </a:rPr>
                  <a:t>인구</a:t>
                </a:r>
                <a:r>
                  <a:rPr lang="en-US" altLang="ko-KR" sz="875" b="0" i="0" strike="noStrike">
                    <a:solidFill>
                      <a:srgbClr val="000000"/>
                    </a:solidFill>
                    <a:latin typeface="돋움"/>
                    <a:ea typeface="돋움"/>
                  </a:rPr>
                  <a:t>(</a:t>
                </a:r>
                <a:r>
                  <a:rPr lang="ko-KR" altLang="en-US" sz="875" b="0" i="0" strike="noStrike">
                    <a:solidFill>
                      <a:srgbClr val="000000"/>
                    </a:solidFill>
                    <a:latin typeface="돋움"/>
                    <a:ea typeface="돋움"/>
                  </a:rPr>
                  <a:t>명</a:t>
                </a:r>
                <a:r>
                  <a:rPr lang="en-US" altLang="ko-KR" sz="875" b="0" i="0" strike="noStrike">
                    <a:solidFill>
                      <a:srgbClr val="000000"/>
                    </a:solidFill>
                    <a:latin typeface="돋움"/>
                    <a:ea typeface="돋움"/>
                  </a:rPr>
                  <a:t>)</a:t>
                </a:r>
              </a:p>
            </c:rich>
          </c:tx>
          <c:layout>
            <c:manualLayout>
              <c:xMode val="edge"/>
              <c:yMode val="edge"/>
              <c:x val="2.5784753363228687E-2"/>
              <c:y val="0.38212967675618492"/>
            </c:manualLayout>
          </c:layout>
          <c:spPr>
            <a:noFill/>
            <a:ln w="25400">
              <a:noFill/>
            </a:ln>
          </c:spPr>
        </c:title>
        <c:numFmt formatCode="#,##0_ " sourceLinked="0"/>
        <c:maj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돋움"/>
                <a:ea typeface="돋움"/>
                <a:cs typeface="돋움"/>
              </a:defRPr>
            </a:pPr>
            <a:endParaRPr lang="ko-KR"/>
          </a:p>
        </c:txPr>
        <c:crossAx val="131800064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wMode val="edge"/>
          <c:hMode val="edge"/>
          <c:x val="0.12668173204806787"/>
          <c:y val="0.90114148278993644"/>
          <c:w val="0.91479879476948922"/>
          <c:h val="0.96197798469107765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돋움"/>
              <a:ea typeface="돋움"/>
              <a:cs typeface="돋움"/>
            </a:defRPr>
          </a:pPr>
          <a:endParaRPr lang="ko-KR"/>
        </a:p>
      </c:txPr>
    </c:legend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75" b="0" i="0" u="none" strike="noStrike" baseline="0">
          <a:solidFill>
            <a:srgbClr val="000000"/>
          </a:solidFill>
          <a:latin typeface="돋움"/>
          <a:ea typeface="돋움"/>
          <a:cs typeface="돋움"/>
        </a:defRPr>
      </a:pPr>
      <a:endParaRPr lang="ko-KR"/>
    </a:p>
  </c:txPr>
  <c:printSettings>
    <c:headerFooter alignWithMargins="0"/>
    <c:pageMargins b="1" l="0.75000000000000144" r="0.75000000000000144" t="1" header="0.5" footer="0.5"/>
    <c:pageSetup paperSize="9" orientation="landscape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ko-KR"/>
  <c:chart>
    <c:title>
      <c:tx>
        <c:rich>
          <a:bodyPr/>
          <a:lstStyle/>
          <a:p>
            <a:pPr>
              <a:defRPr sz="1175" b="1" i="0" u="none" strike="noStrike" baseline="0">
                <a:solidFill>
                  <a:srgbClr val="000000"/>
                </a:solidFill>
                <a:latin typeface="돋움"/>
                <a:ea typeface="돋움"/>
                <a:cs typeface="돋움"/>
              </a:defRPr>
            </a:pPr>
            <a:r>
              <a:rPr altLang="en-US"/>
              <a:t>망상동</a:t>
            </a:r>
          </a:p>
        </c:rich>
      </c:tx>
      <c:layout>
        <c:manualLayout>
          <c:xMode val="edge"/>
          <c:yMode val="edge"/>
          <c:x val="0.46861010086743682"/>
          <c:y val="2.8517110266159756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9.7533685676984214E-2"/>
          <c:y val="9.3155980012012529E-2"/>
          <c:w val="0.83744440460583214"/>
          <c:h val="0.67680671192400665"/>
        </c:manualLayout>
      </c:layout>
      <c:lineChart>
        <c:grouping val="standard"/>
        <c:ser>
          <c:idx val="0"/>
          <c:order val="0"/>
          <c:tx>
            <c:v>등차</c:v>
          </c:tx>
          <c:spPr>
            <a:ln w="3175">
              <a:solidFill>
                <a:srgbClr val="000080"/>
              </a:solidFill>
              <a:prstDash val="solid"/>
            </a:ln>
          </c:spPr>
          <c:marker>
            <c:symbol val="diamond"/>
            <c:size val="3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망상동10!$L$181:$AO$181</c:f>
              <c:numCache>
                <c:formatCode>General</c:formatCode>
                <c:ptCount val="30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  <c:pt idx="22">
                  <c:v>2019</c:v>
                </c:pt>
                <c:pt idx="23">
                  <c:v>2020</c:v>
                </c:pt>
                <c:pt idx="24">
                  <c:v>2021</c:v>
                </c:pt>
                <c:pt idx="25">
                  <c:v>2022</c:v>
                </c:pt>
                <c:pt idx="26">
                  <c:v>2023</c:v>
                </c:pt>
                <c:pt idx="27">
                  <c:v>2024</c:v>
                </c:pt>
                <c:pt idx="28">
                  <c:v>2025</c:v>
                </c:pt>
              </c:numCache>
            </c:numRef>
          </c:cat>
          <c:val>
            <c:numRef>
              <c:f>망상동10!$L$182:$AN$182</c:f>
              <c:numCache>
                <c:formatCode>General</c:formatCode>
                <c:ptCount val="29"/>
                <c:pt idx="10" formatCode="_-* #,##0_-;\-* #,##0_-;_-* &quot;-&quot;_-;_-@_-">
                  <c:v>4374</c:v>
                </c:pt>
                <c:pt idx="11" formatCode="_-* #,##0_-;\-* #,##0_-;_-* &quot;-&quot;_-;_-@_-">
                  <c:v>4224</c:v>
                </c:pt>
                <c:pt idx="12" formatCode="_-* #,##0_-;\-* #,##0_-;_-* &quot;-&quot;_-;_-@_-">
                  <c:v>4074</c:v>
                </c:pt>
                <c:pt idx="13" formatCode="_-* #,##0_-;\-* #,##0_-;_-* &quot;-&quot;_-;_-@_-">
                  <c:v>3925</c:v>
                </c:pt>
                <c:pt idx="14" formatCode="_-* #,##0_-;\-* #,##0_-;_-* &quot;-&quot;_-;_-@_-">
                  <c:v>3775</c:v>
                </c:pt>
                <c:pt idx="15" formatCode="_-* #,##0_-;\-* #,##0_-;_-* &quot;-&quot;_-;_-@_-">
                  <c:v>3625</c:v>
                </c:pt>
                <c:pt idx="16" formatCode="_-* #,##0_-;\-* #,##0_-;_-* &quot;-&quot;_-;_-@_-">
                  <c:v>3475</c:v>
                </c:pt>
                <c:pt idx="17" formatCode="_-* #,##0_-;\-* #,##0_-;_-* &quot;-&quot;_-;_-@_-">
                  <c:v>3325</c:v>
                </c:pt>
                <c:pt idx="18" formatCode="_-* #,##0_-;\-* #,##0_-;_-* &quot;-&quot;_-;_-@_-">
                  <c:v>3176</c:v>
                </c:pt>
                <c:pt idx="19" formatCode="_-* #,##0_-;\-* #,##0_-;_-* &quot;-&quot;_-;_-@_-">
                  <c:v>3026</c:v>
                </c:pt>
                <c:pt idx="20" formatCode="_-* #,##0_-;\-* #,##0_-;_-* &quot;-&quot;_-;_-@_-">
                  <c:v>2876</c:v>
                </c:pt>
                <c:pt idx="21" formatCode="_-* #,##0_-;\-* #,##0_-;_-* &quot;-&quot;_-;_-@_-">
                  <c:v>2726</c:v>
                </c:pt>
                <c:pt idx="22" formatCode="_-* #,##0_-;\-* #,##0_-;_-* &quot;-&quot;_-;_-@_-">
                  <c:v>2576</c:v>
                </c:pt>
                <c:pt idx="23" formatCode="_-* #,##0_-;\-* #,##0_-;_-* &quot;-&quot;_-;_-@_-">
                  <c:v>2427</c:v>
                </c:pt>
                <c:pt idx="24" formatCode="_-* #,##0_-;\-* #,##0_-;_-* &quot;-&quot;_-;_-@_-">
                  <c:v>2277</c:v>
                </c:pt>
                <c:pt idx="25" formatCode="_-* #,##0_-;\-* #,##0_-;_-* &quot;-&quot;_-;_-@_-">
                  <c:v>2127</c:v>
                </c:pt>
                <c:pt idx="26" formatCode="_-* #,##0_-;\-* #,##0_-;_-* &quot;-&quot;_-;_-@_-">
                  <c:v>1977</c:v>
                </c:pt>
                <c:pt idx="27" formatCode="_-* #,##0_-;\-* #,##0_-;_-* &quot;-&quot;_-;_-@_-">
                  <c:v>1827</c:v>
                </c:pt>
                <c:pt idx="28" formatCode="_-* #,##0_-;\-* #,##0_-;_-* &quot;-&quot;_-;_-@_-">
                  <c:v>1678</c:v>
                </c:pt>
              </c:numCache>
            </c:numRef>
          </c:val>
        </c:ser>
        <c:ser>
          <c:idx val="1"/>
          <c:order val="1"/>
          <c:tx>
            <c:v>최소</c:v>
          </c:tx>
          <c:spPr>
            <a:ln w="3175">
              <a:solidFill>
                <a:srgbClr val="FF00FF"/>
              </a:solidFill>
              <a:prstDash val="solid"/>
            </a:ln>
          </c:spPr>
          <c:marker>
            <c:symbol val="square"/>
            <c:size val="3"/>
            <c:spPr>
              <a:noFill/>
              <a:ln>
                <a:solidFill>
                  <a:srgbClr val="FF00FF"/>
                </a:solidFill>
                <a:prstDash val="solid"/>
              </a:ln>
            </c:spPr>
          </c:marker>
          <c:cat>
            <c:numRef>
              <c:f>망상동10!$L$181:$AO$181</c:f>
              <c:numCache>
                <c:formatCode>General</c:formatCode>
                <c:ptCount val="30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  <c:pt idx="22">
                  <c:v>2019</c:v>
                </c:pt>
                <c:pt idx="23">
                  <c:v>2020</c:v>
                </c:pt>
                <c:pt idx="24">
                  <c:v>2021</c:v>
                </c:pt>
                <c:pt idx="25">
                  <c:v>2022</c:v>
                </c:pt>
                <c:pt idx="26">
                  <c:v>2023</c:v>
                </c:pt>
                <c:pt idx="27">
                  <c:v>2024</c:v>
                </c:pt>
                <c:pt idx="28">
                  <c:v>2025</c:v>
                </c:pt>
              </c:numCache>
            </c:numRef>
          </c:cat>
          <c:val>
            <c:numRef>
              <c:f>망상동10!$L$183:$AN$183</c:f>
              <c:numCache>
                <c:formatCode>General</c:formatCode>
                <c:ptCount val="29"/>
                <c:pt idx="10" formatCode="_-* #,##0_-;\-* #,##0_-;_-* &quot;-&quot;_-;_-@_-">
                  <c:v>4374</c:v>
                </c:pt>
                <c:pt idx="11" formatCode="_-* #,##0_-;\-* #,##0_-;_-* &quot;-&quot;_-;_-@_-">
                  <c:v>4122</c:v>
                </c:pt>
                <c:pt idx="12" formatCode="_-* #,##0_-;\-* #,##0_-;_-* &quot;-&quot;_-;_-@_-">
                  <c:v>3956</c:v>
                </c:pt>
                <c:pt idx="13" formatCode="_-* #,##0_-;\-* #,##0_-;_-* &quot;-&quot;_-;_-@_-">
                  <c:v>3789</c:v>
                </c:pt>
                <c:pt idx="14" formatCode="_-* #,##0_-;\-* #,##0_-;_-* &quot;-&quot;_-;_-@_-">
                  <c:v>3622</c:v>
                </c:pt>
                <c:pt idx="15" formatCode="_-* #,##0_-;\-* #,##0_-;_-* &quot;-&quot;_-;_-@_-">
                  <c:v>3456</c:v>
                </c:pt>
                <c:pt idx="16" formatCode="_-* #,##0_-;\-* #,##0_-;_-* &quot;-&quot;_-;_-@_-">
                  <c:v>3289</c:v>
                </c:pt>
                <c:pt idx="17" formatCode="_-* #,##0_-;\-* #,##0_-;_-* &quot;-&quot;_-;_-@_-">
                  <c:v>3122</c:v>
                </c:pt>
                <c:pt idx="18" formatCode="_-* #,##0_-;\-* #,##0_-;_-* &quot;-&quot;_-;_-@_-">
                  <c:v>2955</c:v>
                </c:pt>
                <c:pt idx="19" formatCode="_-* #,##0_-;\-* #,##0_-;_-* &quot;-&quot;_-;_-@_-">
                  <c:v>2789</c:v>
                </c:pt>
                <c:pt idx="20" formatCode="_-* #,##0_-;\-* #,##0_-;_-* &quot;-&quot;_-;_-@_-">
                  <c:v>2622</c:v>
                </c:pt>
                <c:pt idx="21" formatCode="_-* #,##0_-;\-* #,##0_-;_-* &quot;-&quot;_-;_-@_-">
                  <c:v>2455</c:v>
                </c:pt>
                <c:pt idx="22" formatCode="_-* #,##0_-;\-* #,##0_-;_-* &quot;-&quot;_-;_-@_-">
                  <c:v>2289</c:v>
                </c:pt>
                <c:pt idx="23" formatCode="_-* #,##0_-;\-* #,##0_-;_-* &quot;-&quot;_-;_-@_-">
                  <c:v>2122</c:v>
                </c:pt>
                <c:pt idx="24" formatCode="_-* #,##0_-;\-* #,##0_-;_-* &quot;-&quot;_-;_-@_-">
                  <c:v>1955</c:v>
                </c:pt>
                <c:pt idx="25" formatCode="_-* #,##0_-;\-* #,##0_-;_-* &quot;-&quot;_-;_-@_-">
                  <c:v>1788</c:v>
                </c:pt>
                <c:pt idx="26" formatCode="_-* #,##0_-;\-* #,##0_-;_-* &quot;-&quot;_-;_-@_-">
                  <c:v>1622</c:v>
                </c:pt>
                <c:pt idx="27" formatCode="_-* #,##0_-;\-* #,##0_-;_-* &quot;-&quot;_-;_-@_-">
                  <c:v>1455</c:v>
                </c:pt>
                <c:pt idx="28" formatCode="_-* #,##0_-;\-* #,##0_-;_-* &quot;-&quot;_-;_-@_-">
                  <c:v>1288</c:v>
                </c:pt>
              </c:numCache>
            </c:numRef>
          </c:val>
        </c:ser>
        <c:ser>
          <c:idx val="4"/>
          <c:order val="2"/>
          <c:tx>
            <c:v>로지스틱</c:v>
          </c:tx>
          <c:spPr>
            <a:ln w="3175">
              <a:solidFill>
                <a:srgbClr val="800080"/>
              </a:solidFill>
              <a:prstDash val="solid"/>
            </a:ln>
          </c:spPr>
          <c:marker>
            <c:symbol val="circle"/>
            <c:size val="3"/>
            <c:spPr>
              <a:noFill/>
              <a:ln>
                <a:solidFill>
                  <a:srgbClr val="800080"/>
                </a:solidFill>
                <a:prstDash val="solid"/>
              </a:ln>
            </c:spPr>
          </c:marker>
          <c:cat>
            <c:numRef>
              <c:f>망상동10!$L$181:$AO$181</c:f>
              <c:numCache>
                <c:formatCode>General</c:formatCode>
                <c:ptCount val="30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  <c:pt idx="22">
                  <c:v>2019</c:v>
                </c:pt>
                <c:pt idx="23">
                  <c:v>2020</c:v>
                </c:pt>
                <c:pt idx="24">
                  <c:v>2021</c:v>
                </c:pt>
                <c:pt idx="25">
                  <c:v>2022</c:v>
                </c:pt>
                <c:pt idx="26">
                  <c:v>2023</c:v>
                </c:pt>
                <c:pt idx="27">
                  <c:v>2024</c:v>
                </c:pt>
                <c:pt idx="28">
                  <c:v>2025</c:v>
                </c:pt>
              </c:numCache>
            </c:numRef>
          </c:cat>
          <c:val>
            <c:numRef>
              <c:f>망상동10!$L$186:$AN$186</c:f>
              <c:numCache>
                <c:formatCode>General</c:formatCode>
                <c:ptCount val="29"/>
                <c:pt idx="10" formatCode="_-* #,##0_-;\-* #,##0_-;_-* &quot;-&quot;_-;_-@_-">
                  <c:v>4374</c:v>
                </c:pt>
                <c:pt idx="11" formatCode="_-* #,##0_-;\-* #,##0_-;_-* &quot;-&quot;_-;_-@_-">
                  <c:v>4144</c:v>
                </c:pt>
                <c:pt idx="12" formatCode="_-* #,##0_-;\-* #,##0_-;_-* &quot;-&quot;_-;_-@_-">
                  <c:v>3990</c:v>
                </c:pt>
                <c:pt idx="13" formatCode="_-* #,##0_-;\-* #,##0_-;_-* &quot;-&quot;_-;_-@_-">
                  <c:v>3839</c:v>
                </c:pt>
                <c:pt idx="14" formatCode="_-* #,##0_-;\-* #,##0_-;_-* &quot;-&quot;_-;_-@_-">
                  <c:v>3691</c:v>
                </c:pt>
                <c:pt idx="15" formatCode="_-* #,##0_-;\-* #,##0_-;_-* &quot;-&quot;_-;_-@_-">
                  <c:v>3546</c:v>
                </c:pt>
                <c:pt idx="16" formatCode="_-* #,##0_-;\-* #,##0_-;_-* &quot;-&quot;_-;_-@_-">
                  <c:v>3404</c:v>
                </c:pt>
                <c:pt idx="17" formatCode="_-* #,##0_-;\-* #,##0_-;_-* &quot;-&quot;_-;_-@_-">
                  <c:v>3266</c:v>
                </c:pt>
                <c:pt idx="18" formatCode="_-* #,##0_-;\-* #,##0_-;_-* &quot;-&quot;_-;_-@_-">
                  <c:v>3131</c:v>
                </c:pt>
                <c:pt idx="19" formatCode="_-* #,##0_-;\-* #,##0_-;_-* &quot;-&quot;_-;_-@_-">
                  <c:v>3000</c:v>
                </c:pt>
                <c:pt idx="20" formatCode="_-* #,##0_-;\-* #,##0_-;_-* &quot;-&quot;_-;_-@_-">
                  <c:v>2872</c:v>
                </c:pt>
                <c:pt idx="21" formatCode="_-* #,##0_-;\-* #,##0_-;_-* &quot;-&quot;_-;_-@_-">
                  <c:v>2748</c:v>
                </c:pt>
                <c:pt idx="22" formatCode="_-* #,##0_-;\-* #,##0_-;_-* &quot;-&quot;_-;_-@_-">
                  <c:v>2628</c:v>
                </c:pt>
                <c:pt idx="23" formatCode="_-* #,##0_-;\-* #,##0_-;_-* &quot;-&quot;_-;_-@_-">
                  <c:v>2512</c:v>
                </c:pt>
                <c:pt idx="24" formatCode="_-* #,##0_-;\-* #,##0_-;_-* &quot;-&quot;_-;_-@_-">
                  <c:v>2399</c:v>
                </c:pt>
                <c:pt idx="25" formatCode="_-* #,##0_-;\-* #,##0_-;_-* &quot;-&quot;_-;_-@_-">
                  <c:v>2291</c:v>
                </c:pt>
                <c:pt idx="26" formatCode="_-* #,##0_-;\-* #,##0_-;_-* &quot;-&quot;_-;_-@_-">
                  <c:v>2186</c:v>
                </c:pt>
                <c:pt idx="27" formatCode="_-* #,##0_-;\-* #,##0_-;_-* &quot;-&quot;_-;_-@_-">
                  <c:v>2084</c:v>
                </c:pt>
                <c:pt idx="28" formatCode="_-* #,##0_-;\-* #,##0_-;_-* &quot;-&quot;_-;_-@_-">
                  <c:v>1987</c:v>
                </c:pt>
              </c:numCache>
            </c:numRef>
          </c:val>
        </c:ser>
        <c:ser>
          <c:idx val="5"/>
          <c:order val="3"/>
          <c:tx>
            <c:v>평균(최대최소제외)</c:v>
          </c:tx>
          <c:spPr>
            <a:ln w="3175">
              <a:solidFill>
                <a:srgbClr val="800000"/>
              </a:solidFill>
              <a:prstDash val="sysDash"/>
            </a:ln>
          </c:spPr>
          <c:marker>
            <c:symbol val="circle"/>
            <c:size val="3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망상동10!$L$181:$AO$181</c:f>
              <c:numCache>
                <c:formatCode>General</c:formatCode>
                <c:ptCount val="30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  <c:pt idx="22">
                  <c:v>2019</c:v>
                </c:pt>
                <c:pt idx="23">
                  <c:v>2020</c:v>
                </c:pt>
                <c:pt idx="24">
                  <c:v>2021</c:v>
                </c:pt>
                <c:pt idx="25">
                  <c:v>2022</c:v>
                </c:pt>
                <c:pt idx="26">
                  <c:v>2023</c:v>
                </c:pt>
                <c:pt idx="27">
                  <c:v>2024</c:v>
                </c:pt>
                <c:pt idx="28">
                  <c:v>2025</c:v>
                </c:pt>
              </c:numCache>
            </c:numRef>
          </c:cat>
          <c:val>
            <c:numRef>
              <c:f>망상동10!$L$187:$AN$187</c:f>
              <c:numCache>
                <c:formatCode>General</c:formatCode>
                <c:ptCount val="29"/>
                <c:pt idx="10" formatCode="_-* #,##0_-;\-* #,##0_-;_-* &quot;-&quot;_-;_-@_-">
                  <c:v>4374</c:v>
                </c:pt>
                <c:pt idx="11" formatCode="_-* #,##0_-;\-* #,##0_-;_-* &quot;-&quot;_-;_-@_-">
                  <c:v>4184.3</c:v>
                </c:pt>
                <c:pt idx="12" formatCode="#,##0_ ">
                  <c:v>4036</c:v>
                </c:pt>
                <c:pt idx="13" formatCode="#,##0_ ">
                  <c:v>3889.3</c:v>
                </c:pt>
                <c:pt idx="14" formatCode="#,##0_ ">
                  <c:v>3691</c:v>
                </c:pt>
                <c:pt idx="15" formatCode="#,##0_ ">
                  <c:v>3546</c:v>
                </c:pt>
                <c:pt idx="16" formatCode="#,##0_ ">
                  <c:v>3404</c:v>
                </c:pt>
                <c:pt idx="17" formatCode="#,##0_ ">
                  <c:v>3266</c:v>
                </c:pt>
                <c:pt idx="18" formatCode="#,##0_ ">
                  <c:v>3131</c:v>
                </c:pt>
                <c:pt idx="19" formatCode="#,##0_ ">
                  <c:v>3000</c:v>
                </c:pt>
                <c:pt idx="20" formatCode="#,##0_ ">
                  <c:v>2872</c:v>
                </c:pt>
                <c:pt idx="21" formatCode="#,##0_ ">
                  <c:v>2748</c:v>
                </c:pt>
                <c:pt idx="22" formatCode="#,##0_ ">
                  <c:v>2628</c:v>
                </c:pt>
                <c:pt idx="23" formatCode="#,##0_ ">
                  <c:v>2512</c:v>
                </c:pt>
                <c:pt idx="24" formatCode="#,##0_ ">
                  <c:v>2399</c:v>
                </c:pt>
                <c:pt idx="25" formatCode="#,##0_ ">
                  <c:v>2291</c:v>
                </c:pt>
                <c:pt idx="26" formatCode="#,##0_ ">
                  <c:v>2186</c:v>
                </c:pt>
                <c:pt idx="27" formatCode="#,##0_ ">
                  <c:v>2084</c:v>
                </c:pt>
                <c:pt idx="28" formatCode="#,##0_ ">
                  <c:v>1987</c:v>
                </c:pt>
              </c:numCache>
            </c:numRef>
          </c:val>
        </c:ser>
        <c:ser>
          <c:idx val="6"/>
          <c:order val="4"/>
          <c:tx>
            <c:v>과거</c:v>
          </c:tx>
          <c:spPr>
            <a:ln w="12700">
              <a:solidFill>
                <a:srgbClr val="008080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008080"/>
                </a:solidFill>
                <a:prstDash val="solid"/>
              </a:ln>
            </c:spPr>
          </c:marker>
          <c:cat>
            <c:numRef>
              <c:f>망상동10!$L$181:$AO$181</c:f>
              <c:numCache>
                <c:formatCode>General</c:formatCode>
                <c:ptCount val="30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  <c:pt idx="22">
                  <c:v>2019</c:v>
                </c:pt>
                <c:pt idx="23">
                  <c:v>2020</c:v>
                </c:pt>
                <c:pt idx="24">
                  <c:v>2021</c:v>
                </c:pt>
                <c:pt idx="25">
                  <c:v>2022</c:v>
                </c:pt>
                <c:pt idx="26">
                  <c:v>2023</c:v>
                </c:pt>
                <c:pt idx="27">
                  <c:v>2024</c:v>
                </c:pt>
                <c:pt idx="28">
                  <c:v>2025</c:v>
                </c:pt>
              </c:numCache>
            </c:numRef>
          </c:cat>
          <c:val>
            <c:numRef>
              <c:f>망상동10!$L$179:$X$179</c:f>
              <c:numCache>
                <c:formatCode>_-* #,##0_-;\-* #,##0_-;_-* "-"_-;_-@_-</c:formatCode>
                <c:ptCount val="13"/>
                <c:pt idx="0">
                  <c:v>5872</c:v>
                </c:pt>
                <c:pt idx="1">
                  <c:v>5835</c:v>
                </c:pt>
                <c:pt idx="2">
                  <c:v>5719</c:v>
                </c:pt>
                <c:pt idx="3" formatCode="General">
                  <c:v>5594</c:v>
                </c:pt>
                <c:pt idx="4">
                  <c:v>5248</c:v>
                </c:pt>
                <c:pt idx="5" formatCode="General">
                  <c:v>5034</c:v>
                </c:pt>
                <c:pt idx="6">
                  <c:v>4835</c:v>
                </c:pt>
                <c:pt idx="7">
                  <c:v>4742</c:v>
                </c:pt>
                <c:pt idx="8">
                  <c:v>4623</c:v>
                </c:pt>
                <c:pt idx="9">
                  <c:v>4474</c:v>
                </c:pt>
                <c:pt idx="10">
                  <c:v>4374</c:v>
                </c:pt>
                <c:pt idx="11">
                  <c:v>4224</c:v>
                </c:pt>
              </c:numCache>
            </c:numRef>
          </c:val>
        </c:ser>
        <c:ser>
          <c:idx val="2"/>
          <c:order val="5"/>
          <c:tx>
            <c:v>등비</c:v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FF0000"/>
                </a:solidFill>
                <a:prstDash val="solid"/>
              </a:ln>
            </c:spPr>
          </c:marker>
          <c:val>
            <c:numRef>
              <c:f>망상동10!$L$184:$AN$184</c:f>
              <c:numCache>
                <c:formatCode>General</c:formatCode>
                <c:ptCount val="29"/>
                <c:pt idx="10" formatCode="_-* #,##0_-;\-* #,##0_-;_-* &quot;-&quot;_-;_-@_-">
                  <c:v>4374</c:v>
                </c:pt>
                <c:pt idx="11" formatCode="_-* #,##0_-;\-* #,##0_-;_-* &quot;-&quot;_-;_-@_-">
                  <c:v>4247</c:v>
                </c:pt>
                <c:pt idx="12" formatCode="_-* #,##0_-;\-* #,##0_-;_-* &quot;-&quot;_-;_-@_-">
                  <c:v>4124</c:v>
                </c:pt>
                <c:pt idx="13" formatCode="_-* #,##0_-;\-* #,##0_-;_-* &quot;-&quot;_-;_-@_-">
                  <c:v>4004</c:v>
                </c:pt>
                <c:pt idx="14" formatCode="_-* #,##0_-;\-* #,##0_-;_-* &quot;-&quot;_-;_-@_-">
                  <c:v>3888</c:v>
                </c:pt>
                <c:pt idx="15" formatCode="_-* #,##0_-;\-* #,##0_-;_-* &quot;-&quot;_-;_-@_-">
                  <c:v>3775</c:v>
                </c:pt>
                <c:pt idx="16" formatCode="_-* #,##0_-;\-* #,##0_-;_-* &quot;-&quot;_-;_-@_-">
                  <c:v>3666</c:v>
                </c:pt>
                <c:pt idx="17" formatCode="_-* #,##0_-;\-* #,##0_-;_-* &quot;-&quot;_-;_-@_-">
                  <c:v>3559</c:v>
                </c:pt>
                <c:pt idx="18" formatCode="_-* #,##0_-;\-* #,##0_-;_-* &quot;-&quot;_-;_-@_-">
                  <c:v>3456</c:v>
                </c:pt>
                <c:pt idx="19" formatCode="_-* #,##0_-;\-* #,##0_-;_-* &quot;-&quot;_-;_-@_-">
                  <c:v>3356</c:v>
                </c:pt>
                <c:pt idx="20" formatCode="_-* #,##0_-;\-* #,##0_-;_-* &quot;-&quot;_-;_-@_-">
                  <c:v>3258</c:v>
                </c:pt>
                <c:pt idx="21" formatCode="_-* #,##0_-;\-* #,##0_-;_-* &quot;-&quot;_-;_-@_-">
                  <c:v>3164</c:v>
                </c:pt>
                <c:pt idx="22" formatCode="_-* #,##0_-;\-* #,##0_-;_-* &quot;-&quot;_-;_-@_-">
                  <c:v>3072</c:v>
                </c:pt>
                <c:pt idx="23" formatCode="_-* #,##0_-;\-* #,##0_-;_-* &quot;-&quot;_-;_-@_-">
                  <c:v>2983</c:v>
                </c:pt>
                <c:pt idx="24" formatCode="_-* #,##0_-;\-* #,##0_-;_-* &quot;-&quot;_-;_-@_-">
                  <c:v>2896</c:v>
                </c:pt>
                <c:pt idx="25" formatCode="_-* #,##0_-;\-* #,##0_-;_-* &quot;-&quot;_-;_-@_-">
                  <c:v>2812</c:v>
                </c:pt>
                <c:pt idx="26" formatCode="_-* #,##0_-;\-* #,##0_-;_-* &quot;-&quot;_-;_-@_-">
                  <c:v>2731</c:v>
                </c:pt>
                <c:pt idx="27" formatCode="_-* #,##0_-;\-* #,##0_-;_-* &quot;-&quot;_-;_-@_-">
                  <c:v>2651</c:v>
                </c:pt>
                <c:pt idx="28" formatCode="_-* #,##0_-;\-* #,##0_-;_-* &quot;-&quot;_-;_-@_-">
                  <c:v>2574</c:v>
                </c:pt>
              </c:numCache>
            </c:numRef>
          </c:val>
        </c:ser>
        <c:marker val="1"/>
        <c:axId val="130332544"/>
        <c:axId val="131492096"/>
      </c:lineChart>
      <c:catAx>
        <c:axId val="130332544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875" b="0" i="0" u="none" strike="noStrike" baseline="0">
                    <a:solidFill>
                      <a:srgbClr val="000000"/>
                    </a:solidFill>
                    <a:latin typeface="돋움"/>
                    <a:ea typeface="돋움"/>
                    <a:cs typeface="돋움"/>
                  </a:defRPr>
                </a:pPr>
                <a:r>
                  <a:rPr altLang="en-US"/>
                  <a:t>연도</a:t>
                </a:r>
              </a:p>
            </c:rich>
          </c:tx>
          <c:layout>
            <c:manualLayout>
              <c:xMode val="edge"/>
              <c:yMode val="edge"/>
              <c:x val="0.50000023539658589"/>
              <c:y val="0.82129357404468961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maj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돋움"/>
                <a:ea typeface="돋움"/>
                <a:cs typeface="돋움"/>
              </a:defRPr>
            </a:pPr>
            <a:endParaRPr lang="ko-KR"/>
          </a:p>
        </c:txPr>
        <c:crossAx val="131492096"/>
        <c:crosses val="autoZero"/>
        <c:auto val="1"/>
        <c:lblAlgn val="ctr"/>
        <c:lblOffset val="100"/>
        <c:tickLblSkip val="2"/>
        <c:tickMarkSkip val="1"/>
      </c:catAx>
      <c:valAx>
        <c:axId val="131492096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맑은 고딕"/>
                    <a:ea typeface="맑은 고딕"/>
                    <a:cs typeface="맑은 고딕"/>
                  </a:defRPr>
                </a:pPr>
                <a:r>
                  <a:rPr lang="ko-KR" altLang="en-US" sz="875" b="0" i="0" strike="noStrike">
                    <a:solidFill>
                      <a:srgbClr val="000000"/>
                    </a:solidFill>
                    <a:latin typeface="돋움"/>
                    <a:ea typeface="돋움"/>
                  </a:rPr>
                  <a:t>인구</a:t>
                </a:r>
                <a:r>
                  <a:rPr lang="en-US" altLang="ko-KR" sz="875" b="0" i="0" strike="noStrike">
                    <a:solidFill>
                      <a:srgbClr val="000000"/>
                    </a:solidFill>
                    <a:latin typeface="돋움"/>
                    <a:ea typeface="돋움"/>
                  </a:rPr>
                  <a:t>(</a:t>
                </a:r>
                <a:r>
                  <a:rPr lang="ko-KR" altLang="en-US" sz="875" b="0" i="0" strike="noStrike">
                    <a:solidFill>
                      <a:srgbClr val="000000"/>
                    </a:solidFill>
                    <a:latin typeface="돋움"/>
                    <a:ea typeface="돋움"/>
                  </a:rPr>
                  <a:t>명</a:t>
                </a:r>
                <a:r>
                  <a:rPr lang="en-US" altLang="ko-KR" sz="875" b="0" i="0" strike="noStrike">
                    <a:solidFill>
                      <a:srgbClr val="000000"/>
                    </a:solidFill>
                    <a:latin typeface="돋움"/>
                    <a:ea typeface="돋움"/>
                  </a:rPr>
                  <a:t>)</a:t>
                </a:r>
              </a:p>
            </c:rich>
          </c:tx>
          <c:layout>
            <c:manualLayout>
              <c:xMode val="edge"/>
              <c:yMode val="edge"/>
              <c:x val="2.6905829596412592E-2"/>
              <c:y val="0.38403081744059558"/>
            </c:manualLayout>
          </c:layout>
          <c:spPr>
            <a:noFill/>
            <a:ln w="25400">
              <a:noFill/>
            </a:ln>
          </c:spPr>
        </c:title>
        <c:numFmt formatCode="#,##0_ " sourceLinked="0"/>
        <c:maj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돋움"/>
                <a:ea typeface="돋움"/>
                <a:cs typeface="돋움"/>
              </a:defRPr>
            </a:pPr>
            <a:endParaRPr lang="ko-KR"/>
          </a:p>
        </c:txPr>
        <c:crossAx val="130332544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wMode val="edge"/>
          <c:hMode val="edge"/>
          <c:x val="0.13228711321398717"/>
          <c:y val="0.90114148278993644"/>
          <c:w val="0.92040417593540658"/>
          <c:h val="0.96197798469107765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돋움"/>
              <a:ea typeface="돋움"/>
              <a:cs typeface="돋움"/>
            </a:defRPr>
          </a:pPr>
          <a:endParaRPr lang="ko-KR"/>
        </a:p>
      </c:txPr>
    </c:legend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75" b="0" i="0" u="none" strike="noStrike" baseline="0">
          <a:solidFill>
            <a:srgbClr val="000000"/>
          </a:solidFill>
          <a:latin typeface="돋움"/>
          <a:ea typeface="돋움"/>
          <a:cs typeface="돋움"/>
        </a:defRPr>
      </a:pPr>
      <a:endParaRPr lang="ko-KR"/>
    </a:p>
  </c:txPr>
  <c:printSettings>
    <c:headerFooter alignWithMargins="0"/>
    <c:pageMargins b="1" l="0.75000000000000144" r="0.75000000000000144" t="1" header="0.5" footer="0.5"/>
    <c:pageSetup paperSize="9" orientation="landscape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ko-KR"/>
  <c:chart>
    <c:title>
      <c:tx>
        <c:rich>
          <a:bodyPr/>
          <a:lstStyle/>
          <a:p>
            <a:pPr>
              <a:defRPr sz="1175" b="1" i="0" u="none" strike="noStrike" baseline="0">
                <a:solidFill>
                  <a:srgbClr val="000000"/>
                </a:solidFill>
                <a:latin typeface="돋움"/>
                <a:ea typeface="돋움"/>
                <a:cs typeface="돋움"/>
              </a:defRPr>
            </a:pPr>
            <a:r>
              <a:rPr altLang="en-US"/>
              <a:t>망상동</a:t>
            </a:r>
          </a:p>
        </c:rich>
      </c:tx>
      <c:layout>
        <c:manualLayout>
          <c:xMode val="edge"/>
          <c:yMode val="edge"/>
          <c:x val="0.46861010086743682"/>
          <c:y val="2.8517110266159756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9.7533685676984214E-2"/>
          <c:y val="9.1254837562787627E-2"/>
          <c:w val="0.83744440460583214"/>
          <c:h val="0.67680671192400665"/>
        </c:manualLayout>
      </c:layout>
      <c:lineChart>
        <c:grouping val="standard"/>
        <c:ser>
          <c:idx val="0"/>
          <c:order val="0"/>
          <c:tx>
            <c:v>등차</c:v>
          </c:tx>
          <c:spPr>
            <a:ln w="3175">
              <a:solidFill>
                <a:srgbClr val="000080"/>
              </a:solidFill>
              <a:prstDash val="solid"/>
            </a:ln>
          </c:spPr>
          <c:marker>
            <c:symbol val="diamond"/>
            <c:size val="3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망상동5!$L$156:$AI$156</c:f>
              <c:numCache>
                <c:formatCode>General</c:formatCode>
                <c:ptCount val="24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  <c:pt idx="14">
                  <c:v>2016</c:v>
                </c:pt>
                <c:pt idx="15">
                  <c:v>2017</c:v>
                </c:pt>
                <c:pt idx="16">
                  <c:v>2018</c:v>
                </c:pt>
                <c:pt idx="17">
                  <c:v>2019</c:v>
                </c:pt>
                <c:pt idx="18">
                  <c:v>2020</c:v>
                </c:pt>
                <c:pt idx="19">
                  <c:v>2021</c:v>
                </c:pt>
                <c:pt idx="20">
                  <c:v>2022</c:v>
                </c:pt>
                <c:pt idx="21">
                  <c:v>2023</c:v>
                </c:pt>
                <c:pt idx="22">
                  <c:v>2024</c:v>
                </c:pt>
                <c:pt idx="23">
                  <c:v>2025</c:v>
                </c:pt>
              </c:numCache>
            </c:numRef>
          </c:cat>
          <c:val>
            <c:numRef>
              <c:f>망상동5!$L$157:$AN$157</c:f>
              <c:numCache>
                <c:formatCode>General</c:formatCode>
                <c:ptCount val="29"/>
                <c:pt idx="5">
                  <c:v>4374</c:v>
                </c:pt>
                <c:pt idx="6" formatCode="_-* #,##0_-;\-* #,##0_-;_-* &quot;-&quot;_-;_-@_-">
                  <c:v>4242</c:v>
                </c:pt>
                <c:pt idx="7" formatCode="_-* #,##0_-;\-* #,##0_-;_-* &quot;-&quot;_-;_-@_-">
                  <c:v>4110</c:v>
                </c:pt>
                <c:pt idx="8" formatCode="_-* #,##0_-;\-* #,##0_-;_-* &quot;-&quot;_-;_-@_-">
                  <c:v>3978</c:v>
                </c:pt>
                <c:pt idx="9" formatCode="_-* #,##0_-;\-* #,##0_-;_-* &quot;-&quot;_-;_-@_-">
                  <c:v>3846</c:v>
                </c:pt>
                <c:pt idx="10" formatCode="_-* #,##0_-;\-* #,##0_-;_-* &quot;-&quot;_-;_-@_-">
                  <c:v>3714</c:v>
                </c:pt>
                <c:pt idx="11" formatCode="_-* #,##0_-;\-* #,##0_-;_-* &quot;-&quot;_-;_-@_-">
                  <c:v>3582</c:v>
                </c:pt>
                <c:pt idx="12" formatCode="_-* #,##0_-;\-* #,##0_-;_-* &quot;-&quot;_-;_-@_-">
                  <c:v>3450</c:v>
                </c:pt>
                <c:pt idx="13" formatCode="_-* #,##0_-;\-* #,##0_-;_-* &quot;-&quot;_-;_-@_-">
                  <c:v>3318</c:v>
                </c:pt>
                <c:pt idx="14" formatCode="_-* #,##0_-;\-* #,##0_-;_-* &quot;-&quot;_-;_-@_-">
                  <c:v>3186</c:v>
                </c:pt>
                <c:pt idx="15" formatCode="_-* #,##0_-;\-* #,##0_-;_-* &quot;-&quot;_-;_-@_-">
                  <c:v>3054</c:v>
                </c:pt>
                <c:pt idx="16" formatCode="_-* #,##0_-;\-* #,##0_-;_-* &quot;-&quot;_-;_-@_-">
                  <c:v>2922</c:v>
                </c:pt>
                <c:pt idx="17" formatCode="_-* #,##0_-;\-* #,##0_-;_-* &quot;-&quot;_-;_-@_-">
                  <c:v>2790</c:v>
                </c:pt>
                <c:pt idx="18" formatCode="_-* #,##0_-;\-* #,##0_-;_-* &quot;-&quot;_-;_-@_-">
                  <c:v>2658</c:v>
                </c:pt>
                <c:pt idx="19" formatCode="_-* #,##0_-;\-* #,##0_-;_-* &quot;-&quot;_-;_-@_-">
                  <c:v>2526</c:v>
                </c:pt>
                <c:pt idx="20" formatCode="_-* #,##0_-;\-* #,##0_-;_-* &quot;-&quot;_-;_-@_-">
                  <c:v>2394</c:v>
                </c:pt>
                <c:pt idx="21" formatCode="_-* #,##0_-;\-* #,##0_-;_-* &quot;-&quot;_-;_-@_-">
                  <c:v>2262</c:v>
                </c:pt>
                <c:pt idx="22" formatCode="_-* #,##0_-;\-* #,##0_-;_-* &quot;-&quot;_-;_-@_-">
                  <c:v>2130</c:v>
                </c:pt>
                <c:pt idx="23" formatCode="_-* #,##0_-;\-* #,##0_-;_-* &quot;-&quot;_-;_-@_-">
                  <c:v>1998</c:v>
                </c:pt>
              </c:numCache>
            </c:numRef>
          </c:val>
        </c:ser>
        <c:ser>
          <c:idx val="1"/>
          <c:order val="1"/>
          <c:tx>
            <c:v>최소</c:v>
          </c:tx>
          <c:spPr>
            <a:ln w="3175">
              <a:solidFill>
                <a:srgbClr val="FF00FF"/>
              </a:solidFill>
              <a:prstDash val="solid"/>
            </a:ln>
          </c:spPr>
          <c:marker>
            <c:symbol val="square"/>
            <c:size val="3"/>
            <c:spPr>
              <a:noFill/>
              <a:ln>
                <a:solidFill>
                  <a:srgbClr val="FF00FF"/>
                </a:solidFill>
                <a:prstDash val="solid"/>
              </a:ln>
            </c:spPr>
          </c:marker>
          <c:cat>
            <c:numRef>
              <c:f>망상동5!$L$156:$AI$156</c:f>
              <c:numCache>
                <c:formatCode>General</c:formatCode>
                <c:ptCount val="24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  <c:pt idx="14">
                  <c:v>2016</c:v>
                </c:pt>
                <c:pt idx="15">
                  <c:v>2017</c:v>
                </c:pt>
                <c:pt idx="16">
                  <c:v>2018</c:v>
                </c:pt>
                <c:pt idx="17">
                  <c:v>2019</c:v>
                </c:pt>
                <c:pt idx="18">
                  <c:v>2020</c:v>
                </c:pt>
                <c:pt idx="19">
                  <c:v>2021</c:v>
                </c:pt>
                <c:pt idx="20">
                  <c:v>2022</c:v>
                </c:pt>
                <c:pt idx="21">
                  <c:v>2023</c:v>
                </c:pt>
                <c:pt idx="22">
                  <c:v>2024</c:v>
                </c:pt>
                <c:pt idx="23">
                  <c:v>2025</c:v>
                </c:pt>
              </c:numCache>
            </c:numRef>
          </c:cat>
          <c:val>
            <c:numRef>
              <c:f>망상동5!$L$158:$AN$158</c:f>
              <c:numCache>
                <c:formatCode>General</c:formatCode>
                <c:ptCount val="29"/>
                <c:pt idx="5">
                  <c:v>4374</c:v>
                </c:pt>
                <c:pt idx="6" formatCode="_-* #,##0_-;\-* #,##0_-;_-* &quot;-&quot;_-;_-@_-">
                  <c:v>4230</c:v>
                </c:pt>
                <c:pt idx="7" formatCode="_-* #,##0_-;\-* #,##0_-;_-* &quot;-&quot;_-;_-@_-">
                  <c:v>4102</c:v>
                </c:pt>
                <c:pt idx="8" formatCode="_-* #,##0_-;\-* #,##0_-;_-* &quot;-&quot;_-;_-@_-">
                  <c:v>3973</c:v>
                </c:pt>
                <c:pt idx="9" formatCode="_-* #,##0_-;\-* #,##0_-;_-* &quot;-&quot;_-;_-@_-">
                  <c:v>3844</c:v>
                </c:pt>
                <c:pt idx="10" formatCode="_-* #,##0_-;\-* #,##0_-;_-* &quot;-&quot;_-;_-@_-">
                  <c:v>3716</c:v>
                </c:pt>
                <c:pt idx="11" formatCode="_-* #,##0_-;\-* #,##0_-;_-* &quot;-&quot;_-;_-@_-">
                  <c:v>3587</c:v>
                </c:pt>
                <c:pt idx="12" formatCode="_-* #,##0_-;\-* #,##0_-;_-* &quot;-&quot;_-;_-@_-">
                  <c:v>3458</c:v>
                </c:pt>
                <c:pt idx="13" formatCode="_-* #,##0_-;\-* #,##0_-;_-* &quot;-&quot;_-;_-@_-">
                  <c:v>3330</c:v>
                </c:pt>
                <c:pt idx="14" formatCode="_-* #,##0_-;\-* #,##0_-;_-* &quot;-&quot;_-;_-@_-">
                  <c:v>3201</c:v>
                </c:pt>
                <c:pt idx="15" formatCode="_-* #,##0_-;\-* #,##0_-;_-* &quot;-&quot;_-;_-@_-">
                  <c:v>3072</c:v>
                </c:pt>
                <c:pt idx="16" formatCode="_-* #,##0_-;\-* #,##0_-;_-* &quot;-&quot;_-;_-@_-">
                  <c:v>2944</c:v>
                </c:pt>
                <c:pt idx="17" formatCode="_-* #,##0_-;\-* #,##0_-;_-* &quot;-&quot;_-;_-@_-">
                  <c:v>2815</c:v>
                </c:pt>
                <c:pt idx="18" formatCode="_-* #,##0_-;\-* #,##0_-;_-* &quot;-&quot;_-;_-@_-">
                  <c:v>2687</c:v>
                </c:pt>
                <c:pt idx="19" formatCode="_-* #,##0_-;\-* #,##0_-;_-* &quot;-&quot;_-;_-@_-">
                  <c:v>2558</c:v>
                </c:pt>
                <c:pt idx="20" formatCode="_-* #,##0_-;\-* #,##0_-;_-* &quot;-&quot;_-;_-@_-">
                  <c:v>2429</c:v>
                </c:pt>
                <c:pt idx="21" formatCode="_-* #,##0_-;\-* #,##0_-;_-* &quot;-&quot;_-;_-@_-">
                  <c:v>2301</c:v>
                </c:pt>
                <c:pt idx="22" formatCode="_-* #,##0_-;\-* #,##0_-;_-* &quot;-&quot;_-;_-@_-">
                  <c:v>2172</c:v>
                </c:pt>
                <c:pt idx="23" formatCode="_-* #,##0_-;\-* #,##0_-;_-* &quot;-&quot;_-;_-@_-">
                  <c:v>2043</c:v>
                </c:pt>
              </c:numCache>
            </c:numRef>
          </c:val>
        </c:ser>
        <c:ser>
          <c:idx val="4"/>
          <c:order val="2"/>
          <c:tx>
            <c:v>로지스틱</c:v>
          </c:tx>
          <c:spPr>
            <a:ln w="3175">
              <a:solidFill>
                <a:srgbClr val="800080"/>
              </a:solidFill>
              <a:prstDash val="solid"/>
            </a:ln>
          </c:spPr>
          <c:marker>
            <c:symbol val="circle"/>
            <c:size val="3"/>
            <c:spPr>
              <a:noFill/>
              <a:ln>
                <a:solidFill>
                  <a:srgbClr val="800080"/>
                </a:solidFill>
                <a:prstDash val="solid"/>
              </a:ln>
            </c:spPr>
          </c:marker>
          <c:cat>
            <c:numRef>
              <c:f>망상동5!$L$156:$AI$156</c:f>
              <c:numCache>
                <c:formatCode>General</c:formatCode>
                <c:ptCount val="24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  <c:pt idx="14">
                  <c:v>2016</c:v>
                </c:pt>
                <c:pt idx="15">
                  <c:v>2017</c:v>
                </c:pt>
                <c:pt idx="16">
                  <c:v>2018</c:v>
                </c:pt>
                <c:pt idx="17">
                  <c:v>2019</c:v>
                </c:pt>
                <c:pt idx="18">
                  <c:v>2020</c:v>
                </c:pt>
                <c:pt idx="19">
                  <c:v>2021</c:v>
                </c:pt>
                <c:pt idx="20">
                  <c:v>2022</c:v>
                </c:pt>
                <c:pt idx="21">
                  <c:v>2023</c:v>
                </c:pt>
                <c:pt idx="22">
                  <c:v>2024</c:v>
                </c:pt>
                <c:pt idx="23">
                  <c:v>2025</c:v>
                </c:pt>
              </c:numCache>
            </c:numRef>
          </c:cat>
          <c:val>
            <c:numRef>
              <c:f>망상동5!$L$161:$AN$161</c:f>
              <c:numCache>
                <c:formatCode>General</c:formatCode>
                <c:ptCount val="29"/>
                <c:pt idx="5">
                  <c:v>4374</c:v>
                </c:pt>
                <c:pt idx="6" formatCode="_-* #,##0_-;\-* #,##0_-;_-* &quot;-&quot;_-;_-@_-">
                  <c:v>4233</c:v>
                </c:pt>
                <c:pt idx="7" formatCode="_-* #,##0_-;\-* #,##0_-;_-* &quot;-&quot;_-;_-@_-">
                  <c:v>4108</c:v>
                </c:pt>
                <c:pt idx="8" formatCode="_-* #,##0_-;\-* #,##0_-;_-* &quot;-&quot;_-;_-@_-">
                  <c:v>3983</c:v>
                </c:pt>
                <c:pt idx="9" formatCode="_-* #,##0_-;\-* #,##0_-;_-* &quot;-&quot;_-;_-@_-">
                  <c:v>3860</c:v>
                </c:pt>
                <c:pt idx="10" formatCode="_-* #,##0_-;\-* #,##0_-;_-* &quot;-&quot;_-;_-@_-">
                  <c:v>3739</c:v>
                </c:pt>
                <c:pt idx="11" formatCode="_-* #,##0_-;\-* #,##0_-;_-* &quot;-&quot;_-;_-@_-">
                  <c:v>3619</c:v>
                </c:pt>
                <c:pt idx="12" formatCode="_-* #,##0_-;\-* #,##0_-;_-* &quot;-&quot;_-;_-@_-">
                  <c:v>3500</c:v>
                </c:pt>
                <c:pt idx="13" formatCode="_-* #,##0_-;\-* #,##0_-;_-* &quot;-&quot;_-;_-@_-">
                  <c:v>3384</c:v>
                </c:pt>
                <c:pt idx="14" formatCode="_-* #,##0_-;\-* #,##0_-;_-* &quot;-&quot;_-;_-@_-">
                  <c:v>3269</c:v>
                </c:pt>
                <c:pt idx="15" formatCode="_-* #,##0_-;\-* #,##0_-;_-* &quot;-&quot;_-;_-@_-">
                  <c:v>3157</c:v>
                </c:pt>
                <c:pt idx="16" formatCode="_-* #,##0_-;\-* #,##0_-;_-* &quot;-&quot;_-;_-@_-">
                  <c:v>3047</c:v>
                </c:pt>
                <c:pt idx="17" formatCode="_-* #,##0_-;\-* #,##0_-;_-* &quot;-&quot;_-;_-@_-">
                  <c:v>2938</c:v>
                </c:pt>
                <c:pt idx="18" formatCode="_-* #,##0_-;\-* #,##0_-;_-* &quot;-&quot;_-;_-@_-">
                  <c:v>2833</c:v>
                </c:pt>
                <c:pt idx="19" formatCode="_-* #,##0_-;\-* #,##0_-;_-* &quot;-&quot;_-;_-@_-">
                  <c:v>2729</c:v>
                </c:pt>
                <c:pt idx="20" formatCode="_-* #,##0_-;\-* #,##0_-;_-* &quot;-&quot;_-;_-@_-">
                  <c:v>2628</c:v>
                </c:pt>
                <c:pt idx="21" formatCode="_-* #,##0_-;\-* #,##0_-;_-* &quot;-&quot;_-;_-@_-">
                  <c:v>2530</c:v>
                </c:pt>
                <c:pt idx="22" formatCode="_-* #,##0_-;\-* #,##0_-;_-* &quot;-&quot;_-;_-@_-">
                  <c:v>2433</c:v>
                </c:pt>
                <c:pt idx="23" formatCode="_-* #,##0_-;\-* #,##0_-;_-* &quot;-&quot;_-;_-@_-">
                  <c:v>2340</c:v>
                </c:pt>
              </c:numCache>
            </c:numRef>
          </c:val>
        </c:ser>
        <c:ser>
          <c:idx val="5"/>
          <c:order val="3"/>
          <c:tx>
            <c:v>평균(최대최소제외)</c:v>
          </c:tx>
          <c:spPr>
            <a:ln w="3175">
              <a:solidFill>
                <a:srgbClr val="800000"/>
              </a:solidFill>
              <a:prstDash val="sysDash"/>
            </a:ln>
          </c:spPr>
          <c:marker>
            <c:symbol val="circle"/>
            <c:size val="3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망상동5!$L$156:$AI$156</c:f>
              <c:numCache>
                <c:formatCode>General</c:formatCode>
                <c:ptCount val="24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  <c:pt idx="14">
                  <c:v>2016</c:v>
                </c:pt>
                <c:pt idx="15">
                  <c:v>2017</c:v>
                </c:pt>
                <c:pt idx="16">
                  <c:v>2018</c:v>
                </c:pt>
                <c:pt idx="17">
                  <c:v>2019</c:v>
                </c:pt>
                <c:pt idx="18">
                  <c:v>2020</c:v>
                </c:pt>
                <c:pt idx="19">
                  <c:v>2021</c:v>
                </c:pt>
                <c:pt idx="20">
                  <c:v>2022</c:v>
                </c:pt>
                <c:pt idx="21">
                  <c:v>2023</c:v>
                </c:pt>
                <c:pt idx="22">
                  <c:v>2024</c:v>
                </c:pt>
                <c:pt idx="23">
                  <c:v>2025</c:v>
                </c:pt>
              </c:numCache>
            </c:numRef>
          </c:cat>
          <c:val>
            <c:numRef>
              <c:f>망상동5!$L$162:$AI$162</c:f>
              <c:numCache>
                <c:formatCode>General</c:formatCode>
                <c:ptCount val="24"/>
                <c:pt idx="5">
                  <c:v>4374</c:v>
                </c:pt>
                <c:pt idx="6" formatCode="#,##0_ ">
                  <c:v>4237.5</c:v>
                </c:pt>
                <c:pt idx="7" formatCode="#,##0_ ">
                  <c:v>4109</c:v>
                </c:pt>
                <c:pt idx="8" formatCode="#,##0_ ">
                  <c:v>3980.5</c:v>
                </c:pt>
                <c:pt idx="9" formatCode="#,##0_ ">
                  <c:v>3853</c:v>
                </c:pt>
                <c:pt idx="10" formatCode="#,##0_ ">
                  <c:v>3727.5</c:v>
                </c:pt>
                <c:pt idx="11" formatCode="_-* #,##0_-;\-* #,##0_-;_-* &quot;-&quot;_-;_-@_-">
                  <c:v>3603</c:v>
                </c:pt>
                <c:pt idx="12" formatCode="#,##0_ ">
                  <c:v>3479</c:v>
                </c:pt>
                <c:pt idx="13" formatCode="#,##0_ ">
                  <c:v>3357</c:v>
                </c:pt>
                <c:pt idx="14" formatCode="#,##0_ ">
                  <c:v>3235</c:v>
                </c:pt>
                <c:pt idx="15" formatCode="#,##0_ ">
                  <c:v>3114.5</c:v>
                </c:pt>
                <c:pt idx="16" formatCode="#,##0_ ">
                  <c:v>2995.5</c:v>
                </c:pt>
                <c:pt idx="17" formatCode="#,##0_ ">
                  <c:v>2876.5</c:v>
                </c:pt>
                <c:pt idx="18" formatCode="#,##0_ ">
                  <c:v>2760</c:v>
                </c:pt>
                <c:pt idx="19" formatCode="#,##0_ ">
                  <c:v>2643.5</c:v>
                </c:pt>
                <c:pt idx="20" formatCode="#,##0_ ">
                  <c:v>2528.5</c:v>
                </c:pt>
                <c:pt idx="21" formatCode="#,##0_ ">
                  <c:v>2415.5</c:v>
                </c:pt>
                <c:pt idx="22" formatCode="#,##0_ ">
                  <c:v>2302.5</c:v>
                </c:pt>
                <c:pt idx="23" formatCode="#,##0_ ">
                  <c:v>2191.5</c:v>
                </c:pt>
              </c:numCache>
            </c:numRef>
          </c:val>
        </c:ser>
        <c:ser>
          <c:idx val="6"/>
          <c:order val="4"/>
          <c:tx>
            <c:v>과거</c:v>
          </c:tx>
          <c:spPr>
            <a:ln w="12700">
              <a:solidFill>
                <a:srgbClr val="008080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008080"/>
                </a:solidFill>
                <a:prstDash val="solid"/>
              </a:ln>
            </c:spPr>
          </c:marker>
          <c:cat>
            <c:numRef>
              <c:f>망상동5!$L$156:$AI$156</c:f>
              <c:numCache>
                <c:formatCode>General</c:formatCode>
                <c:ptCount val="24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  <c:pt idx="14">
                  <c:v>2016</c:v>
                </c:pt>
                <c:pt idx="15">
                  <c:v>2017</c:v>
                </c:pt>
                <c:pt idx="16">
                  <c:v>2018</c:v>
                </c:pt>
                <c:pt idx="17">
                  <c:v>2019</c:v>
                </c:pt>
                <c:pt idx="18">
                  <c:v>2020</c:v>
                </c:pt>
                <c:pt idx="19">
                  <c:v>2021</c:v>
                </c:pt>
                <c:pt idx="20">
                  <c:v>2022</c:v>
                </c:pt>
                <c:pt idx="21">
                  <c:v>2023</c:v>
                </c:pt>
                <c:pt idx="22">
                  <c:v>2024</c:v>
                </c:pt>
                <c:pt idx="23">
                  <c:v>2025</c:v>
                </c:pt>
              </c:numCache>
            </c:numRef>
          </c:cat>
          <c:val>
            <c:numRef>
              <c:f>망상동5!$L$154:$X$154</c:f>
              <c:numCache>
                <c:formatCode>_-* #,##0_-;\-* #,##0_-;_-* "-"_-;_-@_-</c:formatCode>
                <c:ptCount val="13"/>
                <c:pt idx="0">
                  <c:v>5034</c:v>
                </c:pt>
                <c:pt idx="1">
                  <c:v>4835</c:v>
                </c:pt>
                <c:pt idx="2">
                  <c:v>4742</c:v>
                </c:pt>
                <c:pt idx="3" formatCode="General">
                  <c:v>4623</c:v>
                </c:pt>
                <c:pt idx="4">
                  <c:v>4474</c:v>
                </c:pt>
                <c:pt idx="5" formatCode="General">
                  <c:v>4374</c:v>
                </c:pt>
                <c:pt idx="6">
                  <c:v>4233</c:v>
                </c:pt>
              </c:numCache>
            </c:numRef>
          </c:val>
        </c:ser>
        <c:ser>
          <c:idx val="2"/>
          <c:order val="5"/>
          <c:tx>
            <c:v>등비</c:v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망상동5!$L$156:$AI$156</c:f>
              <c:numCache>
                <c:formatCode>General</c:formatCode>
                <c:ptCount val="24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  <c:pt idx="14">
                  <c:v>2016</c:v>
                </c:pt>
                <c:pt idx="15">
                  <c:v>2017</c:v>
                </c:pt>
                <c:pt idx="16">
                  <c:v>2018</c:v>
                </c:pt>
                <c:pt idx="17">
                  <c:v>2019</c:v>
                </c:pt>
                <c:pt idx="18">
                  <c:v>2020</c:v>
                </c:pt>
                <c:pt idx="19">
                  <c:v>2021</c:v>
                </c:pt>
                <c:pt idx="20">
                  <c:v>2022</c:v>
                </c:pt>
                <c:pt idx="21">
                  <c:v>2023</c:v>
                </c:pt>
                <c:pt idx="22">
                  <c:v>2024</c:v>
                </c:pt>
                <c:pt idx="23">
                  <c:v>2025</c:v>
                </c:pt>
              </c:numCache>
            </c:numRef>
          </c:cat>
          <c:val>
            <c:numRef>
              <c:f>망상동5!$L$159:$AN$159</c:f>
              <c:numCache>
                <c:formatCode>General</c:formatCode>
                <c:ptCount val="29"/>
                <c:pt idx="5">
                  <c:v>4374</c:v>
                </c:pt>
                <c:pt idx="6" formatCode="_-* #,##0_-;\-* #,##0_-;_-* &quot;-&quot;_-;_-@_-">
                  <c:v>4253</c:v>
                </c:pt>
                <c:pt idx="7" formatCode="_-* #,##0_-;\-* #,##0_-;_-* &quot;-&quot;_-;_-@_-">
                  <c:v>4135</c:v>
                </c:pt>
                <c:pt idx="8" formatCode="_-* #,##0_-;\-* #,##0_-;_-* &quot;-&quot;_-;_-@_-">
                  <c:v>4020</c:v>
                </c:pt>
                <c:pt idx="9" formatCode="_-* #,##0_-;\-* #,##0_-;_-* &quot;-&quot;_-;_-@_-">
                  <c:v>3909</c:v>
                </c:pt>
                <c:pt idx="10" formatCode="_-* #,##0_-;\-* #,##0_-;_-* &quot;-&quot;_-;_-@_-">
                  <c:v>3800</c:v>
                </c:pt>
                <c:pt idx="11" formatCode="_-* #,##0_-;\-* #,##0_-;_-* &quot;-&quot;_-;_-@_-">
                  <c:v>3695</c:v>
                </c:pt>
                <c:pt idx="12" formatCode="_-* #,##0_-;\-* #,##0_-;_-* &quot;-&quot;_-;_-@_-">
                  <c:v>3593</c:v>
                </c:pt>
                <c:pt idx="13" formatCode="_-* #,##0_-;\-* #,##0_-;_-* &quot;-&quot;_-;_-@_-">
                  <c:v>3493</c:v>
                </c:pt>
                <c:pt idx="14" formatCode="_-* #,##0_-;\-* #,##0_-;_-* &quot;-&quot;_-;_-@_-">
                  <c:v>3396</c:v>
                </c:pt>
                <c:pt idx="15" formatCode="_-* #,##0_-;\-* #,##0_-;_-* &quot;-&quot;_-;_-@_-">
                  <c:v>3302</c:v>
                </c:pt>
                <c:pt idx="16" formatCode="_-* #,##0_-;\-* #,##0_-;_-* &quot;-&quot;_-;_-@_-">
                  <c:v>3211</c:v>
                </c:pt>
                <c:pt idx="17" formatCode="_-* #,##0_-;\-* #,##0_-;_-* &quot;-&quot;_-;_-@_-">
                  <c:v>3122</c:v>
                </c:pt>
                <c:pt idx="18" formatCode="_-* #,##0_-;\-* #,##0_-;_-* &quot;-&quot;_-;_-@_-">
                  <c:v>3035</c:v>
                </c:pt>
                <c:pt idx="19" formatCode="_-* #,##0_-;\-* #,##0_-;_-* &quot;-&quot;_-;_-@_-">
                  <c:v>2951</c:v>
                </c:pt>
                <c:pt idx="20" formatCode="_-* #,##0_-;\-* #,##0_-;_-* &quot;-&quot;_-;_-@_-">
                  <c:v>2869</c:v>
                </c:pt>
                <c:pt idx="21" formatCode="_-* #,##0_-;\-* #,##0_-;_-* &quot;-&quot;_-;_-@_-">
                  <c:v>2790</c:v>
                </c:pt>
                <c:pt idx="22" formatCode="_-* #,##0_-;\-* #,##0_-;_-* &quot;-&quot;_-;_-@_-">
                  <c:v>2712</c:v>
                </c:pt>
                <c:pt idx="23" formatCode="_-* #,##0_-;\-* #,##0_-;_-* &quot;-&quot;_-;_-@_-">
                  <c:v>2637</c:v>
                </c:pt>
              </c:numCache>
            </c:numRef>
          </c:val>
        </c:ser>
        <c:marker val="1"/>
        <c:axId val="131379200"/>
        <c:axId val="131381504"/>
      </c:lineChart>
      <c:catAx>
        <c:axId val="131379200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875" b="0" i="0" u="none" strike="noStrike" baseline="0">
                    <a:solidFill>
                      <a:srgbClr val="000000"/>
                    </a:solidFill>
                    <a:latin typeface="돋움"/>
                    <a:ea typeface="돋움"/>
                    <a:cs typeface="돋움"/>
                  </a:defRPr>
                </a:pPr>
                <a:r>
                  <a:rPr altLang="en-US"/>
                  <a:t>연도</a:t>
                </a:r>
              </a:p>
            </c:rich>
          </c:tx>
          <c:layout>
            <c:manualLayout>
              <c:xMode val="edge"/>
              <c:yMode val="edge"/>
              <c:x val="0.50000023539658589"/>
              <c:y val="0.81939243336028011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maj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돋움"/>
                <a:ea typeface="돋움"/>
                <a:cs typeface="돋움"/>
              </a:defRPr>
            </a:pPr>
            <a:endParaRPr lang="ko-KR"/>
          </a:p>
        </c:txPr>
        <c:crossAx val="131381504"/>
        <c:crosses val="autoZero"/>
        <c:auto val="1"/>
        <c:lblAlgn val="ctr"/>
        <c:lblOffset val="100"/>
        <c:tickLblSkip val="2"/>
        <c:tickMarkSkip val="1"/>
      </c:catAx>
      <c:valAx>
        <c:axId val="131381504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맑은 고딕"/>
                    <a:ea typeface="맑은 고딕"/>
                    <a:cs typeface="맑은 고딕"/>
                  </a:defRPr>
                </a:pPr>
                <a:r>
                  <a:rPr lang="ko-KR" altLang="en-US" sz="875" b="0" i="0" strike="noStrike">
                    <a:solidFill>
                      <a:srgbClr val="000000"/>
                    </a:solidFill>
                    <a:latin typeface="돋움"/>
                    <a:ea typeface="돋움"/>
                  </a:rPr>
                  <a:t>인구</a:t>
                </a:r>
                <a:r>
                  <a:rPr lang="en-US" altLang="ko-KR" sz="875" b="0" i="0" strike="noStrike">
                    <a:solidFill>
                      <a:srgbClr val="000000"/>
                    </a:solidFill>
                    <a:latin typeface="돋움"/>
                    <a:ea typeface="돋움"/>
                  </a:rPr>
                  <a:t>(</a:t>
                </a:r>
                <a:r>
                  <a:rPr lang="ko-KR" altLang="en-US" sz="875" b="0" i="0" strike="noStrike">
                    <a:solidFill>
                      <a:srgbClr val="000000"/>
                    </a:solidFill>
                    <a:latin typeface="돋움"/>
                    <a:ea typeface="돋움"/>
                  </a:rPr>
                  <a:t>명</a:t>
                </a:r>
                <a:r>
                  <a:rPr lang="en-US" altLang="ko-KR" sz="875" b="0" i="0" strike="noStrike">
                    <a:solidFill>
                      <a:srgbClr val="000000"/>
                    </a:solidFill>
                    <a:latin typeface="돋움"/>
                    <a:ea typeface="돋움"/>
                  </a:rPr>
                  <a:t>)</a:t>
                </a:r>
              </a:p>
            </c:rich>
          </c:tx>
          <c:layout>
            <c:manualLayout>
              <c:xMode val="edge"/>
              <c:yMode val="edge"/>
              <c:x val="2.6905829596412592E-2"/>
              <c:y val="0.38212967675618492"/>
            </c:manualLayout>
          </c:layout>
          <c:spPr>
            <a:noFill/>
            <a:ln w="25400">
              <a:noFill/>
            </a:ln>
          </c:spPr>
        </c:title>
        <c:numFmt formatCode="#,##0_ " sourceLinked="0"/>
        <c:maj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돋움"/>
                <a:ea typeface="돋움"/>
                <a:cs typeface="돋움"/>
              </a:defRPr>
            </a:pPr>
            <a:endParaRPr lang="ko-KR"/>
          </a:p>
        </c:txPr>
        <c:crossAx val="131379200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wMode val="edge"/>
          <c:hMode val="edge"/>
          <c:x val="0.12780280828125185"/>
          <c:y val="0.90114148278993644"/>
          <c:w val="0.91591987100267169"/>
          <c:h val="0.96197798469107765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돋움"/>
              <a:ea typeface="돋움"/>
              <a:cs typeface="돋움"/>
            </a:defRPr>
          </a:pPr>
          <a:endParaRPr lang="ko-KR"/>
        </a:p>
      </c:txPr>
    </c:legend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75" b="0" i="0" u="none" strike="noStrike" baseline="0">
          <a:solidFill>
            <a:srgbClr val="000000"/>
          </a:solidFill>
          <a:latin typeface="돋움"/>
          <a:ea typeface="돋움"/>
          <a:cs typeface="돋움"/>
        </a:defRPr>
      </a:pPr>
      <a:endParaRPr lang="ko-KR"/>
    </a:p>
  </c:txPr>
  <c:printSettings>
    <c:headerFooter alignWithMargins="0"/>
    <c:pageMargins b="1" l="0.75000000000000144" r="0.75000000000000144" t="1" header="0.5" footer="0.5"/>
    <c:pageSetup paperSize="9" orientation="landscape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ko-KR"/>
  <c:chart>
    <c:title>
      <c:tx>
        <c:rich>
          <a:bodyPr/>
          <a:lstStyle/>
          <a:p>
            <a:pPr>
              <a:defRPr sz="1175" b="1" i="0" u="none" strike="noStrike" baseline="0">
                <a:solidFill>
                  <a:srgbClr val="000000"/>
                </a:solidFill>
                <a:latin typeface="돋움"/>
                <a:ea typeface="돋움"/>
                <a:cs typeface="돋움"/>
              </a:defRPr>
            </a:pPr>
            <a:r>
              <a:rPr altLang="en-US"/>
              <a:t>삼화동</a:t>
            </a:r>
          </a:p>
        </c:rich>
      </c:tx>
      <c:layout>
        <c:manualLayout>
          <c:xMode val="edge"/>
          <c:yMode val="edge"/>
          <c:x val="0.46861010086743682"/>
          <c:y val="2.8517110266159756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0313906991129369"/>
          <c:y val="9.3155980012012529E-2"/>
          <c:w val="0.83183902037152235"/>
          <c:h val="0.70912613356082765"/>
        </c:manualLayout>
      </c:layout>
      <c:lineChart>
        <c:grouping val="standard"/>
        <c:ser>
          <c:idx val="0"/>
          <c:order val="0"/>
          <c:tx>
            <c:v>등차</c:v>
          </c:tx>
          <c:spPr>
            <a:ln w="3175">
              <a:solidFill>
                <a:srgbClr val="000080"/>
              </a:solidFill>
              <a:prstDash val="solid"/>
            </a:ln>
          </c:spPr>
          <c:marker>
            <c:symbol val="diamond"/>
            <c:size val="3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삼화동20년!$L$225:$AX$225</c:f>
              <c:numCache>
                <c:formatCode>General</c:formatCode>
                <c:ptCount val="39"/>
                <c:pt idx="0">
                  <c:v>1988</c:v>
                </c:pt>
                <c:pt idx="1">
                  <c:v>1989</c:v>
                </c:pt>
                <c:pt idx="2">
                  <c:v>1990</c:v>
                </c:pt>
                <c:pt idx="3">
                  <c:v>1991</c:v>
                </c:pt>
                <c:pt idx="4">
                  <c:v>1992</c:v>
                </c:pt>
                <c:pt idx="5">
                  <c:v>1993</c:v>
                </c:pt>
                <c:pt idx="6">
                  <c:v>1994</c:v>
                </c:pt>
                <c:pt idx="7">
                  <c:v>1995</c:v>
                </c:pt>
                <c:pt idx="8">
                  <c:v>1996</c:v>
                </c:pt>
                <c:pt idx="9">
                  <c:v>1997</c:v>
                </c:pt>
                <c:pt idx="10">
                  <c:v>1998</c:v>
                </c:pt>
                <c:pt idx="11">
                  <c:v>1999</c:v>
                </c:pt>
                <c:pt idx="12">
                  <c:v>2000</c:v>
                </c:pt>
                <c:pt idx="13">
                  <c:v>2001</c:v>
                </c:pt>
                <c:pt idx="14">
                  <c:v>2002</c:v>
                </c:pt>
                <c:pt idx="15">
                  <c:v>2003</c:v>
                </c:pt>
                <c:pt idx="16">
                  <c:v>2004</c:v>
                </c:pt>
                <c:pt idx="17">
                  <c:v>2005</c:v>
                </c:pt>
                <c:pt idx="18">
                  <c:v>2006</c:v>
                </c:pt>
                <c:pt idx="19">
                  <c:v>2007</c:v>
                </c:pt>
                <c:pt idx="20">
                  <c:v>2008</c:v>
                </c:pt>
                <c:pt idx="21">
                  <c:v>2009</c:v>
                </c:pt>
                <c:pt idx="22">
                  <c:v>2010</c:v>
                </c:pt>
                <c:pt idx="23">
                  <c:v>2011</c:v>
                </c:pt>
                <c:pt idx="24">
                  <c:v>2012</c:v>
                </c:pt>
                <c:pt idx="25">
                  <c:v>2013</c:v>
                </c:pt>
                <c:pt idx="26">
                  <c:v>2014</c:v>
                </c:pt>
                <c:pt idx="27">
                  <c:v>2015</c:v>
                </c:pt>
                <c:pt idx="28">
                  <c:v>2016</c:v>
                </c:pt>
                <c:pt idx="29">
                  <c:v>2017</c:v>
                </c:pt>
                <c:pt idx="30">
                  <c:v>2018</c:v>
                </c:pt>
                <c:pt idx="31">
                  <c:v>2019</c:v>
                </c:pt>
                <c:pt idx="32">
                  <c:v>2020</c:v>
                </c:pt>
                <c:pt idx="33">
                  <c:v>2021</c:v>
                </c:pt>
                <c:pt idx="34">
                  <c:v>2022</c:v>
                </c:pt>
                <c:pt idx="35">
                  <c:v>2023</c:v>
                </c:pt>
                <c:pt idx="36">
                  <c:v>2024</c:v>
                </c:pt>
                <c:pt idx="37">
                  <c:v>2025</c:v>
                </c:pt>
              </c:numCache>
            </c:numRef>
          </c:cat>
          <c:val>
            <c:numRef>
              <c:f>삼화동20년!$L$226:$AW$226</c:f>
              <c:numCache>
                <c:formatCode>General</c:formatCode>
                <c:ptCount val="38"/>
                <c:pt idx="19" formatCode="_-* #,##0_-;\-* #,##0_-;_-* &quot;-&quot;_-;_-@_-">
                  <c:v>4212</c:v>
                </c:pt>
                <c:pt idx="20" formatCode="_-* #,##0_-;\-* #,##0_-;_-* &quot;-&quot;_-;_-@_-">
                  <c:v>3926</c:v>
                </c:pt>
                <c:pt idx="21" formatCode="_-* #,##0_-;\-* #,##0_-;_-* &quot;-&quot;_-;_-@_-">
                  <c:v>3639</c:v>
                </c:pt>
                <c:pt idx="22" formatCode="_-* #,##0_-;\-* #,##0_-;_-* &quot;-&quot;_-;_-@_-">
                  <c:v>3353</c:v>
                </c:pt>
                <c:pt idx="23" formatCode="_-* #,##0_-;\-* #,##0_-;_-* &quot;-&quot;_-;_-@_-">
                  <c:v>3067</c:v>
                </c:pt>
                <c:pt idx="24" formatCode="_-* #,##0_-;\-* #,##0_-;_-* &quot;-&quot;_-;_-@_-">
                  <c:v>2780</c:v>
                </c:pt>
                <c:pt idx="25" formatCode="_-* #,##0_-;\-* #,##0_-;_-* &quot;-&quot;_-;_-@_-">
                  <c:v>2494</c:v>
                </c:pt>
                <c:pt idx="26" formatCode="_-* #,##0_-;\-* #,##0_-;_-* &quot;-&quot;_-;_-@_-">
                  <c:v>2208</c:v>
                </c:pt>
                <c:pt idx="27" formatCode="_-* #,##0_-;\-* #,##0_-;_-* &quot;-&quot;_-;_-@_-">
                  <c:v>1921</c:v>
                </c:pt>
                <c:pt idx="28" formatCode="_-* #,##0_-;\-* #,##0_-;_-* &quot;-&quot;_-;_-@_-">
                  <c:v>1635</c:v>
                </c:pt>
                <c:pt idx="29" formatCode="_-* #,##0_-;\-* #,##0_-;_-* &quot;-&quot;_-;_-@_-">
                  <c:v>1349</c:v>
                </c:pt>
                <c:pt idx="30" formatCode="_-* #,##0_-;\-* #,##0_-;_-* &quot;-&quot;_-;_-@_-">
                  <c:v>1063</c:v>
                </c:pt>
                <c:pt idx="31" formatCode="_-* #,##0_-;\-* #,##0_-;_-* &quot;-&quot;_-;_-@_-">
                  <c:v>776</c:v>
                </c:pt>
                <c:pt idx="32" formatCode="_-* #,##0_-;\-* #,##0_-;_-* &quot;-&quot;_-;_-@_-">
                  <c:v>490</c:v>
                </c:pt>
                <c:pt idx="33" formatCode="_-* #,##0_-;\-* #,##0_-;_-* &quot;-&quot;_-;_-@_-">
                  <c:v>204</c:v>
                </c:pt>
                <c:pt idx="34" formatCode="_-* #,##0_-;\-* #,##0_-;_-* &quot;-&quot;_-;_-@_-">
                  <c:v>-83</c:v>
                </c:pt>
                <c:pt idx="35" formatCode="_-* #,##0_-;\-* #,##0_-;_-* &quot;-&quot;_-;_-@_-">
                  <c:v>-369</c:v>
                </c:pt>
                <c:pt idx="36" formatCode="_-* #,##0_-;\-* #,##0_-;_-* &quot;-&quot;_-;_-@_-">
                  <c:v>-655</c:v>
                </c:pt>
                <c:pt idx="37" formatCode="_-* #,##0_-;\-* #,##0_-;_-* &quot;-&quot;_-;_-@_-">
                  <c:v>-942</c:v>
                </c:pt>
              </c:numCache>
            </c:numRef>
          </c:val>
        </c:ser>
        <c:ser>
          <c:idx val="1"/>
          <c:order val="1"/>
          <c:tx>
            <c:v>최소</c:v>
          </c:tx>
          <c:spPr>
            <a:ln w="3175">
              <a:solidFill>
                <a:srgbClr val="FF00FF"/>
              </a:solidFill>
              <a:prstDash val="solid"/>
            </a:ln>
          </c:spPr>
          <c:marker>
            <c:symbol val="square"/>
            <c:size val="3"/>
            <c:spPr>
              <a:noFill/>
              <a:ln>
                <a:solidFill>
                  <a:srgbClr val="FF00FF"/>
                </a:solidFill>
                <a:prstDash val="solid"/>
              </a:ln>
            </c:spPr>
          </c:marker>
          <c:cat>
            <c:numRef>
              <c:f>삼화동20년!$L$225:$AX$225</c:f>
              <c:numCache>
                <c:formatCode>General</c:formatCode>
                <c:ptCount val="39"/>
                <c:pt idx="0">
                  <c:v>1988</c:v>
                </c:pt>
                <c:pt idx="1">
                  <c:v>1989</c:v>
                </c:pt>
                <c:pt idx="2">
                  <c:v>1990</c:v>
                </c:pt>
                <c:pt idx="3">
                  <c:v>1991</c:v>
                </c:pt>
                <c:pt idx="4">
                  <c:v>1992</c:v>
                </c:pt>
                <c:pt idx="5">
                  <c:v>1993</c:v>
                </c:pt>
                <c:pt idx="6">
                  <c:v>1994</c:v>
                </c:pt>
                <c:pt idx="7">
                  <c:v>1995</c:v>
                </c:pt>
                <c:pt idx="8">
                  <c:v>1996</c:v>
                </c:pt>
                <c:pt idx="9">
                  <c:v>1997</c:v>
                </c:pt>
                <c:pt idx="10">
                  <c:v>1998</c:v>
                </c:pt>
                <c:pt idx="11">
                  <c:v>1999</c:v>
                </c:pt>
                <c:pt idx="12">
                  <c:v>2000</c:v>
                </c:pt>
                <c:pt idx="13">
                  <c:v>2001</c:v>
                </c:pt>
                <c:pt idx="14">
                  <c:v>2002</c:v>
                </c:pt>
                <c:pt idx="15">
                  <c:v>2003</c:v>
                </c:pt>
                <c:pt idx="16">
                  <c:v>2004</c:v>
                </c:pt>
                <c:pt idx="17">
                  <c:v>2005</c:v>
                </c:pt>
                <c:pt idx="18">
                  <c:v>2006</c:v>
                </c:pt>
                <c:pt idx="19">
                  <c:v>2007</c:v>
                </c:pt>
                <c:pt idx="20">
                  <c:v>2008</c:v>
                </c:pt>
                <c:pt idx="21">
                  <c:v>2009</c:v>
                </c:pt>
                <c:pt idx="22">
                  <c:v>2010</c:v>
                </c:pt>
                <c:pt idx="23">
                  <c:v>2011</c:v>
                </c:pt>
                <c:pt idx="24">
                  <c:v>2012</c:v>
                </c:pt>
                <c:pt idx="25">
                  <c:v>2013</c:v>
                </c:pt>
                <c:pt idx="26">
                  <c:v>2014</c:v>
                </c:pt>
                <c:pt idx="27">
                  <c:v>2015</c:v>
                </c:pt>
                <c:pt idx="28">
                  <c:v>2016</c:v>
                </c:pt>
                <c:pt idx="29">
                  <c:v>2017</c:v>
                </c:pt>
                <c:pt idx="30">
                  <c:v>2018</c:v>
                </c:pt>
                <c:pt idx="31">
                  <c:v>2019</c:v>
                </c:pt>
                <c:pt idx="32">
                  <c:v>2020</c:v>
                </c:pt>
                <c:pt idx="33">
                  <c:v>2021</c:v>
                </c:pt>
                <c:pt idx="34">
                  <c:v>2022</c:v>
                </c:pt>
                <c:pt idx="35">
                  <c:v>2023</c:v>
                </c:pt>
                <c:pt idx="36">
                  <c:v>2024</c:v>
                </c:pt>
                <c:pt idx="37">
                  <c:v>2025</c:v>
                </c:pt>
              </c:numCache>
            </c:numRef>
          </c:cat>
          <c:val>
            <c:numRef>
              <c:f>삼화동20년!$L$227:$AW$227</c:f>
              <c:numCache>
                <c:formatCode>General</c:formatCode>
                <c:ptCount val="38"/>
                <c:pt idx="19" formatCode="_-* #,##0_-;\-* #,##0_-;_-* &quot;-&quot;_-;_-@_-">
                  <c:v>4212</c:v>
                </c:pt>
                <c:pt idx="20" formatCode="_-* #,##0_-;\-* #,##0_-;_-* &quot;-&quot;_-;_-@_-">
                  <c:v>3658</c:v>
                </c:pt>
                <c:pt idx="21" formatCode="_-* #,##0_-;\-* #,##0_-;_-* &quot;-&quot;_-;_-@_-">
                  <c:v>3391</c:v>
                </c:pt>
                <c:pt idx="22" formatCode="_-* #,##0_-;\-* #,##0_-;_-* &quot;-&quot;_-;_-@_-">
                  <c:v>3124</c:v>
                </c:pt>
                <c:pt idx="23" formatCode="_-* #,##0_-;\-* #,##0_-;_-* &quot;-&quot;_-;_-@_-">
                  <c:v>2857</c:v>
                </c:pt>
                <c:pt idx="24" formatCode="_-* #,##0_-;\-* #,##0_-;_-* &quot;-&quot;_-;_-@_-">
                  <c:v>2591</c:v>
                </c:pt>
                <c:pt idx="25" formatCode="_-* #,##0_-;\-* #,##0_-;_-* &quot;-&quot;_-;_-@_-">
                  <c:v>2324</c:v>
                </c:pt>
                <c:pt idx="26" formatCode="_-* #,##0_-;\-* #,##0_-;_-* &quot;-&quot;_-;_-@_-">
                  <c:v>2057</c:v>
                </c:pt>
                <c:pt idx="27" formatCode="_-* #,##0_-;\-* #,##0_-;_-* &quot;-&quot;_-;_-@_-">
                  <c:v>1790</c:v>
                </c:pt>
                <c:pt idx="28" formatCode="_-* #,##0_-;\-* #,##0_-;_-* &quot;-&quot;_-;_-@_-">
                  <c:v>1523</c:v>
                </c:pt>
                <c:pt idx="29" formatCode="_-* #,##0_-;\-* #,##0_-;_-* &quot;-&quot;_-;_-@_-">
                  <c:v>1256</c:v>
                </c:pt>
                <c:pt idx="30" formatCode="_-* #,##0_-;\-* #,##0_-;_-* &quot;-&quot;_-;_-@_-">
                  <c:v>989</c:v>
                </c:pt>
                <c:pt idx="31" formatCode="_-* #,##0_-;\-* #,##0_-;_-* &quot;-&quot;_-;_-@_-">
                  <c:v>723</c:v>
                </c:pt>
                <c:pt idx="32" formatCode="_-* #,##0_-;\-* #,##0_-;_-* &quot;-&quot;_-;_-@_-">
                  <c:v>456</c:v>
                </c:pt>
                <c:pt idx="33" formatCode="_-* #,##0_-;\-* #,##0_-;_-* &quot;-&quot;_-;_-@_-">
                  <c:v>189</c:v>
                </c:pt>
                <c:pt idx="34" formatCode="_-* #,##0_-;\-* #,##0_-;_-* &quot;-&quot;_-;_-@_-">
                  <c:v>-78</c:v>
                </c:pt>
                <c:pt idx="35" formatCode="_-* #,##0_-;\-* #,##0_-;_-* &quot;-&quot;_-;_-@_-">
                  <c:v>-345</c:v>
                </c:pt>
                <c:pt idx="36" formatCode="_-* #,##0_-;\-* #,##0_-;_-* &quot;-&quot;_-;_-@_-">
                  <c:v>-612</c:v>
                </c:pt>
                <c:pt idx="37" formatCode="_-* #,##0_-;\-* #,##0_-;_-* &quot;-&quot;_-;_-@_-">
                  <c:v>-879</c:v>
                </c:pt>
              </c:numCache>
            </c:numRef>
          </c:val>
        </c:ser>
        <c:ser>
          <c:idx val="4"/>
          <c:order val="2"/>
          <c:tx>
            <c:v>로지스틱</c:v>
          </c:tx>
          <c:spPr>
            <a:ln w="3175">
              <a:solidFill>
                <a:srgbClr val="800080"/>
              </a:solidFill>
              <a:prstDash val="solid"/>
            </a:ln>
          </c:spPr>
          <c:marker>
            <c:symbol val="circle"/>
            <c:size val="3"/>
            <c:spPr>
              <a:noFill/>
              <a:ln>
                <a:solidFill>
                  <a:srgbClr val="800080"/>
                </a:solidFill>
                <a:prstDash val="solid"/>
              </a:ln>
            </c:spPr>
          </c:marker>
          <c:cat>
            <c:numRef>
              <c:f>삼화동20년!$L$225:$AX$225</c:f>
              <c:numCache>
                <c:formatCode>General</c:formatCode>
                <c:ptCount val="39"/>
                <c:pt idx="0">
                  <c:v>1988</c:v>
                </c:pt>
                <c:pt idx="1">
                  <c:v>1989</c:v>
                </c:pt>
                <c:pt idx="2">
                  <c:v>1990</c:v>
                </c:pt>
                <c:pt idx="3">
                  <c:v>1991</c:v>
                </c:pt>
                <c:pt idx="4">
                  <c:v>1992</c:v>
                </c:pt>
                <c:pt idx="5">
                  <c:v>1993</c:v>
                </c:pt>
                <c:pt idx="6">
                  <c:v>1994</c:v>
                </c:pt>
                <c:pt idx="7">
                  <c:v>1995</c:v>
                </c:pt>
                <c:pt idx="8">
                  <c:v>1996</c:v>
                </c:pt>
                <c:pt idx="9">
                  <c:v>1997</c:v>
                </c:pt>
                <c:pt idx="10">
                  <c:v>1998</c:v>
                </c:pt>
                <c:pt idx="11">
                  <c:v>1999</c:v>
                </c:pt>
                <c:pt idx="12">
                  <c:v>2000</c:v>
                </c:pt>
                <c:pt idx="13">
                  <c:v>2001</c:v>
                </c:pt>
                <c:pt idx="14">
                  <c:v>2002</c:v>
                </c:pt>
                <c:pt idx="15">
                  <c:v>2003</c:v>
                </c:pt>
                <c:pt idx="16">
                  <c:v>2004</c:v>
                </c:pt>
                <c:pt idx="17">
                  <c:v>2005</c:v>
                </c:pt>
                <c:pt idx="18">
                  <c:v>2006</c:v>
                </c:pt>
                <c:pt idx="19">
                  <c:v>2007</c:v>
                </c:pt>
                <c:pt idx="20">
                  <c:v>2008</c:v>
                </c:pt>
                <c:pt idx="21">
                  <c:v>2009</c:v>
                </c:pt>
                <c:pt idx="22">
                  <c:v>2010</c:v>
                </c:pt>
                <c:pt idx="23">
                  <c:v>2011</c:v>
                </c:pt>
                <c:pt idx="24">
                  <c:v>2012</c:v>
                </c:pt>
                <c:pt idx="25">
                  <c:v>2013</c:v>
                </c:pt>
                <c:pt idx="26">
                  <c:v>2014</c:v>
                </c:pt>
                <c:pt idx="27">
                  <c:v>2015</c:v>
                </c:pt>
                <c:pt idx="28">
                  <c:v>2016</c:v>
                </c:pt>
                <c:pt idx="29">
                  <c:v>2017</c:v>
                </c:pt>
                <c:pt idx="30">
                  <c:v>2018</c:v>
                </c:pt>
                <c:pt idx="31">
                  <c:v>2019</c:v>
                </c:pt>
                <c:pt idx="32">
                  <c:v>2020</c:v>
                </c:pt>
                <c:pt idx="33">
                  <c:v>2021</c:v>
                </c:pt>
                <c:pt idx="34">
                  <c:v>2022</c:v>
                </c:pt>
                <c:pt idx="35">
                  <c:v>2023</c:v>
                </c:pt>
                <c:pt idx="36">
                  <c:v>2024</c:v>
                </c:pt>
                <c:pt idx="37">
                  <c:v>2025</c:v>
                </c:pt>
              </c:numCache>
            </c:numRef>
          </c:cat>
          <c:val>
            <c:numRef>
              <c:f>삼화동20년!$L$230:$AW$230</c:f>
              <c:numCache>
                <c:formatCode>General</c:formatCode>
                <c:ptCount val="38"/>
                <c:pt idx="19" formatCode="_-* #,##0_-;\-* #,##0_-;_-* &quot;-&quot;_-;_-@_-">
                  <c:v>4212</c:v>
                </c:pt>
                <c:pt idx="20" formatCode="_-* #,##0_-;\-* #,##0_-;_-* &quot;-&quot;_-;_-@_-">
                  <c:v>3918</c:v>
                </c:pt>
                <c:pt idx="21" formatCode="_-* #,##0_-;\-* #,##0_-;_-* &quot;-&quot;_-;_-@_-">
                  <c:v>3725</c:v>
                </c:pt>
                <c:pt idx="22" formatCode="_-* #,##0_-;\-* #,##0_-;_-* &quot;-&quot;_-;_-@_-">
                  <c:v>3540</c:v>
                </c:pt>
                <c:pt idx="23" formatCode="_-* #,##0_-;\-* #,##0_-;_-* &quot;-&quot;_-;_-@_-">
                  <c:v>3362</c:v>
                </c:pt>
                <c:pt idx="24" formatCode="_-* #,##0_-;\-* #,##0_-;_-* &quot;-&quot;_-;_-@_-">
                  <c:v>3191</c:v>
                </c:pt>
                <c:pt idx="25" formatCode="_-* #,##0_-;\-* #,##0_-;_-* &quot;-&quot;_-;_-@_-">
                  <c:v>3027</c:v>
                </c:pt>
                <c:pt idx="26" formatCode="_-* #,##0_-;\-* #,##0_-;_-* &quot;-&quot;_-;_-@_-">
                  <c:v>2870</c:v>
                </c:pt>
                <c:pt idx="27" formatCode="_-* #,##0_-;\-* #,##0_-;_-* &quot;-&quot;_-;_-@_-">
                  <c:v>2720</c:v>
                </c:pt>
                <c:pt idx="28" formatCode="_-* #,##0_-;\-* #,##0_-;_-* &quot;-&quot;_-;_-@_-">
                  <c:v>2577</c:v>
                </c:pt>
                <c:pt idx="29" formatCode="_-* #,##0_-;\-* #,##0_-;_-* &quot;-&quot;_-;_-@_-">
                  <c:v>2440</c:v>
                </c:pt>
                <c:pt idx="30" formatCode="_-* #,##0_-;\-* #,##0_-;_-* &quot;-&quot;_-;_-@_-">
                  <c:v>2309</c:v>
                </c:pt>
                <c:pt idx="31" formatCode="_-* #,##0_-;\-* #,##0_-;_-* &quot;-&quot;_-;_-@_-">
                  <c:v>2184</c:v>
                </c:pt>
                <c:pt idx="32" formatCode="_-* #,##0_-;\-* #,##0_-;_-* &quot;-&quot;_-;_-@_-">
                  <c:v>2065</c:v>
                </c:pt>
                <c:pt idx="33" formatCode="_-* #,##0_-;\-* #,##0_-;_-* &quot;-&quot;_-;_-@_-">
                  <c:v>1952</c:v>
                </c:pt>
                <c:pt idx="34" formatCode="_-* #,##0_-;\-* #,##0_-;_-* &quot;-&quot;_-;_-@_-">
                  <c:v>1845</c:v>
                </c:pt>
                <c:pt idx="35" formatCode="_-* #,##0_-;\-* #,##0_-;_-* &quot;-&quot;_-;_-@_-">
                  <c:v>1743</c:v>
                </c:pt>
                <c:pt idx="36" formatCode="_-* #,##0_-;\-* #,##0_-;_-* &quot;-&quot;_-;_-@_-">
                  <c:v>1646</c:v>
                </c:pt>
                <c:pt idx="37" formatCode="_-* #,##0_-;\-* #,##0_-;_-* &quot;-&quot;_-;_-@_-">
                  <c:v>1553</c:v>
                </c:pt>
              </c:numCache>
            </c:numRef>
          </c:val>
        </c:ser>
        <c:ser>
          <c:idx val="5"/>
          <c:order val="3"/>
          <c:tx>
            <c:v>평균(최대최소제외)</c:v>
          </c:tx>
          <c:spPr>
            <a:ln w="3175">
              <a:solidFill>
                <a:srgbClr val="800000"/>
              </a:solidFill>
              <a:prstDash val="sysDash"/>
            </a:ln>
          </c:spPr>
          <c:marker>
            <c:symbol val="circle"/>
            <c:size val="3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삼화동20년!$L$225:$AX$225</c:f>
              <c:numCache>
                <c:formatCode>General</c:formatCode>
                <c:ptCount val="39"/>
                <c:pt idx="0">
                  <c:v>1988</c:v>
                </c:pt>
                <c:pt idx="1">
                  <c:v>1989</c:v>
                </c:pt>
                <c:pt idx="2">
                  <c:v>1990</c:v>
                </c:pt>
                <c:pt idx="3">
                  <c:v>1991</c:v>
                </c:pt>
                <c:pt idx="4">
                  <c:v>1992</c:v>
                </c:pt>
                <c:pt idx="5">
                  <c:v>1993</c:v>
                </c:pt>
                <c:pt idx="6">
                  <c:v>1994</c:v>
                </c:pt>
                <c:pt idx="7">
                  <c:v>1995</c:v>
                </c:pt>
                <c:pt idx="8">
                  <c:v>1996</c:v>
                </c:pt>
                <c:pt idx="9">
                  <c:v>1997</c:v>
                </c:pt>
                <c:pt idx="10">
                  <c:v>1998</c:v>
                </c:pt>
                <c:pt idx="11">
                  <c:v>1999</c:v>
                </c:pt>
                <c:pt idx="12">
                  <c:v>2000</c:v>
                </c:pt>
                <c:pt idx="13">
                  <c:v>2001</c:v>
                </c:pt>
                <c:pt idx="14">
                  <c:v>2002</c:v>
                </c:pt>
                <c:pt idx="15">
                  <c:v>2003</c:v>
                </c:pt>
                <c:pt idx="16">
                  <c:v>2004</c:v>
                </c:pt>
                <c:pt idx="17">
                  <c:v>2005</c:v>
                </c:pt>
                <c:pt idx="18">
                  <c:v>2006</c:v>
                </c:pt>
                <c:pt idx="19">
                  <c:v>2007</c:v>
                </c:pt>
                <c:pt idx="20">
                  <c:v>2008</c:v>
                </c:pt>
                <c:pt idx="21">
                  <c:v>2009</c:v>
                </c:pt>
                <c:pt idx="22">
                  <c:v>2010</c:v>
                </c:pt>
                <c:pt idx="23">
                  <c:v>2011</c:v>
                </c:pt>
                <c:pt idx="24">
                  <c:v>2012</c:v>
                </c:pt>
                <c:pt idx="25">
                  <c:v>2013</c:v>
                </c:pt>
                <c:pt idx="26">
                  <c:v>2014</c:v>
                </c:pt>
                <c:pt idx="27">
                  <c:v>2015</c:v>
                </c:pt>
                <c:pt idx="28">
                  <c:v>2016</c:v>
                </c:pt>
                <c:pt idx="29">
                  <c:v>2017</c:v>
                </c:pt>
                <c:pt idx="30">
                  <c:v>2018</c:v>
                </c:pt>
                <c:pt idx="31">
                  <c:v>2019</c:v>
                </c:pt>
                <c:pt idx="32">
                  <c:v>2020</c:v>
                </c:pt>
                <c:pt idx="33">
                  <c:v>2021</c:v>
                </c:pt>
                <c:pt idx="34">
                  <c:v>2022</c:v>
                </c:pt>
                <c:pt idx="35">
                  <c:v>2023</c:v>
                </c:pt>
                <c:pt idx="36">
                  <c:v>2024</c:v>
                </c:pt>
                <c:pt idx="37">
                  <c:v>2025</c:v>
                </c:pt>
              </c:numCache>
            </c:numRef>
          </c:cat>
          <c:val>
            <c:numRef>
              <c:f>삼화동20년!$L$231:$AW$231</c:f>
              <c:numCache>
                <c:formatCode>General</c:formatCode>
                <c:ptCount val="38"/>
                <c:pt idx="19" formatCode="_-* #,##0_-;\-* #,##0_-;_-* &quot;-&quot;_-;_-@_-">
                  <c:v>4212</c:v>
                </c:pt>
                <c:pt idx="20" formatCode="#,##0_ ">
                  <c:v>3922</c:v>
                </c:pt>
                <c:pt idx="21" formatCode="#,##0_ ">
                  <c:v>3682</c:v>
                </c:pt>
                <c:pt idx="22" formatCode="#,##0_ ">
                  <c:v>3446.5</c:v>
                </c:pt>
                <c:pt idx="23" formatCode="#,##0_ ">
                  <c:v>3214.5</c:v>
                </c:pt>
                <c:pt idx="24" formatCode="#,##0_ ">
                  <c:v>2985.5</c:v>
                </c:pt>
                <c:pt idx="25" formatCode="#,##0_ ">
                  <c:v>2760.5</c:v>
                </c:pt>
                <c:pt idx="26" formatCode="#,##0_ ">
                  <c:v>2539</c:v>
                </c:pt>
                <c:pt idx="27" formatCode="#,##0_ ">
                  <c:v>2320.5</c:v>
                </c:pt>
                <c:pt idx="28" formatCode="#,##0_ ">
                  <c:v>2106</c:v>
                </c:pt>
                <c:pt idx="29" formatCode="#,##0_ ">
                  <c:v>1894.5</c:v>
                </c:pt>
                <c:pt idx="30" formatCode="#,##0_ ">
                  <c:v>1686</c:v>
                </c:pt>
                <c:pt idx="31" formatCode="#,##0_ ">
                  <c:v>1480</c:v>
                </c:pt>
                <c:pt idx="32" formatCode="#,##0_ ">
                  <c:v>1277.5</c:v>
                </c:pt>
                <c:pt idx="33" formatCode="#,##0_ ">
                  <c:v>1078</c:v>
                </c:pt>
                <c:pt idx="34" formatCode="#,##0_ ">
                  <c:v>883.5</c:v>
                </c:pt>
                <c:pt idx="35" formatCode="#,##0_ ">
                  <c:v>699</c:v>
                </c:pt>
                <c:pt idx="36" formatCode="#,##0_ ">
                  <c:v>517</c:v>
                </c:pt>
                <c:pt idx="37" formatCode="#,##0_ ">
                  <c:v>337</c:v>
                </c:pt>
              </c:numCache>
            </c:numRef>
          </c:val>
        </c:ser>
        <c:ser>
          <c:idx val="6"/>
          <c:order val="4"/>
          <c:tx>
            <c:v>과거</c:v>
          </c:tx>
          <c:spPr>
            <a:ln w="12700">
              <a:solidFill>
                <a:srgbClr val="008080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008080"/>
                </a:solidFill>
                <a:prstDash val="solid"/>
              </a:ln>
            </c:spPr>
          </c:marker>
          <c:cat>
            <c:numRef>
              <c:f>삼화동20년!$L$225:$AX$225</c:f>
              <c:numCache>
                <c:formatCode>General</c:formatCode>
                <c:ptCount val="39"/>
                <c:pt idx="0">
                  <c:v>1988</c:v>
                </c:pt>
                <c:pt idx="1">
                  <c:v>1989</c:v>
                </c:pt>
                <c:pt idx="2">
                  <c:v>1990</c:v>
                </c:pt>
                <c:pt idx="3">
                  <c:v>1991</c:v>
                </c:pt>
                <c:pt idx="4">
                  <c:v>1992</c:v>
                </c:pt>
                <c:pt idx="5">
                  <c:v>1993</c:v>
                </c:pt>
                <c:pt idx="6">
                  <c:v>1994</c:v>
                </c:pt>
                <c:pt idx="7">
                  <c:v>1995</c:v>
                </c:pt>
                <c:pt idx="8">
                  <c:v>1996</c:v>
                </c:pt>
                <c:pt idx="9">
                  <c:v>1997</c:v>
                </c:pt>
                <c:pt idx="10">
                  <c:v>1998</c:v>
                </c:pt>
                <c:pt idx="11">
                  <c:v>1999</c:v>
                </c:pt>
                <c:pt idx="12">
                  <c:v>2000</c:v>
                </c:pt>
                <c:pt idx="13">
                  <c:v>2001</c:v>
                </c:pt>
                <c:pt idx="14">
                  <c:v>2002</c:v>
                </c:pt>
                <c:pt idx="15">
                  <c:v>2003</c:v>
                </c:pt>
                <c:pt idx="16">
                  <c:v>2004</c:v>
                </c:pt>
                <c:pt idx="17">
                  <c:v>2005</c:v>
                </c:pt>
                <c:pt idx="18">
                  <c:v>2006</c:v>
                </c:pt>
                <c:pt idx="19">
                  <c:v>2007</c:v>
                </c:pt>
                <c:pt idx="20">
                  <c:v>2008</c:v>
                </c:pt>
                <c:pt idx="21">
                  <c:v>2009</c:v>
                </c:pt>
                <c:pt idx="22">
                  <c:v>2010</c:v>
                </c:pt>
                <c:pt idx="23">
                  <c:v>2011</c:v>
                </c:pt>
                <c:pt idx="24">
                  <c:v>2012</c:v>
                </c:pt>
                <c:pt idx="25">
                  <c:v>2013</c:v>
                </c:pt>
                <c:pt idx="26">
                  <c:v>2014</c:v>
                </c:pt>
                <c:pt idx="27">
                  <c:v>2015</c:v>
                </c:pt>
                <c:pt idx="28">
                  <c:v>2016</c:v>
                </c:pt>
                <c:pt idx="29">
                  <c:v>2017</c:v>
                </c:pt>
                <c:pt idx="30">
                  <c:v>2018</c:v>
                </c:pt>
                <c:pt idx="31">
                  <c:v>2019</c:v>
                </c:pt>
                <c:pt idx="32">
                  <c:v>2020</c:v>
                </c:pt>
                <c:pt idx="33">
                  <c:v>2021</c:v>
                </c:pt>
                <c:pt idx="34">
                  <c:v>2022</c:v>
                </c:pt>
                <c:pt idx="35">
                  <c:v>2023</c:v>
                </c:pt>
                <c:pt idx="36">
                  <c:v>2024</c:v>
                </c:pt>
                <c:pt idx="37">
                  <c:v>2025</c:v>
                </c:pt>
              </c:numCache>
            </c:numRef>
          </c:cat>
          <c:val>
            <c:numRef>
              <c:f>삼화동20년!$L$223:$AG$223</c:f>
              <c:numCache>
                <c:formatCode>_-* #,##0_-;\-* #,##0_-;_-* "-"_-;_-@_-</c:formatCode>
                <c:ptCount val="22"/>
                <c:pt idx="0" formatCode="General">
                  <c:v>9652</c:v>
                </c:pt>
                <c:pt idx="1">
                  <c:v>9336</c:v>
                </c:pt>
                <c:pt idx="2" formatCode="General">
                  <c:v>8152</c:v>
                </c:pt>
                <c:pt idx="3">
                  <c:v>8172</c:v>
                </c:pt>
                <c:pt idx="4" formatCode="General">
                  <c:v>7723</c:v>
                </c:pt>
                <c:pt idx="5">
                  <c:v>7425</c:v>
                </c:pt>
                <c:pt idx="6">
                  <c:v>7296</c:v>
                </c:pt>
                <c:pt idx="7">
                  <c:v>6993</c:v>
                </c:pt>
                <c:pt idx="8">
                  <c:v>6633</c:v>
                </c:pt>
                <c:pt idx="9">
                  <c:v>6394</c:v>
                </c:pt>
                <c:pt idx="10">
                  <c:v>6192</c:v>
                </c:pt>
                <c:pt idx="11">
                  <c:v>5927</c:v>
                </c:pt>
                <c:pt idx="12">
                  <c:v>5619</c:v>
                </c:pt>
                <c:pt idx="13">
                  <c:v>5393</c:v>
                </c:pt>
                <c:pt idx="14">
                  <c:v>5125</c:v>
                </c:pt>
                <c:pt idx="15">
                  <c:v>4944</c:v>
                </c:pt>
                <c:pt idx="16">
                  <c:v>4840</c:v>
                </c:pt>
                <c:pt idx="17">
                  <c:v>4706</c:v>
                </c:pt>
                <c:pt idx="18">
                  <c:v>4467</c:v>
                </c:pt>
                <c:pt idx="19">
                  <c:v>4212</c:v>
                </c:pt>
                <c:pt idx="20">
                  <c:v>3918</c:v>
                </c:pt>
              </c:numCache>
            </c:numRef>
          </c:val>
        </c:ser>
        <c:ser>
          <c:idx val="2"/>
          <c:order val="5"/>
          <c:tx>
            <c:v>등비</c:v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FF0000"/>
                </a:solidFill>
                <a:prstDash val="solid"/>
              </a:ln>
            </c:spPr>
          </c:marker>
          <c:val>
            <c:numRef>
              <c:f>삼화동20년!$L$228:$AW$228</c:f>
              <c:numCache>
                <c:formatCode>General</c:formatCode>
                <c:ptCount val="38"/>
                <c:pt idx="19" formatCode="_-* #,##0_-;\-* #,##0_-;_-* &quot;-&quot;_-;_-@_-">
                  <c:v>4212</c:v>
                </c:pt>
                <c:pt idx="20" formatCode="_-* #,##0_-;\-* #,##0_-;_-* &quot;-&quot;_-;_-@_-">
                  <c:v>4033</c:v>
                </c:pt>
                <c:pt idx="21" formatCode="_-* #,##0_-;\-* #,##0_-;_-* &quot;-&quot;_-;_-@_-">
                  <c:v>3860</c:v>
                </c:pt>
                <c:pt idx="22" formatCode="_-* #,##0_-;\-* #,##0_-;_-* &quot;-&quot;_-;_-@_-">
                  <c:v>3696</c:v>
                </c:pt>
                <c:pt idx="23" formatCode="_-* #,##0_-;\-* #,##0_-;_-* &quot;-&quot;_-;_-@_-">
                  <c:v>3538</c:v>
                </c:pt>
                <c:pt idx="24" formatCode="_-* #,##0_-;\-* #,##0_-;_-* &quot;-&quot;_-;_-@_-">
                  <c:v>3387</c:v>
                </c:pt>
                <c:pt idx="25" formatCode="_-* #,##0_-;\-* #,##0_-;_-* &quot;-&quot;_-;_-@_-">
                  <c:v>3242</c:v>
                </c:pt>
                <c:pt idx="26" formatCode="_-* #,##0_-;\-* #,##0_-;_-* &quot;-&quot;_-;_-@_-">
                  <c:v>3104</c:v>
                </c:pt>
                <c:pt idx="27" formatCode="_-* #,##0_-;\-* #,##0_-;_-* &quot;-&quot;_-;_-@_-">
                  <c:v>2971</c:v>
                </c:pt>
                <c:pt idx="28" formatCode="_-* #,##0_-;\-* #,##0_-;_-* &quot;-&quot;_-;_-@_-">
                  <c:v>2844</c:v>
                </c:pt>
                <c:pt idx="29" formatCode="_-* #,##0_-;\-* #,##0_-;_-* &quot;-&quot;_-;_-@_-">
                  <c:v>2723</c:v>
                </c:pt>
                <c:pt idx="30" formatCode="_-* #,##0_-;\-* #,##0_-;_-* &quot;-&quot;_-;_-@_-">
                  <c:v>2607</c:v>
                </c:pt>
                <c:pt idx="31" formatCode="_-* #,##0_-;\-* #,##0_-;_-* &quot;-&quot;_-;_-@_-">
                  <c:v>2495</c:v>
                </c:pt>
                <c:pt idx="32" formatCode="_-* #,##0_-;\-* #,##0_-;_-* &quot;-&quot;_-;_-@_-">
                  <c:v>2389</c:v>
                </c:pt>
                <c:pt idx="33" formatCode="_-* #,##0_-;\-* #,##0_-;_-* &quot;-&quot;_-;_-@_-">
                  <c:v>2287</c:v>
                </c:pt>
                <c:pt idx="34" formatCode="_-* #,##0_-;\-* #,##0_-;_-* &quot;-&quot;_-;_-@_-">
                  <c:v>2189</c:v>
                </c:pt>
                <c:pt idx="35" formatCode="_-* #,##0_-;\-* #,##0_-;_-* &quot;-&quot;_-;_-@_-">
                  <c:v>2096</c:v>
                </c:pt>
                <c:pt idx="36" formatCode="_-* #,##0_-;\-* #,##0_-;_-* &quot;-&quot;_-;_-@_-">
                  <c:v>2006</c:v>
                </c:pt>
                <c:pt idx="37" formatCode="_-* #,##0_-;\-* #,##0_-;_-* &quot;-&quot;_-;_-@_-">
                  <c:v>1920</c:v>
                </c:pt>
              </c:numCache>
            </c:numRef>
          </c:val>
        </c:ser>
        <c:marker val="1"/>
        <c:axId val="132411392"/>
        <c:axId val="132413696"/>
      </c:lineChart>
      <c:catAx>
        <c:axId val="132411392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875" b="0" i="0" u="none" strike="noStrike" baseline="0">
                    <a:solidFill>
                      <a:srgbClr val="000000"/>
                    </a:solidFill>
                    <a:latin typeface="돋움"/>
                    <a:ea typeface="돋움"/>
                    <a:cs typeface="돋움"/>
                  </a:defRPr>
                </a:pPr>
                <a:r>
                  <a:rPr altLang="en-US"/>
                  <a:t>연도</a:t>
                </a:r>
              </a:p>
            </c:rich>
          </c:tx>
          <c:layout>
            <c:manualLayout>
              <c:xMode val="edge"/>
              <c:yMode val="edge"/>
              <c:x val="0.50336346409613442"/>
              <c:y val="0.81939243336028011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maj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돋움"/>
                <a:ea typeface="돋움"/>
                <a:cs typeface="돋움"/>
              </a:defRPr>
            </a:pPr>
            <a:endParaRPr lang="ko-KR"/>
          </a:p>
        </c:txPr>
        <c:crossAx val="132413696"/>
        <c:crosses val="autoZero"/>
        <c:auto val="1"/>
        <c:lblAlgn val="ctr"/>
        <c:lblOffset val="100"/>
        <c:tickLblSkip val="2"/>
        <c:tickMarkSkip val="1"/>
      </c:catAx>
      <c:valAx>
        <c:axId val="132413696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맑은 고딕"/>
                    <a:ea typeface="맑은 고딕"/>
                    <a:cs typeface="맑은 고딕"/>
                  </a:defRPr>
                </a:pPr>
                <a:r>
                  <a:rPr lang="ko-KR" altLang="en-US" sz="875" b="0" i="0" strike="noStrike">
                    <a:solidFill>
                      <a:srgbClr val="000000"/>
                    </a:solidFill>
                    <a:latin typeface="돋움"/>
                    <a:ea typeface="돋움"/>
                  </a:rPr>
                  <a:t>인구</a:t>
                </a:r>
                <a:r>
                  <a:rPr lang="en-US" altLang="ko-KR" sz="875" b="0" i="0" strike="noStrike">
                    <a:solidFill>
                      <a:srgbClr val="000000"/>
                    </a:solidFill>
                    <a:latin typeface="돋움"/>
                    <a:ea typeface="돋움"/>
                  </a:rPr>
                  <a:t>(</a:t>
                </a:r>
                <a:r>
                  <a:rPr lang="ko-KR" altLang="en-US" sz="875" b="0" i="0" strike="noStrike">
                    <a:solidFill>
                      <a:srgbClr val="000000"/>
                    </a:solidFill>
                    <a:latin typeface="돋움"/>
                    <a:ea typeface="돋움"/>
                  </a:rPr>
                  <a:t>명</a:t>
                </a:r>
                <a:r>
                  <a:rPr lang="en-US" altLang="ko-KR" sz="875" b="0" i="0" strike="noStrike">
                    <a:solidFill>
                      <a:srgbClr val="000000"/>
                    </a:solidFill>
                    <a:latin typeface="돋움"/>
                    <a:ea typeface="돋움"/>
                  </a:rPr>
                  <a:t>)</a:t>
                </a:r>
              </a:p>
            </c:rich>
          </c:tx>
          <c:layout>
            <c:manualLayout>
              <c:xMode val="edge"/>
              <c:yMode val="edge"/>
              <c:x val="2.5784753363228687E-2"/>
              <c:y val="0.39923994291588139"/>
            </c:manualLayout>
          </c:layout>
          <c:spPr>
            <a:noFill/>
            <a:ln w="25400">
              <a:noFill/>
            </a:ln>
          </c:spPr>
        </c:title>
        <c:numFmt formatCode="#,##0_ " sourceLinked="0"/>
        <c:maj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돋움"/>
                <a:ea typeface="돋움"/>
                <a:cs typeface="돋움"/>
              </a:defRPr>
            </a:pPr>
            <a:endParaRPr lang="ko-KR"/>
          </a:p>
        </c:txPr>
        <c:crossAx val="132411392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wMode val="edge"/>
          <c:hMode val="edge"/>
          <c:x val="0.12668173204806787"/>
          <c:y val="0.89733920142111512"/>
          <c:w val="0.91479879476948922"/>
          <c:h val="0.95817570332225577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돋움"/>
              <a:ea typeface="돋움"/>
              <a:cs typeface="돋움"/>
            </a:defRPr>
          </a:pPr>
          <a:endParaRPr lang="ko-KR"/>
        </a:p>
      </c:txPr>
    </c:legend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75" b="0" i="0" u="none" strike="noStrike" baseline="0">
          <a:solidFill>
            <a:srgbClr val="000000"/>
          </a:solidFill>
          <a:latin typeface="돋움"/>
          <a:ea typeface="돋움"/>
          <a:cs typeface="돋움"/>
        </a:defRPr>
      </a:pPr>
      <a:endParaRPr lang="ko-KR"/>
    </a:p>
  </c:txPr>
  <c:printSettings>
    <c:headerFooter alignWithMargins="0"/>
    <c:pageMargins b="1" l="0.75000000000000144" r="0.75000000000000144" t="1" header="0.5" footer="0.5"/>
    <c:pageSetup paperSize="9" orientation="landscape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ko-KR"/>
  <c:chart>
    <c:title>
      <c:tx>
        <c:rich>
          <a:bodyPr/>
          <a:lstStyle/>
          <a:p>
            <a:pPr>
              <a:defRPr sz="1175" b="1" i="0" u="none" strike="noStrike" baseline="0">
                <a:solidFill>
                  <a:srgbClr val="000000"/>
                </a:solidFill>
                <a:latin typeface="돋움"/>
                <a:ea typeface="돋움"/>
                <a:cs typeface="돋움"/>
              </a:defRPr>
            </a:pPr>
            <a:r>
              <a:rPr altLang="en-US"/>
              <a:t>삼화동</a:t>
            </a:r>
          </a:p>
        </c:rich>
      </c:tx>
      <c:layout>
        <c:manualLayout>
          <c:xMode val="edge"/>
          <c:yMode val="edge"/>
          <c:x val="0.46861010086743682"/>
          <c:y val="2.8517110266159756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9.7533685676984214E-2"/>
          <c:y val="9.3155980012012529E-2"/>
          <c:w val="0.83744440460583214"/>
          <c:h val="0.67680671192400665"/>
        </c:manualLayout>
      </c:layout>
      <c:lineChart>
        <c:grouping val="standard"/>
        <c:ser>
          <c:idx val="0"/>
          <c:order val="0"/>
          <c:tx>
            <c:v>등차</c:v>
          </c:tx>
          <c:spPr>
            <a:ln w="3175">
              <a:solidFill>
                <a:srgbClr val="000080"/>
              </a:solidFill>
              <a:prstDash val="solid"/>
            </a:ln>
          </c:spPr>
          <c:marker>
            <c:symbol val="diamond"/>
            <c:size val="3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삼화동10!$L$181:$AO$181</c:f>
              <c:numCache>
                <c:formatCode>General</c:formatCode>
                <c:ptCount val="30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  <c:pt idx="22">
                  <c:v>2019</c:v>
                </c:pt>
                <c:pt idx="23">
                  <c:v>2020</c:v>
                </c:pt>
                <c:pt idx="24">
                  <c:v>2021</c:v>
                </c:pt>
                <c:pt idx="25">
                  <c:v>2022</c:v>
                </c:pt>
                <c:pt idx="26">
                  <c:v>2023</c:v>
                </c:pt>
                <c:pt idx="27">
                  <c:v>2024</c:v>
                </c:pt>
                <c:pt idx="28">
                  <c:v>2025</c:v>
                </c:pt>
              </c:numCache>
            </c:numRef>
          </c:cat>
          <c:val>
            <c:numRef>
              <c:f>삼화동10!$L$182:$AN$182</c:f>
              <c:numCache>
                <c:formatCode>General</c:formatCode>
                <c:ptCount val="29"/>
                <c:pt idx="10" formatCode="_-* #,##0_-;\-* #,##0_-;_-* &quot;-&quot;_-;_-@_-">
                  <c:v>4212</c:v>
                </c:pt>
                <c:pt idx="11" formatCode="_-* #,##0_-;\-* #,##0_-;_-* &quot;-&quot;_-;_-@_-">
                  <c:v>3994</c:v>
                </c:pt>
                <c:pt idx="12" formatCode="_-* #,##0_-;\-* #,##0_-;_-* &quot;-&quot;_-;_-@_-">
                  <c:v>3776</c:v>
                </c:pt>
                <c:pt idx="13" formatCode="_-* #,##0_-;\-* #,##0_-;_-* &quot;-&quot;_-;_-@_-">
                  <c:v>3557</c:v>
                </c:pt>
                <c:pt idx="14" formatCode="_-* #,##0_-;\-* #,##0_-;_-* &quot;-&quot;_-;_-@_-">
                  <c:v>3339</c:v>
                </c:pt>
                <c:pt idx="15" formatCode="_-* #,##0_-;\-* #,##0_-;_-* &quot;-&quot;_-;_-@_-">
                  <c:v>3121</c:v>
                </c:pt>
                <c:pt idx="16" formatCode="_-* #,##0_-;\-* #,##0_-;_-* &quot;-&quot;_-;_-@_-">
                  <c:v>2903</c:v>
                </c:pt>
                <c:pt idx="17" formatCode="_-* #,##0_-;\-* #,##0_-;_-* &quot;-&quot;_-;_-@_-">
                  <c:v>2685</c:v>
                </c:pt>
                <c:pt idx="18" formatCode="_-* #,##0_-;\-* #,##0_-;_-* &quot;-&quot;_-;_-@_-">
                  <c:v>2466</c:v>
                </c:pt>
                <c:pt idx="19" formatCode="_-* #,##0_-;\-* #,##0_-;_-* &quot;-&quot;_-;_-@_-">
                  <c:v>2248</c:v>
                </c:pt>
                <c:pt idx="20" formatCode="_-* #,##0_-;\-* #,##0_-;_-* &quot;-&quot;_-;_-@_-">
                  <c:v>2030</c:v>
                </c:pt>
                <c:pt idx="21" formatCode="_-* #,##0_-;\-* #,##0_-;_-* &quot;-&quot;_-;_-@_-">
                  <c:v>1812</c:v>
                </c:pt>
                <c:pt idx="22" formatCode="_-* #,##0_-;\-* #,##0_-;_-* &quot;-&quot;_-;_-@_-">
                  <c:v>1594</c:v>
                </c:pt>
                <c:pt idx="23" formatCode="_-* #,##0_-;\-* #,##0_-;_-* &quot;-&quot;_-;_-@_-">
                  <c:v>1375</c:v>
                </c:pt>
                <c:pt idx="24" formatCode="_-* #,##0_-;\-* #,##0_-;_-* &quot;-&quot;_-;_-@_-">
                  <c:v>1157</c:v>
                </c:pt>
                <c:pt idx="25" formatCode="_-* #,##0_-;\-* #,##0_-;_-* &quot;-&quot;_-;_-@_-">
                  <c:v>939</c:v>
                </c:pt>
                <c:pt idx="26" formatCode="_-* #,##0_-;\-* #,##0_-;_-* &quot;-&quot;_-;_-@_-">
                  <c:v>721</c:v>
                </c:pt>
                <c:pt idx="27" formatCode="_-* #,##0_-;\-* #,##0_-;_-* &quot;-&quot;_-;_-@_-">
                  <c:v>503</c:v>
                </c:pt>
                <c:pt idx="28" formatCode="_-* #,##0_-;\-* #,##0_-;_-* &quot;-&quot;_-;_-@_-">
                  <c:v>284</c:v>
                </c:pt>
              </c:numCache>
            </c:numRef>
          </c:val>
        </c:ser>
        <c:ser>
          <c:idx val="1"/>
          <c:order val="1"/>
          <c:tx>
            <c:v>최소</c:v>
          </c:tx>
          <c:spPr>
            <a:ln w="3175">
              <a:solidFill>
                <a:srgbClr val="FF00FF"/>
              </a:solidFill>
              <a:prstDash val="solid"/>
            </a:ln>
          </c:spPr>
          <c:marker>
            <c:symbol val="square"/>
            <c:size val="3"/>
            <c:spPr>
              <a:noFill/>
              <a:ln>
                <a:solidFill>
                  <a:srgbClr val="FF00FF"/>
                </a:solidFill>
                <a:prstDash val="solid"/>
              </a:ln>
            </c:spPr>
          </c:marker>
          <c:cat>
            <c:numRef>
              <c:f>삼화동10!$L$181:$AO$181</c:f>
              <c:numCache>
                <c:formatCode>General</c:formatCode>
                <c:ptCount val="30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  <c:pt idx="22">
                  <c:v>2019</c:v>
                </c:pt>
                <c:pt idx="23">
                  <c:v>2020</c:v>
                </c:pt>
                <c:pt idx="24">
                  <c:v>2021</c:v>
                </c:pt>
                <c:pt idx="25">
                  <c:v>2022</c:v>
                </c:pt>
                <c:pt idx="26">
                  <c:v>2023</c:v>
                </c:pt>
                <c:pt idx="27">
                  <c:v>2024</c:v>
                </c:pt>
                <c:pt idx="28">
                  <c:v>2025</c:v>
                </c:pt>
              </c:numCache>
            </c:numRef>
          </c:cat>
          <c:val>
            <c:numRef>
              <c:f>삼화동10!$L$183:$AN$183</c:f>
              <c:numCache>
                <c:formatCode>General</c:formatCode>
                <c:ptCount val="29"/>
                <c:pt idx="10" formatCode="_-* #,##0_-;\-* #,##0_-;_-* &quot;-&quot;_-;_-@_-">
                  <c:v>4212</c:v>
                </c:pt>
                <c:pt idx="11" formatCode="_-* #,##0_-;\-* #,##0_-;_-* &quot;-&quot;_-;_-@_-">
                  <c:v>3976</c:v>
                </c:pt>
                <c:pt idx="12" formatCode="_-* #,##0_-;\-* #,##0_-;_-* &quot;-&quot;_-;_-@_-">
                  <c:v>3762</c:v>
                </c:pt>
                <c:pt idx="13" formatCode="_-* #,##0_-;\-* #,##0_-;_-* &quot;-&quot;_-;_-@_-">
                  <c:v>3549</c:v>
                </c:pt>
                <c:pt idx="14" formatCode="_-* #,##0_-;\-* #,##0_-;_-* &quot;-&quot;_-;_-@_-">
                  <c:v>3335</c:v>
                </c:pt>
                <c:pt idx="15" formatCode="_-* #,##0_-;\-* #,##0_-;_-* &quot;-&quot;_-;_-@_-">
                  <c:v>3122</c:v>
                </c:pt>
                <c:pt idx="16" formatCode="_-* #,##0_-;\-* #,##0_-;_-* &quot;-&quot;_-;_-@_-">
                  <c:v>2908</c:v>
                </c:pt>
                <c:pt idx="17" formatCode="_-* #,##0_-;\-* #,##0_-;_-* &quot;-&quot;_-;_-@_-">
                  <c:v>2695</c:v>
                </c:pt>
                <c:pt idx="18" formatCode="_-* #,##0_-;\-* #,##0_-;_-* &quot;-&quot;_-;_-@_-">
                  <c:v>2481</c:v>
                </c:pt>
                <c:pt idx="19" formatCode="_-* #,##0_-;\-* #,##0_-;_-* &quot;-&quot;_-;_-@_-">
                  <c:v>2268</c:v>
                </c:pt>
                <c:pt idx="20" formatCode="_-* #,##0_-;\-* #,##0_-;_-* &quot;-&quot;_-;_-@_-">
                  <c:v>2054</c:v>
                </c:pt>
                <c:pt idx="21" formatCode="_-* #,##0_-;\-* #,##0_-;_-* &quot;-&quot;_-;_-@_-">
                  <c:v>1841</c:v>
                </c:pt>
                <c:pt idx="22" formatCode="_-* #,##0_-;\-* #,##0_-;_-* &quot;-&quot;_-;_-@_-">
                  <c:v>1628</c:v>
                </c:pt>
                <c:pt idx="23" formatCode="_-* #,##0_-;\-* #,##0_-;_-* &quot;-&quot;_-;_-@_-">
                  <c:v>1414</c:v>
                </c:pt>
                <c:pt idx="24" formatCode="_-* #,##0_-;\-* #,##0_-;_-* &quot;-&quot;_-;_-@_-">
                  <c:v>1201</c:v>
                </c:pt>
                <c:pt idx="25" formatCode="_-* #,##0_-;\-* #,##0_-;_-* &quot;-&quot;_-;_-@_-">
                  <c:v>987</c:v>
                </c:pt>
                <c:pt idx="26" formatCode="_-* #,##0_-;\-* #,##0_-;_-* &quot;-&quot;_-;_-@_-">
                  <c:v>774</c:v>
                </c:pt>
                <c:pt idx="27" formatCode="_-* #,##0_-;\-* #,##0_-;_-* &quot;-&quot;_-;_-@_-">
                  <c:v>560</c:v>
                </c:pt>
                <c:pt idx="28" formatCode="_-* #,##0_-;\-* #,##0_-;_-* &quot;-&quot;_-;_-@_-">
                  <c:v>347</c:v>
                </c:pt>
              </c:numCache>
            </c:numRef>
          </c:val>
        </c:ser>
        <c:ser>
          <c:idx val="4"/>
          <c:order val="2"/>
          <c:tx>
            <c:v>로지스틱</c:v>
          </c:tx>
          <c:spPr>
            <a:ln w="3175">
              <a:solidFill>
                <a:srgbClr val="800080"/>
              </a:solidFill>
              <a:prstDash val="solid"/>
            </a:ln>
          </c:spPr>
          <c:marker>
            <c:symbol val="circle"/>
            <c:size val="3"/>
            <c:spPr>
              <a:noFill/>
              <a:ln>
                <a:solidFill>
                  <a:srgbClr val="800080"/>
                </a:solidFill>
                <a:prstDash val="solid"/>
              </a:ln>
            </c:spPr>
          </c:marker>
          <c:cat>
            <c:numRef>
              <c:f>삼화동10!$L$181:$AO$181</c:f>
              <c:numCache>
                <c:formatCode>General</c:formatCode>
                <c:ptCount val="30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  <c:pt idx="22">
                  <c:v>2019</c:v>
                </c:pt>
                <c:pt idx="23">
                  <c:v>2020</c:v>
                </c:pt>
                <c:pt idx="24">
                  <c:v>2021</c:v>
                </c:pt>
                <c:pt idx="25">
                  <c:v>2022</c:v>
                </c:pt>
                <c:pt idx="26">
                  <c:v>2023</c:v>
                </c:pt>
                <c:pt idx="27">
                  <c:v>2024</c:v>
                </c:pt>
                <c:pt idx="28">
                  <c:v>2025</c:v>
                </c:pt>
              </c:numCache>
            </c:numRef>
          </c:cat>
          <c:val>
            <c:numRef>
              <c:f>삼화동10!$L$186:$AN$186</c:f>
              <c:numCache>
                <c:formatCode>General</c:formatCode>
                <c:ptCount val="29"/>
                <c:pt idx="10" formatCode="_-* #,##0_-;\-* #,##0_-;_-* &quot;-&quot;_-;_-@_-">
                  <c:v>4212</c:v>
                </c:pt>
                <c:pt idx="11" formatCode="_-* #,##0_-;\-* #,##0_-;_-* &quot;-&quot;_-;_-@_-">
                  <c:v>4020</c:v>
                </c:pt>
                <c:pt idx="12" formatCode="_-* #,##0_-;\-* #,##0_-;_-* &quot;-&quot;_-;_-@_-">
                  <c:v>3832</c:v>
                </c:pt>
                <c:pt idx="13" formatCode="_-* #,##0_-;\-* #,##0_-;_-* &quot;-&quot;_-;_-@_-">
                  <c:v>3648</c:v>
                </c:pt>
                <c:pt idx="14" formatCode="_-* #,##0_-;\-* #,##0_-;_-* &quot;-&quot;_-;_-@_-">
                  <c:v>3470</c:v>
                </c:pt>
                <c:pt idx="15" formatCode="_-* #,##0_-;\-* #,##0_-;_-* &quot;-&quot;_-;_-@_-">
                  <c:v>3298</c:v>
                </c:pt>
                <c:pt idx="16" formatCode="_-* #,##0_-;\-* #,##0_-;_-* &quot;-&quot;_-;_-@_-">
                  <c:v>3131</c:v>
                </c:pt>
                <c:pt idx="17" formatCode="_-* #,##0_-;\-* #,##0_-;_-* &quot;-&quot;_-;_-@_-">
                  <c:v>2970</c:v>
                </c:pt>
                <c:pt idx="18" formatCode="_-* #,##0_-;\-* #,##0_-;_-* &quot;-&quot;_-;_-@_-">
                  <c:v>2815</c:v>
                </c:pt>
                <c:pt idx="19" formatCode="_-* #,##0_-;\-* #,##0_-;_-* &quot;-&quot;_-;_-@_-">
                  <c:v>2666</c:v>
                </c:pt>
                <c:pt idx="20" formatCode="_-* #,##0_-;\-* #,##0_-;_-* &quot;-&quot;_-;_-@_-">
                  <c:v>2522</c:v>
                </c:pt>
                <c:pt idx="21" formatCode="_-* #,##0_-;\-* #,##0_-;_-* &quot;-&quot;_-;_-@_-">
                  <c:v>2385</c:v>
                </c:pt>
                <c:pt idx="22" formatCode="_-* #,##0_-;\-* #,##0_-;_-* &quot;-&quot;_-;_-@_-">
                  <c:v>2253</c:v>
                </c:pt>
                <c:pt idx="23" formatCode="_-* #,##0_-;\-* #,##0_-;_-* &quot;-&quot;_-;_-@_-">
                  <c:v>2128</c:v>
                </c:pt>
                <c:pt idx="24" formatCode="_-* #,##0_-;\-* #,##0_-;_-* &quot;-&quot;_-;_-@_-">
                  <c:v>2007</c:v>
                </c:pt>
                <c:pt idx="25" formatCode="_-* #,##0_-;\-* #,##0_-;_-* &quot;-&quot;_-;_-@_-">
                  <c:v>1893</c:v>
                </c:pt>
                <c:pt idx="26" formatCode="_-* #,##0_-;\-* #,##0_-;_-* &quot;-&quot;_-;_-@_-">
                  <c:v>1784</c:v>
                </c:pt>
                <c:pt idx="27" formatCode="_-* #,##0_-;\-* #,##0_-;_-* &quot;-&quot;_-;_-@_-">
                  <c:v>1680</c:v>
                </c:pt>
                <c:pt idx="28" formatCode="_-* #,##0_-;\-* #,##0_-;_-* &quot;-&quot;_-;_-@_-">
                  <c:v>1582</c:v>
                </c:pt>
              </c:numCache>
            </c:numRef>
          </c:val>
        </c:ser>
        <c:ser>
          <c:idx val="5"/>
          <c:order val="3"/>
          <c:tx>
            <c:v>평균(최대최소제외)</c:v>
          </c:tx>
          <c:spPr>
            <a:ln w="3175">
              <a:solidFill>
                <a:srgbClr val="800000"/>
              </a:solidFill>
              <a:prstDash val="sysDash"/>
            </a:ln>
          </c:spPr>
          <c:marker>
            <c:symbol val="circle"/>
            <c:size val="3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삼화동10!$L$181:$AO$181</c:f>
              <c:numCache>
                <c:formatCode>General</c:formatCode>
                <c:ptCount val="30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  <c:pt idx="22">
                  <c:v>2019</c:v>
                </c:pt>
                <c:pt idx="23">
                  <c:v>2020</c:v>
                </c:pt>
                <c:pt idx="24">
                  <c:v>2021</c:v>
                </c:pt>
                <c:pt idx="25">
                  <c:v>2022</c:v>
                </c:pt>
                <c:pt idx="26">
                  <c:v>2023</c:v>
                </c:pt>
                <c:pt idx="27">
                  <c:v>2024</c:v>
                </c:pt>
                <c:pt idx="28">
                  <c:v>2025</c:v>
                </c:pt>
              </c:numCache>
            </c:numRef>
          </c:cat>
          <c:val>
            <c:numRef>
              <c:f>삼화동10!$L$187:$AN$187</c:f>
              <c:numCache>
                <c:formatCode>General</c:formatCode>
                <c:ptCount val="29"/>
                <c:pt idx="10" formatCode="_-* #,##0_-;\-* #,##0_-;_-* &quot;-&quot;_-;_-@_-">
                  <c:v>4212</c:v>
                </c:pt>
                <c:pt idx="11" formatCode="_-* #,##0_-;\-* #,##0_-;_-* &quot;-&quot;_-;_-@_-">
                  <c:v>4007.5</c:v>
                </c:pt>
                <c:pt idx="12" formatCode="#,##0_ ">
                  <c:v>3811.3</c:v>
                </c:pt>
                <c:pt idx="13" formatCode="#,##0_ ">
                  <c:v>3617.5</c:v>
                </c:pt>
                <c:pt idx="14" formatCode="#,##0_ ">
                  <c:v>3470</c:v>
                </c:pt>
                <c:pt idx="15" formatCode="#,##0_ ">
                  <c:v>3298</c:v>
                </c:pt>
                <c:pt idx="16" formatCode="#,##0_ ">
                  <c:v>3131</c:v>
                </c:pt>
                <c:pt idx="17" formatCode="#,##0_ ">
                  <c:v>2970</c:v>
                </c:pt>
                <c:pt idx="18" formatCode="#,##0_ ">
                  <c:v>2815</c:v>
                </c:pt>
                <c:pt idx="19" formatCode="#,##0_ ">
                  <c:v>2666</c:v>
                </c:pt>
                <c:pt idx="20" formatCode="#,##0_ ">
                  <c:v>2522</c:v>
                </c:pt>
                <c:pt idx="21" formatCode="#,##0_ ">
                  <c:v>2385</c:v>
                </c:pt>
                <c:pt idx="22" formatCode="#,##0_ ">
                  <c:v>2253</c:v>
                </c:pt>
                <c:pt idx="23" formatCode="#,##0_ ">
                  <c:v>2128</c:v>
                </c:pt>
                <c:pt idx="24" formatCode="#,##0_ ">
                  <c:v>2007</c:v>
                </c:pt>
                <c:pt idx="25" formatCode="#,##0_ ">
                  <c:v>1893</c:v>
                </c:pt>
                <c:pt idx="26" formatCode="#,##0_ ">
                  <c:v>1784</c:v>
                </c:pt>
                <c:pt idx="27" formatCode="#,##0_ ">
                  <c:v>1680</c:v>
                </c:pt>
                <c:pt idx="28" formatCode="#,##0_ ">
                  <c:v>1582</c:v>
                </c:pt>
              </c:numCache>
            </c:numRef>
          </c:val>
        </c:ser>
        <c:ser>
          <c:idx val="6"/>
          <c:order val="4"/>
          <c:tx>
            <c:v>과거</c:v>
          </c:tx>
          <c:spPr>
            <a:ln w="12700">
              <a:solidFill>
                <a:srgbClr val="008080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008080"/>
                </a:solidFill>
                <a:prstDash val="solid"/>
              </a:ln>
            </c:spPr>
          </c:marker>
          <c:cat>
            <c:numRef>
              <c:f>삼화동10!$L$181:$AO$181</c:f>
              <c:numCache>
                <c:formatCode>General</c:formatCode>
                <c:ptCount val="30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  <c:pt idx="22">
                  <c:v>2019</c:v>
                </c:pt>
                <c:pt idx="23">
                  <c:v>2020</c:v>
                </c:pt>
                <c:pt idx="24">
                  <c:v>2021</c:v>
                </c:pt>
                <c:pt idx="25">
                  <c:v>2022</c:v>
                </c:pt>
                <c:pt idx="26">
                  <c:v>2023</c:v>
                </c:pt>
                <c:pt idx="27">
                  <c:v>2024</c:v>
                </c:pt>
                <c:pt idx="28">
                  <c:v>2025</c:v>
                </c:pt>
              </c:numCache>
            </c:numRef>
          </c:cat>
          <c:val>
            <c:numRef>
              <c:f>삼화동10!$L$179:$X$179</c:f>
              <c:numCache>
                <c:formatCode>_-* #,##0_-;\-* #,##0_-;_-* "-"_-;_-@_-</c:formatCode>
                <c:ptCount val="13"/>
                <c:pt idx="0">
                  <c:v>6394</c:v>
                </c:pt>
                <c:pt idx="1">
                  <c:v>6192</c:v>
                </c:pt>
                <c:pt idx="2">
                  <c:v>5927</c:v>
                </c:pt>
                <c:pt idx="3" formatCode="General">
                  <c:v>5619</c:v>
                </c:pt>
                <c:pt idx="4">
                  <c:v>5393</c:v>
                </c:pt>
                <c:pt idx="5" formatCode="General">
                  <c:v>5125</c:v>
                </c:pt>
                <c:pt idx="6">
                  <c:v>4944</c:v>
                </c:pt>
                <c:pt idx="7">
                  <c:v>4840</c:v>
                </c:pt>
                <c:pt idx="8">
                  <c:v>4706</c:v>
                </c:pt>
                <c:pt idx="9">
                  <c:v>4467</c:v>
                </c:pt>
                <c:pt idx="10">
                  <c:v>4212</c:v>
                </c:pt>
                <c:pt idx="11">
                  <c:v>3994</c:v>
                </c:pt>
              </c:numCache>
            </c:numRef>
          </c:val>
        </c:ser>
        <c:ser>
          <c:idx val="2"/>
          <c:order val="5"/>
          <c:tx>
            <c:v>등비</c:v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FF0000"/>
                </a:solidFill>
                <a:prstDash val="solid"/>
              </a:ln>
            </c:spPr>
          </c:marker>
          <c:val>
            <c:numRef>
              <c:f>삼화동10!$L$184:$AN$184</c:f>
              <c:numCache>
                <c:formatCode>General</c:formatCode>
                <c:ptCount val="29"/>
                <c:pt idx="10" formatCode="_-* #,##0_-;\-* #,##0_-;_-* &quot;-&quot;_-;_-@_-">
                  <c:v>4212</c:v>
                </c:pt>
                <c:pt idx="11" formatCode="_-* #,##0_-;\-* #,##0_-;_-* &quot;-&quot;_-;_-@_-">
                  <c:v>4040</c:v>
                </c:pt>
                <c:pt idx="12" formatCode="_-* #,##0_-;\-* #,##0_-;_-* &quot;-&quot;_-;_-@_-">
                  <c:v>3875</c:v>
                </c:pt>
                <c:pt idx="13" formatCode="_-* #,##0_-;\-* #,##0_-;_-* &quot;-&quot;_-;_-@_-">
                  <c:v>3716</c:v>
                </c:pt>
                <c:pt idx="14" formatCode="_-* #,##0_-;\-* #,##0_-;_-* &quot;-&quot;_-;_-@_-">
                  <c:v>3564</c:v>
                </c:pt>
                <c:pt idx="15" formatCode="_-* #,##0_-;\-* #,##0_-;_-* &quot;-&quot;_-;_-@_-">
                  <c:v>3419</c:v>
                </c:pt>
                <c:pt idx="16" formatCode="_-* #,##0_-;\-* #,##0_-;_-* &quot;-&quot;_-;_-@_-">
                  <c:v>3279</c:v>
                </c:pt>
                <c:pt idx="17" formatCode="_-* #,##0_-;\-* #,##0_-;_-* &quot;-&quot;_-;_-@_-">
                  <c:v>3145</c:v>
                </c:pt>
                <c:pt idx="18" formatCode="_-* #,##0_-;\-* #,##0_-;_-* &quot;-&quot;_-;_-@_-">
                  <c:v>3016</c:v>
                </c:pt>
                <c:pt idx="19" formatCode="_-* #,##0_-;\-* #,##0_-;_-* &quot;-&quot;_-;_-@_-">
                  <c:v>2893</c:v>
                </c:pt>
                <c:pt idx="20" formatCode="_-* #,##0_-;\-* #,##0_-;_-* &quot;-&quot;_-;_-@_-">
                  <c:v>2775</c:v>
                </c:pt>
                <c:pt idx="21" formatCode="_-* #,##0_-;\-* #,##0_-;_-* &quot;-&quot;_-;_-@_-">
                  <c:v>2661</c:v>
                </c:pt>
                <c:pt idx="22" formatCode="_-* #,##0_-;\-* #,##0_-;_-* &quot;-&quot;_-;_-@_-">
                  <c:v>2553</c:v>
                </c:pt>
                <c:pt idx="23" formatCode="_-* #,##0_-;\-* #,##0_-;_-* &quot;-&quot;_-;_-@_-">
                  <c:v>2448</c:v>
                </c:pt>
                <c:pt idx="24" formatCode="_-* #,##0_-;\-* #,##0_-;_-* &quot;-&quot;_-;_-@_-">
                  <c:v>2348</c:v>
                </c:pt>
                <c:pt idx="25" formatCode="_-* #,##0_-;\-* #,##0_-;_-* &quot;-&quot;_-;_-@_-">
                  <c:v>2252</c:v>
                </c:pt>
                <c:pt idx="26" formatCode="_-* #,##0_-;\-* #,##0_-;_-* &quot;-&quot;_-;_-@_-">
                  <c:v>2160</c:v>
                </c:pt>
                <c:pt idx="27" formatCode="_-* #,##0_-;\-* #,##0_-;_-* &quot;-&quot;_-;_-@_-">
                  <c:v>2072</c:v>
                </c:pt>
                <c:pt idx="28" formatCode="_-* #,##0_-;\-* #,##0_-;_-* &quot;-&quot;_-;_-@_-">
                  <c:v>1987</c:v>
                </c:pt>
              </c:numCache>
            </c:numRef>
          </c:val>
        </c:ser>
        <c:marker val="1"/>
        <c:axId val="132598016"/>
        <c:axId val="132625152"/>
      </c:lineChart>
      <c:catAx>
        <c:axId val="132598016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875" b="0" i="0" u="none" strike="noStrike" baseline="0">
                    <a:solidFill>
                      <a:srgbClr val="000000"/>
                    </a:solidFill>
                    <a:latin typeface="돋움"/>
                    <a:ea typeface="돋움"/>
                    <a:cs typeface="돋움"/>
                  </a:defRPr>
                </a:pPr>
                <a:r>
                  <a:rPr altLang="en-US"/>
                  <a:t>연도</a:t>
                </a:r>
              </a:p>
            </c:rich>
          </c:tx>
          <c:layout>
            <c:manualLayout>
              <c:xMode val="edge"/>
              <c:yMode val="edge"/>
              <c:x val="0.50000023539658589"/>
              <c:y val="0.82129357404468961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maj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돋움"/>
                <a:ea typeface="돋움"/>
                <a:cs typeface="돋움"/>
              </a:defRPr>
            </a:pPr>
            <a:endParaRPr lang="ko-KR"/>
          </a:p>
        </c:txPr>
        <c:crossAx val="132625152"/>
        <c:crosses val="autoZero"/>
        <c:auto val="1"/>
        <c:lblAlgn val="ctr"/>
        <c:lblOffset val="100"/>
        <c:tickLblSkip val="2"/>
        <c:tickMarkSkip val="1"/>
      </c:catAx>
      <c:valAx>
        <c:axId val="132625152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맑은 고딕"/>
                    <a:ea typeface="맑은 고딕"/>
                    <a:cs typeface="맑은 고딕"/>
                  </a:defRPr>
                </a:pPr>
                <a:r>
                  <a:rPr lang="ko-KR" altLang="en-US" sz="875" b="0" i="0" strike="noStrike">
                    <a:solidFill>
                      <a:srgbClr val="000000"/>
                    </a:solidFill>
                    <a:latin typeface="돋움"/>
                    <a:ea typeface="돋움"/>
                  </a:rPr>
                  <a:t>인구</a:t>
                </a:r>
                <a:r>
                  <a:rPr lang="en-US" altLang="ko-KR" sz="875" b="0" i="0" strike="noStrike">
                    <a:solidFill>
                      <a:srgbClr val="000000"/>
                    </a:solidFill>
                    <a:latin typeface="돋움"/>
                    <a:ea typeface="돋움"/>
                  </a:rPr>
                  <a:t>(</a:t>
                </a:r>
                <a:r>
                  <a:rPr lang="ko-KR" altLang="en-US" sz="875" b="0" i="0" strike="noStrike">
                    <a:solidFill>
                      <a:srgbClr val="000000"/>
                    </a:solidFill>
                    <a:latin typeface="돋움"/>
                    <a:ea typeface="돋움"/>
                  </a:rPr>
                  <a:t>명</a:t>
                </a:r>
                <a:r>
                  <a:rPr lang="en-US" altLang="ko-KR" sz="875" b="0" i="0" strike="noStrike">
                    <a:solidFill>
                      <a:srgbClr val="000000"/>
                    </a:solidFill>
                    <a:latin typeface="돋움"/>
                    <a:ea typeface="돋움"/>
                  </a:rPr>
                  <a:t>)</a:t>
                </a:r>
              </a:p>
            </c:rich>
          </c:tx>
          <c:layout>
            <c:manualLayout>
              <c:xMode val="edge"/>
              <c:yMode val="edge"/>
              <c:x val="2.6905829596412592E-2"/>
              <c:y val="0.38403081744059558"/>
            </c:manualLayout>
          </c:layout>
          <c:spPr>
            <a:noFill/>
            <a:ln w="25400">
              <a:noFill/>
            </a:ln>
          </c:spPr>
        </c:title>
        <c:numFmt formatCode="#,##0_ " sourceLinked="0"/>
        <c:maj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돋움"/>
                <a:ea typeface="돋움"/>
                <a:cs typeface="돋움"/>
              </a:defRPr>
            </a:pPr>
            <a:endParaRPr lang="ko-KR"/>
          </a:p>
        </c:txPr>
        <c:crossAx val="132598016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wMode val="edge"/>
          <c:hMode val="edge"/>
          <c:x val="0.13228711321398717"/>
          <c:y val="0.90114148278993644"/>
          <c:w val="0.92040417593540658"/>
          <c:h val="0.96197798469107765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돋움"/>
              <a:ea typeface="돋움"/>
              <a:cs typeface="돋움"/>
            </a:defRPr>
          </a:pPr>
          <a:endParaRPr lang="ko-KR"/>
        </a:p>
      </c:txPr>
    </c:legend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75" b="0" i="0" u="none" strike="noStrike" baseline="0">
          <a:solidFill>
            <a:srgbClr val="000000"/>
          </a:solidFill>
          <a:latin typeface="돋움"/>
          <a:ea typeface="돋움"/>
          <a:cs typeface="돋움"/>
        </a:defRPr>
      </a:pPr>
      <a:endParaRPr lang="ko-KR"/>
    </a:p>
  </c:txPr>
  <c:printSettings>
    <c:headerFooter alignWithMargins="0"/>
    <c:pageMargins b="1" l="0.75000000000000144" r="0.75000000000000144" t="1" header="0.5" footer="0.5"/>
    <c:pageSetup paperSize="9"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ko-KR"/>
  <c:chart>
    <c:title>
      <c:tx>
        <c:rich>
          <a:bodyPr/>
          <a:lstStyle/>
          <a:p>
            <a:pPr>
              <a:defRPr sz="1175" b="1" i="0" u="none" strike="noStrike" baseline="0">
                <a:solidFill>
                  <a:srgbClr val="000000"/>
                </a:solidFill>
                <a:latin typeface="돋움"/>
                <a:ea typeface="돋움"/>
                <a:cs typeface="돋움"/>
              </a:defRPr>
            </a:pPr>
            <a:r>
              <a:rPr altLang="en-US"/>
              <a:t>동해시 전체</a:t>
            </a:r>
          </a:p>
        </c:rich>
      </c:tx>
      <c:layout>
        <c:manualLayout>
          <c:xMode val="edge"/>
          <c:yMode val="edge"/>
          <c:x val="0.44618857620376007"/>
          <c:y val="2.8517110266159756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0426014675815599"/>
          <c:y val="9.3155980012012529E-2"/>
          <c:w val="0.830717943524659"/>
          <c:h val="0.67680671192400665"/>
        </c:manualLayout>
      </c:layout>
      <c:lineChart>
        <c:grouping val="standard"/>
        <c:ser>
          <c:idx val="0"/>
          <c:order val="0"/>
          <c:tx>
            <c:v>등차</c:v>
          </c:tx>
          <c:spPr>
            <a:ln w="3175">
              <a:solidFill>
                <a:srgbClr val="000080"/>
              </a:solidFill>
              <a:prstDash val="solid"/>
            </a:ln>
          </c:spPr>
          <c:marker>
            <c:symbol val="diamond"/>
            <c:size val="3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천곡동10!$L$181:$AO$181</c:f>
              <c:numCache>
                <c:formatCode>General</c:formatCode>
                <c:ptCount val="30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  <c:pt idx="22">
                  <c:v>2019</c:v>
                </c:pt>
                <c:pt idx="23">
                  <c:v>2020</c:v>
                </c:pt>
                <c:pt idx="24">
                  <c:v>2021</c:v>
                </c:pt>
                <c:pt idx="25">
                  <c:v>2022</c:v>
                </c:pt>
                <c:pt idx="26">
                  <c:v>2023</c:v>
                </c:pt>
                <c:pt idx="27">
                  <c:v>2024</c:v>
                </c:pt>
                <c:pt idx="28">
                  <c:v>2025</c:v>
                </c:pt>
                <c:pt idx="29">
                  <c:v>2026</c:v>
                </c:pt>
              </c:numCache>
            </c:numRef>
          </c:cat>
          <c:val>
            <c:numRef>
              <c:f>천곡동10!$L$182:$AN$182</c:f>
              <c:numCache>
                <c:formatCode>General</c:formatCode>
                <c:ptCount val="29"/>
                <c:pt idx="10" formatCode="_-* #,##0_-;\-* #,##0_-;_-* &quot;-&quot;_-;_-@_-">
                  <c:v>27323</c:v>
                </c:pt>
                <c:pt idx="11" formatCode="_-* #,##0_-;\-* #,##0_-;_-* &quot;-&quot;_-;_-@_-">
                  <c:v>27257</c:v>
                </c:pt>
                <c:pt idx="12" formatCode="_-* #,##0_-;\-* #,##0_-;_-* &quot;-&quot;_-;_-@_-">
                  <c:v>27190</c:v>
                </c:pt>
                <c:pt idx="13" formatCode="_-* #,##0_-;\-* #,##0_-;_-* &quot;-&quot;_-;_-@_-">
                  <c:v>27124</c:v>
                </c:pt>
                <c:pt idx="14" formatCode="_-* #,##0_-;\-* #,##0_-;_-* &quot;-&quot;_-;_-@_-">
                  <c:v>27058</c:v>
                </c:pt>
                <c:pt idx="15" formatCode="_-* #,##0_-;\-* #,##0_-;_-* &quot;-&quot;_-;_-@_-">
                  <c:v>26992</c:v>
                </c:pt>
                <c:pt idx="16" formatCode="_-* #,##0_-;\-* #,##0_-;_-* &quot;-&quot;_-;_-@_-">
                  <c:v>26925</c:v>
                </c:pt>
                <c:pt idx="17" formatCode="_-* #,##0_-;\-* #,##0_-;_-* &quot;-&quot;_-;_-@_-">
                  <c:v>26859</c:v>
                </c:pt>
                <c:pt idx="18" formatCode="_-* #,##0_-;\-* #,##0_-;_-* &quot;-&quot;_-;_-@_-">
                  <c:v>26793</c:v>
                </c:pt>
                <c:pt idx="19" formatCode="_-* #,##0_-;\-* #,##0_-;_-* &quot;-&quot;_-;_-@_-">
                  <c:v>26726</c:v>
                </c:pt>
                <c:pt idx="20" formatCode="_-* #,##0_-;\-* #,##0_-;_-* &quot;-&quot;_-;_-@_-">
                  <c:v>26660</c:v>
                </c:pt>
                <c:pt idx="21" formatCode="_-* #,##0_-;\-* #,##0_-;_-* &quot;-&quot;_-;_-@_-">
                  <c:v>26594</c:v>
                </c:pt>
                <c:pt idx="22" formatCode="_-* #,##0_-;\-* #,##0_-;_-* &quot;-&quot;_-;_-@_-">
                  <c:v>26527</c:v>
                </c:pt>
                <c:pt idx="23" formatCode="_-* #,##0_-;\-* #,##0_-;_-* &quot;-&quot;_-;_-@_-">
                  <c:v>26461</c:v>
                </c:pt>
                <c:pt idx="24" formatCode="_-* #,##0_-;\-* #,##0_-;_-* &quot;-&quot;_-;_-@_-">
                  <c:v>26395</c:v>
                </c:pt>
                <c:pt idx="25" formatCode="_-* #,##0_-;\-* #,##0_-;_-* &quot;-&quot;_-;_-@_-">
                  <c:v>26329</c:v>
                </c:pt>
                <c:pt idx="26" formatCode="_-* #,##0_-;\-* #,##0_-;_-* &quot;-&quot;_-;_-@_-">
                  <c:v>26262</c:v>
                </c:pt>
                <c:pt idx="27" formatCode="_-* #,##0_-;\-* #,##0_-;_-* &quot;-&quot;_-;_-@_-">
                  <c:v>26196</c:v>
                </c:pt>
                <c:pt idx="28" formatCode="_-* #,##0_-;\-* #,##0_-;_-* &quot;-&quot;_-;_-@_-">
                  <c:v>26130</c:v>
                </c:pt>
              </c:numCache>
            </c:numRef>
          </c:val>
        </c:ser>
        <c:ser>
          <c:idx val="1"/>
          <c:order val="1"/>
          <c:tx>
            <c:v>최소</c:v>
          </c:tx>
          <c:spPr>
            <a:ln w="3175">
              <a:solidFill>
                <a:srgbClr val="FF00FF"/>
              </a:solidFill>
              <a:prstDash val="solid"/>
            </a:ln>
          </c:spPr>
          <c:marker>
            <c:symbol val="square"/>
            <c:size val="3"/>
            <c:spPr>
              <a:noFill/>
              <a:ln>
                <a:solidFill>
                  <a:srgbClr val="FF00FF"/>
                </a:solidFill>
                <a:prstDash val="solid"/>
              </a:ln>
            </c:spPr>
          </c:marker>
          <c:cat>
            <c:numRef>
              <c:f>천곡동10!$L$181:$AO$181</c:f>
              <c:numCache>
                <c:formatCode>General</c:formatCode>
                <c:ptCount val="30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  <c:pt idx="22">
                  <c:v>2019</c:v>
                </c:pt>
                <c:pt idx="23">
                  <c:v>2020</c:v>
                </c:pt>
                <c:pt idx="24">
                  <c:v>2021</c:v>
                </c:pt>
                <c:pt idx="25">
                  <c:v>2022</c:v>
                </c:pt>
                <c:pt idx="26">
                  <c:v>2023</c:v>
                </c:pt>
                <c:pt idx="27">
                  <c:v>2024</c:v>
                </c:pt>
                <c:pt idx="28">
                  <c:v>2025</c:v>
                </c:pt>
                <c:pt idx="29">
                  <c:v>2026</c:v>
                </c:pt>
              </c:numCache>
            </c:numRef>
          </c:cat>
          <c:val>
            <c:numRef>
              <c:f>천곡동10!$L$183:$AN$183</c:f>
              <c:numCache>
                <c:formatCode>General</c:formatCode>
                <c:ptCount val="29"/>
                <c:pt idx="10" formatCode="_-* #,##0_-;\-* #,##0_-;_-* &quot;-&quot;_-;_-@_-">
                  <c:v>27323</c:v>
                </c:pt>
                <c:pt idx="11" formatCode="_-* #,##0_-;\-* #,##0_-;_-* &quot;-&quot;_-;_-@_-">
                  <c:v>26868</c:v>
                </c:pt>
                <c:pt idx="12" formatCode="_-* #,##0_-;\-* #,##0_-;_-* &quot;-&quot;_-;_-@_-">
                  <c:v>26779</c:v>
                </c:pt>
                <c:pt idx="13" formatCode="_-* #,##0_-;\-* #,##0_-;_-* &quot;-&quot;_-;_-@_-">
                  <c:v>26691</c:v>
                </c:pt>
                <c:pt idx="14" formatCode="_-* #,##0_-;\-* #,##0_-;_-* &quot;-&quot;_-;_-@_-">
                  <c:v>26602</c:v>
                </c:pt>
                <c:pt idx="15" formatCode="_-* #,##0_-;\-* #,##0_-;_-* &quot;-&quot;_-;_-@_-">
                  <c:v>26514</c:v>
                </c:pt>
                <c:pt idx="16" formatCode="_-* #,##0_-;\-* #,##0_-;_-* &quot;-&quot;_-;_-@_-">
                  <c:v>26426</c:v>
                </c:pt>
                <c:pt idx="17" formatCode="_-* #,##0_-;\-* #,##0_-;_-* &quot;-&quot;_-;_-@_-">
                  <c:v>26337</c:v>
                </c:pt>
                <c:pt idx="18" formatCode="_-* #,##0_-;\-* #,##0_-;_-* &quot;-&quot;_-;_-@_-">
                  <c:v>26249</c:v>
                </c:pt>
                <c:pt idx="19" formatCode="_-* #,##0_-;\-* #,##0_-;_-* &quot;-&quot;_-;_-@_-">
                  <c:v>26161</c:v>
                </c:pt>
                <c:pt idx="20" formatCode="_-* #,##0_-;\-* #,##0_-;_-* &quot;-&quot;_-;_-@_-">
                  <c:v>26072</c:v>
                </c:pt>
                <c:pt idx="21" formatCode="_-* #,##0_-;\-* #,##0_-;_-* &quot;-&quot;_-;_-@_-">
                  <c:v>25984</c:v>
                </c:pt>
                <c:pt idx="22" formatCode="_-* #,##0_-;\-* #,##0_-;_-* &quot;-&quot;_-;_-@_-">
                  <c:v>25895</c:v>
                </c:pt>
                <c:pt idx="23" formatCode="_-* #,##0_-;\-* #,##0_-;_-* &quot;-&quot;_-;_-@_-">
                  <c:v>25807</c:v>
                </c:pt>
                <c:pt idx="24" formatCode="_-* #,##0_-;\-* #,##0_-;_-* &quot;-&quot;_-;_-@_-">
                  <c:v>25719</c:v>
                </c:pt>
                <c:pt idx="25" formatCode="_-* #,##0_-;\-* #,##0_-;_-* &quot;-&quot;_-;_-@_-">
                  <c:v>25630</c:v>
                </c:pt>
                <c:pt idx="26" formatCode="_-* #,##0_-;\-* #,##0_-;_-* &quot;-&quot;_-;_-@_-">
                  <c:v>25542</c:v>
                </c:pt>
                <c:pt idx="27" formatCode="_-* #,##0_-;\-* #,##0_-;_-* &quot;-&quot;_-;_-@_-">
                  <c:v>25454</c:v>
                </c:pt>
                <c:pt idx="28" formatCode="_-* #,##0_-;\-* #,##0_-;_-* &quot;-&quot;_-;_-@_-">
                  <c:v>25365</c:v>
                </c:pt>
              </c:numCache>
            </c:numRef>
          </c:val>
        </c:ser>
        <c:ser>
          <c:idx val="4"/>
          <c:order val="2"/>
          <c:tx>
            <c:v>로지스틱</c:v>
          </c:tx>
          <c:spPr>
            <a:ln w="3175">
              <a:solidFill>
                <a:srgbClr val="800080"/>
              </a:solidFill>
              <a:prstDash val="solid"/>
            </a:ln>
          </c:spPr>
          <c:marker>
            <c:symbol val="circle"/>
            <c:size val="3"/>
            <c:spPr>
              <a:noFill/>
              <a:ln>
                <a:solidFill>
                  <a:srgbClr val="800080"/>
                </a:solidFill>
                <a:prstDash val="solid"/>
              </a:ln>
            </c:spPr>
          </c:marker>
          <c:cat>
            <c:numRef>
              <c:f>천곡동10!$L$181:$AO$181</c:f>
              <c:numCache>
                <c:formatCode>General</c:formatCode>
                <c:ptCount val="30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  <c:pt idx="22">
                  <c:v>2019</c:v>
                </c:pt>
                <c:pt idx="23">
                  <c:v>2020</c:v>
                </c:pt>
                <c:pt idx="24">
                  <c:v>2021</c:v>
                </c:pt>
                <c:pt idx="25">
                  <c:v>2022</c:v>
                </c:pt>
                <c:pt idx="26">
                  <c:v>2023</c:v>
                </c:pt>
                <c:pt idx="27">
                  <c:v>2024</c:v>
                </c:pt>
                <c:pt idx="28">
                  <c:v>2025</c:v>
                </c:pt>
                <c:pt idx="29">
                  <c:v>2026</c:v>
                </c:pt>
              </c:numCache>
            </c:numRef>
          </c:cat>
          <c:val>
            <c:numRef>
              <c:f>천곡동10!$L$186:$AN$186</c:f>
              <c:numCache>
                <c:formatCode>General</c:formatCode>
                <c:ptCount val="29"/>
                <c:pt idx="10" formatCode="_-* #,##0_-;\-* #,##0_-;_-* &quot;-&quot;_-;_-@_-">
                  <c:v>27323</c:v>
                </c:pt>
                <c:pt idx="11" formatCode="_-* #,##0_-;\-* #,##0_-;_-* &quot;-&quot;_-;_-@_-">
                  <c:v>26868</c:v>
                </c:pt>
                <c:pt idx="12" formatCode="_-* #,##0_-;\-* #,##0_-;_-* &quot;-&quot;_-;_-@_-">
                  <c:v>26780</c:v>
                </c:pt>
                <c:pt idx="13" formatCode="_-* #,##0_-;\-* #,##0_-;_-* &quot;-&quot;_-;_-@_-">
                  <c:v>26691</c:v>
                </c:pt>
                <c:pt idx="14" formatCode="_-* #,##0_-;\-* #,##0_-;_-* &quot;-&quot;_-;_-@_-">
                  <c:v>26603</c:v>
                </c:pt>
                <c:pt idx="15" formatCode="_-* #,##0_-;\-* #,##0_-;_-* &quot;-&quot;_-;_-@_-">
                  <c:v>26515</c:v>
                </c:pt>
                <c:pt idx="16" formatCode="_-* #,##0_-;\-* #,##0_-;_-* &quot;-&quot;_-;_-@_-">
                  <c:v>26427</c:v>
                </c:pt>
                <c:pt idx="17" formatCode="_-* #,##0_-;\-* #,##0_-;_-* &quot;-&quot;_-;_-@_-">
                  <c:v>26339</c:v>
                </c:pt>
                <c:pt idx="18" formatCode="_-* #,##0_-;\-* #,##0_-;_-* &quot;-&quot;_-;_-@_-">
                  <c:v>26251</c:v>
                </c:pt>
                <c:pt idx="19" formatCode="_-* #,##0_-;\-* #,##0_-;_-* &quot;-&quot;_-;_-@_-">
                  <c:v>26163</c:v>
                </c:pt>
                <c:pt idx="20" formatCode="_-* #,##0_-;\-* #,##0_-;_-* &quot;-&quot;_-;_-@_-">
                  <c:v>26075</c:v>
                </c:pt>
                <c:pt idx="21" formatCode="_-* #,##0_-;\-* #,##0_-;_-* &quot;-&quot;_-;_-@_-">
                  <c:v>25987</c:v>
                </c:pt>
                <c:pt idx="22" formatCode="_-* #,##0_-;\-* #,##0_-;_-* &quot;-&quot;_-;_-@_-">
                  <c:v>25899</c:v>
                </c:pt>
                <c:pt idx="23" formatCode="_-* #,##0_-;\-* #,##0_-;_-* &quot;-&quot;_-;_-@_-">
                  <c:v>25811</c:v>
                </c:pt>
                <c:pt idx="24" formatCode="_-* #,##0_-;\-* #,##0_-;_-* &quot;-&quot;_-;_-@_-">
                  <c:v>25723</c:v>
                </c:pt>
                <c:pt idx="25" formatCode="_-* #,##0_-;\-* #,##0_-;_-* &quot;-&quot;_-;_-@_-">
                  <c:v>25636</c:v>
                </c:pt>
                <c:pt idx="26" formatCode="_-* #,##0_-;\-* #,##0_-;_-* &quot;-&quot;_-;_-@_-">
                  <c:v>25548</c:v>
                </c:pt>
                <c:pt idx="27" formatCode="_-* #,##0_-;\-* #,##0_-;_-* &quot;-&quot;_-;_-@_-">
                  <c:v>25460</c:v>
                </c:pt>
                <c:pt idx="28" formatCode="_-* #,##0_-;\-* #,##0_-;_-* &quot;-&quot;_-;_-@_-">
                  <c:v>25373</c:v>
                </c:pt>
              </c:numCache>
            </c:numRef>
          </c:val>
        </c:ser>
        <c:ser>
          <c:idx val="5"/>
          <c:order val="3"/>
          <c:tx>
            <c:v>평균(최대최소제외)</c:v>
          </c:tx>
          <c:spPr>
            <a:ln w="3175">
              <a:solidFill>
                <a:srgbClr val="800000"/>
              </a:solidFill>
              <a:prstDash val="sysDash"/>
            </a:ln>
          </c:spPr>
          <c:marker>
            <c:symbol val="circle"/>
            <c:size val="3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천곡동10!$L$181:$AO$181</c:f>
              <c:numCache>
                <c:formatCode>General</c:formatCode>
                <c:ptCount val="30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  <c:pt idx="22">
                  <c:v>2019</c:v>
                </c:pt>
                <c:pt idx="23">
                  <c:v>2020</c:v>
                </c:pt>
                <c:pt idx="24">
                  <c:v>2021</c:v>
                </c:pt>
                <c:pt idx="25">
                  <c:v>2022</c:v>
                </c:pt>
                <c:pt idx="26">
                  <c:v>2023</c:v>
                </c:pt>
                <c:pt idx="27">
                  <c:v>2024</c:v>
                </c:pt>
                <c:pt idx="28">
                  <c:v>2025</c:v>
                </c:pt>
                <c:pt idx="29">
                  <c:v>2026</c:v>
                </c:pt>
              </c:numCache>
            </c:numRef>
          </c:cat>
          <c:val>
            <c:numRef>
              <c:f>천곡동10!$L$187:$AN$187</c:f>
              <c:numCache>
                <c:formatCode>General</c:formatCode>
                <c:ptCount val="29"/>
                <c:pt idx="10" formatCode="_-* #,##0_-;\-* #,##0_-;_-* &quot;-&quot;_-;_-@_-">
                  <c:v>27323</c:v>
                </c:pt>
                <c:pt idx="11" formatCode="_-* #,##0_-;\-* #,##0_-;_-* &quot;-&quot;_-;_-@_-">
                  <c:v>27063</c:v>
                </c:pt>
                <c:pt idx="12" formatCode="#,##0_ ">
                  <c:v>26985.8</c:v>
                </c:pt>
                <c:pt idx="13" formatCode="#,##0_ ">
                  <c:v>26908.799999999999</c:v>
                </c:pt>
                <c:pt idx="14" formatCode="#,##0_ ">
                  <c:v>26603</c:v>
                </c:pt>
                <c:pt idx="15" formatCode="#,##0_ ">
                  <c:v>26515</c:v>
                </c:pt>
                <c:pt idx="16" formatCode="#,##0_ ">
                  <c:v>26427</c:v>
                </c:pt>
                <c:pt idx="17" formatCode="#,##0_ ">
                  <c:v>26339</c:v>
                </c:pt>
                <c:pt idx="18" formatCode="#,##0_ ">
                  <c:v>26251</c:v>
                </c:pt>
                <c:pt idx="19" formatCode="#,##0_ ">
                  <c:v>26163</c:v>
                </c:pt>
                <c:pt idx="20" formatCode="#,##0_ ">
                  <c:v>26075</c:v>
                </c:pt>
                <c:pt idx="21" formatCode="#,##0_ ">
                  <c:v>25987</c:v>
                </c:pt>
                <c:pt idx="22" formatCode="#,##0_ ">
                  <c:v>25899</c:v>
                </c:pt>
                <c:pt idx="23" formatCode="#,##0_ ">
                  <c:v>25811</c:v>
                </c:pt>
                <c:pt idx="24" formatCode="#,##0_ ">
                  <c:v>25723</c:v>
                </c:pt>
                <c:pt idx="25" formatCode="#,##0_ ">
                  <c:v>25636</c:v>
                </c:pt>
                <c:pt idx="26" formatCode="#,##0_ ">
                  <c:v>25548</c:v>
                </c:pt>
                <c:pt idx="27" formatCode="#,##0_ ">
                  <c:v>25460</c:v>
                </c:pt>
                <c:pt idx="28" formatCode="#,##0_ ">
                  <c:v>25373</c:v>
                </c:pt>
              </c:numCache>
            </c:numRef>
          </c:val>
        </c:ser>
        <c:ser>
          <c:idx val="6"/>
          <c:order val="4"/>
          <c:tx>
            <c:v>과거</c:v>
          </c:tx>
          <c:spPr>
            <a:ln w="12700">
              <a:solidFill>
                <a:srgbClr val="008080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008080"/>
                </a:solidFill>
                <a:prstDash val="solid"/>
              </a:ln>
            </c:spPr>
          </c:marker>
          <c:cat>
            <c:numRef>
              <c:f>천곡동10!$L$181:$AO$181</c:f>
              <c:numCache>
                <c:formatCode>General</c:formatCode>
                <c:ptCount val="30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  <c:pt idx="22">
                  <c:v>2019</c:v>
                </c:pt>
                <c:pt idx="23">
                  <c:v>2020</c:v>
                </c:pt>
                <c:pt idx="24">
                  <c:v>2021</c:v>
                </c:pt>
                <c:pt idx="25">
                  <c:v>2022</c:v>
                </c:pt>
                <c:pt idx="26">
                  <c:v>2023</c:v>
                </c:pt>
                <c:pt idx="27">
                  <c:v>2024</c:v>
                </c:pt>
                <c:pt idx="28">
                  <c:v>2025</c:v>
                </c:pt>
                <c:pt idx="29">
                  <c:v>2026</c:v>
                </c:pt>
              </c:numCache>
            </c:numRef>
          </c:cat>
          <c:val>
            <c:numRef>
              <c:f>천곡동10!$L$179:$X$179</c:f>
              <c:numCache>
                <c:formatCode>_-* #,##0_-;\-* #,##0_-;_-* "-"_-;_-@_-</c:formatCode>
                <c:ptCount val="13"/>
                <c:pt idx="0">
                  <c:v>27986</c:v>
                </c:pt>
                <c:pt idx="1">
                  <c:v>28065</c:v>
                </c:pt>
                <c:pt idx="2">
                  <c:v>27645</c:v>
                </c:pt>
                <c:pt idx="3" formatCode="General">
                  <c:v>27936</c:v>
                </c:pt>
                <c:pt idx="4">
                  <c:v>27280</c:v>
                </c:pt>
                <c:pt idx="5" formatCode="General">
                  <c:v>26476</c:v>
                </c:pt>
                <c:pt idx="6">
                  <c:v>27113</c:v>
                </c:pt>
                <c:pt idx="7">
                  <c:v>27168</c:v>
                </c:pt>
                <c:pt idx="8">
                  <c:v>27044</c:v>
                </c:pt>
                <c:pt idx="9">
                  <c:v>27340</c:v>
                </c:pt>
                <c:pt idx="10">
                  <c:v>27323</c:v>
                </c:pt>
                <c:pt idx="11">
                  <c:v>27257</c:v>
                </c:pt>
              </c:numCache>
            </c:numRef>
          </c:val>
        </c:ser>
        <c:ser>
          <c:idx val="2"/>
          <c:order val="5"/>
          <c:tx>
            <c:v>등비</c:v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FF0000"/>
                </a:solidFill>
                <a:prstDash val="solid"/>
              </a:ln>
            </c:spPr>
          </c:marker>
          <c:val>
            <c:numRef>
              <c:f>천곡동10!$L$184:$AN$184</c:f>
              <c:numCache>
                <c:formatCode>General</c:formatCode>
                <c:ptCount val="29"/>
                <c:pt idx="10" formatCode="_-* #,##0_-;\-* #,##0_-;_-* &quot;-&quot;_-;_-@_-">
                  <c:v>27323</c:v>
                </c:pt>
                <c:pt idx="11" formatCode="_-* #,##0_-;\-* #,##0_-;_-* &quot;-&quot;_-;_-@_-">
                  <c:v>27259</c:v>
                </c:pt>
                <c:pt idx="12" formatCode="_-* #,##0_-;\-* #,##0_-;_-* &quot;-&quot;_-;_-@_-">
                  <c:v>27194</c:v>
                </c:pt>
                <c:pt idx="13" formatCode="_-* #,##0_-;\-* #,##0_-;_-* &quot;-&quot;_-;_-@_-">
                  <c:v>27129</c:v>
                </c:pt>
                <c:pt idx="14" formatCode="_-* #,##0_-;\-* #,##0_-;_-* &quot;-&quot;_-;_-@_-">
                  <c:v>27064</c:v>
                </c:pt>
                <c:pt idx="15" formatCode="_-* #,##0_-;\-* #,##0_-;_-* &quot;-&quot;_-;_-@_-">
                  <c:v>26999</c:v>
                </c:pt>
                <c:pt idx="16" formatCode="_-* #,##0_-;\-* #,##0_-;_-* &quot;-&quot;_-;_-@_-">
                  <c:v>26935</c:v>
                </c:pt>
                <c:pt idx="17" formatCode="_-* #,##0_-;\-* #,##0_-;_-* &quot;-&quot;_-;_-@_-">
                  <c:v>26870</c:v>
                </c:pt>
                <c:pt idx="18" formatCode="_-* #,##0_-;\-* #,##0_-;_-* &quot;-&quot;_-;_-@_-">
                  <c:v>26806</c:v>
                </c:pt>
                <c:pt idx="19" formatCode="_-* #,##0_-;\-* #,##0_-;_-* &quot;-&quot;_-;_-@_-">
                  <c:v>26742</c:v>
                </c:pt>
                <c:pt idx="20" formatCode="_-* #,##0_-;\-* #,##0_-;_-* &quot;-&quot;_-;_-@_-">
                  <c:v>26678</c:v>
                </c:pt>
                <c:pt idx="21" formatCode="_-* #,##0_-;\-* #,##0_-;_-* &quot;-&quot;_-;_-@_-">
                  <c:v>26614</c:v>
                </c:pt>
                <c:pt idx="22" formatCode="_-* #,##0_-;\-* #,##0_-;_-* &quot;-&quot;_-;_-@_-">
                  <c:v>26551</c:v>
                </c:pt>
                <c:pt idx="23" formatCode="_-* #,##0_-;\-* #,##0_-;_-* &quot;-&quot;_-;_-@_-">
                  <c:v>26487</c:v>
                </c:pt>
                <c:pt idx="24" formatCode="_-* #,##0_-;\-* #,##0_-;_-* &quot;-&quot;_-;_-@_-">
                  <c:v>26424</c:v>
                </c:pt>
                <c:pt idx="25" formatCode="_-* #,##0_-;\-* #,##0_-;_-* &quot;-&quot;_-;_-@_-">
                  <c:v>26361</c:v>
                </c:pt>
                <c:pt idx="26" formatCode="_-* #,##0_-;\-* #,##0_-;_-* &quot;-&quot;_-;_-@_-">
                  <c:v>26298</c:v>
                </c:pt>
                <c:pt idx="27" formatCode="_-* #,##0_-;\-* #,##0_-;_-* &quot;-&quot;_-;_-@_-">
                  <c:v>26235</c:v>
                </c:pt>
                <c:pt idx="28" formatCode="_-* #,##0_-;\-* #,##0_-;_-* &quot;-&quot;_-;_-@_-">
                  <c:v>26172</c:v>
                </c:pt>
              </c:numCache>
            </c:numRef>
          </c:val>
        </c:ser>
        <c:marker val="1"/>
        <c:axId val="128025728"/>
        <c:axId val="128028032"/>
      </c:lineChart>
      <c:catAx>
        <c:axId val="128025728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875" b="0" i="0" u="none" strike="noStrike" baseline="0">
                    <a:solidFill>
                      <a:srgbClr val="000000"/>
                    </a:solidFill>
                    <a:latin typeface="돋움"/>
                    <a:ea typeface="돋움"/>
                    <a:cs typeface="돋움"/>
                  </a:defRPr>
                </a:pPr>
                <a:r>
                  <a:rPr altLang="en-US"/>
                  <a:t>연도</a:t>
                </a:r>
              </a:p>
            </c:rich>
          </c:tx>
          <c:layout>
            <c:manualLayout>
              <c:xMode val="edge"/>
              <c:yMode val="edge"/>
              <c:x val="0.50336346409613442"/>
              <c:y val="0.82129357404468961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maj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돋움"/>
                <a:ea typeface="돋움"/>
                <a:cs typeface="돋움"/>
              </a:defRPr>
            </a:pPr>
            <a:endParaRPr lang="ko-KR"/>
          </a:p>
        </c:txPr>
        <c:crossAx val="128028032"/>
        <c:crosses val="autoZero"/>
        <c:auto val="1"/>
        <c:lblAlgn val="ctr"/>
        <c:lblOffset val="100"/>
        <c:tickLblSkip val="2"/>
        <c:tickMarkSkip val="1"/>
      </c:catAx>
      <c:valAx>
        <c:axId val="128028032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맑은 고딕"/>
                    <a:ea typeface="맑은 고딕"/>
                    <a:cs typeface="맑은 고딕"/>
                  </a:defRPr>
                </a:pPr>
                <a:r>
                  <a:rPr lang="ko-KR" altLang="en-US" sz="875" b="0" i="0" strike="noStrike">
                    <a:solidFill>
                      <a:srgbClr val="000000"/>
                    </a:solidFill>
                    <a:latin typeface="돋움"/>
                    <a:ea typeface="돋움"/>
                  </a:rPr>
                  <a:t>인구</a:t>
                </a:r>
                <a:r>
                  <a:rPr lang="en-US" altLang="ko-KR" sz="875" b="0" i="0" strike="noStrike">
                    <a:solidFill>
                      <a:srgbClr val="000000"/>
                    </a:solidFill>
                    <a:latin typeface="돋움"/>
                    <a:ea typeface="돋움"/>
                  </a:rPr>
                  <a:t>(</a:t>
                </a:r>
                <a:r>
                  <a:rPr lang="ko-KR" altLang="en-US" sz="875" b="0" i="0" strike="noStrike">
                    <a:solidFill>
                      <a:srgbClr val="000000"/>
                    </a:solidFill>
                    <a:latin typeface="돋움"/>
                    <a:ea typeface="돋움"/>
                  </a:rPr>
                  <a:t>명</a:t>
                </a:r>
                <a:r>
                  <a:rPr lang="en-US" altLang="ko-KR" sz="875" b="0" i="0" strike="noStrike">
                    <a:solidFill>
                      <a:srgbClr val="000000"/>
                    </a:solidFill>
                    <a:latin typeface="돋움"/>
                    <a:ea typeface="돋움"/>
                  </a:rPr>
                  <a:t>)</a:t>
                </a:r>
              </a:p>
            </c:rich>
          </c:tx>
          <c:layout>
            <c:manualLayout>
              <c:xMode val="edge"/>
              <c:yMode val="edge"/>
              <c:x val="2.6905829596412592E-2"/>
              <c:y val="0.38403081744059558"/>
            </c:manualLayout>
          </c:layout>
          <c:spPr>
            <a:noFill/>
            <a:ln w="25400">
              <a:noFill/>
            </a:ln>
          </c:spPr>
        </c:title>
        <c:numFmt formatCode="#,##0_ " sourceLinked="0"/>
        <c:maj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돋움"/>
                <a:ea typeface="돋움"/>
                <a:cs typeface="돋움"/>
              </a:defRPr>
            </a:pPr>
            <a:endParaRPr lang="ko-KR"/>
          </a:p>
        </c:txPr>
        <c:crossAx val="128025728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wMode val="edge"/>
          <c:hMode val="edge"/>
          <c:x val="0.13004496074761954"/>
          <c:y val="0.90114148278993644"/>
          <c:w val="0.91816202346903941"/>
          <c:h val="0.96197798469107765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돋움"/>
              <a:ea typeface="돋움"/>
              <a:cs typeface="돋움"/>
            </a:defRPr>
          </a:pPr>
          <a:endParaRPr lang="ko-KR"/>
        </a:p>
      </c:txPr>
    </c:legend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75" b="0" i="0" u="none" strike="noStrike" baseline="0">
          <a:solidFill>
            <a:srgbClr val="000000"/>
          </a:solidFill>
          <a:latin typeface="돋움"/>
          <a:ea typeface="돋움"/>
          <a:cs typeface="돋움"/>
        </a:defRPr>
      </a:pPr>
      <a:endParaRPr lang="ko-KR"/>
    </a:p>
  </c:txPr>
  <c:printSettings>
    <c:headerFooter alignWithMargins="0"/>
    <c:pageMargins b="1" l="0.75000000000000144" r="0.75000000000000144" t="1" header="0.5" footer="0.5"/>
    <c:pageSetup paperSize="9" orientation="landscape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ko-KR"/>
  <c:chart>
    <c:title>
      <c:tx>
        <c:rich>
          <a:bodyPr/>
          <a:lstStyle/>
          <a:p>
            <a:pPr>
              <a:defRPr sz="1175" b="1" i="0" u="none" strike="noStrike" baseline="0">
                <a:solidFill>
                  <a:srgbClr val="000000"/>
                </a:solidFill>
                <a:latin typeface="돋움"/>
                <a:ea typeface="돋움"/>
                <a:cs typeface="돋움"/>
              </a:defRPr>
            </a:pPr>
            <a:r>
              <a:rPr altLang="en-US"/>
              <a:t>삼화동</a:t>
            </a:r>
          </a:p>
        </c:rich>
      </c:tx>
      <c:layout>
        <c:manualLayout>
          <c:xMode val="edge"/>
          <c:yMode val="edge"/>
          <c:x val="0.46861010086743682"/>
          <c:y val="2.8517110266159756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9.7533685676984214E-2"/>
          <c:y val="9.1254837562787627E-2"/>
          <c:w val="0.83744440460583214"/>
          <c:h val="0.67680671192400665"/>
        </c:manualLayout>
      </c:layout>
      <c:lineChart>
        <c:grouping val="standard"/>
        <c:ser>
          <c:idx val="0"/>
          <c:order val="0"/>
          <c:tx>
            <c:v>등차</c:v>
          </c:tx>
          <c:spPr>
            <a:ln w="3175">
              <a:solidFill>
                <a:srgbClr val="000080"/>
              </a:solidFill>
              <a:prstDash val="solid"/>
            </a:ln>
          </c:spPr>
          <c:marker>
            <c:symbol val="diamond"/>
            <c:size val="3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삼화동5!$L$156:$AI$156</c:f>
              <c:numCache>
                <c:formatCode>General</c:formatCode>
                <c:ptCount val="24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  <c:pt idx="14">
                  <c:v>2016</c:v>
                </c:pt>
                <c:pt idx="15">
                  <c:v>2017</c:v>
                </c:pt>
                <c:pt idx="16">
                  <c:v>2018</c:v>
                </c:pt>
                <c:pt idx="17">
                  <c:v>2019</c:v>
                </c:pt>
                <c:pt idx="18">
                  <c:v>2020</c:v>
                </c:pt>
                <c:pt idx="19">
                  <c:v>2021</c:v>
                </c:pt>
                <c:pt idx="20">
                  <c:v>2022</c:v>
                </c:pt>
                <c:pt idx="21">
                  <c:v>2023</c:v>
                </c:pt>
                <c:pt idx="22">
                  <c:v>2024</c:v>
                </c:pt>
                <c:pt idx="23">
                  <c:v>2025</c:v>
                </c:pt>
              </c:numCache>
            </c:numRef>
          </c:cat>
          <c:val>
            <c:numRef>
              <c:f>삼화동5!$L$157:$AN$157</c:f>
              <c:numCache>
                <c:formatCode>General</c:formatCode>
                <c:ptCount val="29"/>
                <c:pt idx="5">
                  <c:v>4212</c:v>
                </c:pt>
                <c:pt idx="6" formatCode="_-* #,##0_-;\-* #,##0_-;_-* &quot;-&quot;_-;_-@_-">
                  <c:v>4029</c:v>
                </c:pt>
                <c:pt idx="7" formatCode="_-* #,##0_-;\-* #,##0_-;_-* &quot;-&quot;_-;_-@_-">
                  <c:v>3847</c:v>
                </c:pt>
                <c:pt idx="8" formatCode="_-* #,##0_-;\-* #,##0_-;_-* &quot;-&quot;_-;_-@_-">
                  <c:v>3664</c:v>
                </c:pt>
                <c:pt idx="9" formatCode="_-* #,##0_-;\-* #,##0_-;_-* &quot;-&quot;_-;_-@_-">
                  <c:v>3482</c:v>
                </c:pt>
                <c:pt idx="10" formatCode="_-* #,##0_-;\-* #,##0_-;_-* &quot;-&quot;_-;_-@_-">
                  <c:v>3299</c:v>
                </c:pt>
                <c:pt idx="11" formatCode="_-* #,##0_-;\-* #,##0_-;_-* &quot;-&quot;_-;_-@_-">
                  <c:v>3116</c:v>
                </c:pt>
                <c:pt idx="12" formatCode="_-* #,##0_-;\-* #,##0_-;_-* &quot;-&quot;_-;_-@_-">
                  <c:v>2934</c:v>
                </c:pt>
                <c:pt idx="13" formatCode="_-* #,##0_-;\-* #,##0_-;_-* &quot;-&quot;_-;_-@_-">
                  <c:v>2751</c:v>
                </c:pt>
                <c:pt idx="14" formatCode="_-* #,##0_-;\-* #,##0_-;_-* &quot;-&quot;_-;_-@_-">
                  <c:v>2569</c:v>
                </c:pt>
                <c:pt idx="15" formatCode="_-* #,##0_-;\-* #,##0_-;_-* &quot;-&quot;_-;_-@_-">
                  <c:v>2386</c:v>
                </c:pt>
                <c:pt idx="16" formatCode="_-* #,##0_-;\-* #,##0_-;_-* &quot;-&quot;_-;_-@_-">
                  <c:v>2203</c:v>
                </c:pt>
                <c:pt idx="17" formatCode="_-* #,##0_-;\-* #,##0_-;_-* &quot;-&quot;_-;_-@_-">
                  <c:v>2021</c:v>
                </c:pt>
                <c:pt idx="18" formatCode="_-* #,##0_-;\-* #,##0_-;_-* &quot;-&quot;_-;_-@_-">
                  <c:v>1838</c:v>
                </c:pt>
                <c:pt idx="19" formatCode="_-* #,##0_-;\-* #,##0_-;_-* &quot;-&quot;_-;_-@_-">
                  <c:v>1656</c:v>
                </c:pt>
                <c:pt idx="20" formatCode="_-* #,##0_-;\-* #,##0_-;_-* &quot;-&quot;_-;_-@_-">
                  <c:v>1473</c:v>
                </c:pt>
                <c:pt idx="21" formatCode="_-* #,##0_-;\-* #,##0_-;_-* &quot;-&quot;_-;_-@_-">
                  <c:v>1290</c:v>
                </c:pt>
                <c:pt idx="22" formatCode="_-* #,##0_-;\-* #,##0_-;_-* &quot;-&quot;_-;_-@_-">
                  <c:v>1108</c:v>
                </c:pt>
                <c:pt idx="23" formatCode="_-* #,##0_-;\-* #,##0_-;_-* &quot;-&quot;_-;_-@_-">
                  <c:v>925</c:v>
                </c:pt>
              </c:numCache>
            </c:numRef>
          </c:val>
        </c:ser>
        <c:ser>
          <c:idx val="1"/>
          <c:order val="1"/>
          <c:tx>
            <c:v>최소</c:v>
          </c:tx>
          <c:spPr>
            <a:ln w="3175">
              <a:solidFill>
                <a:srgbClr val="FF00FF"/>
              </a:solidFill>
              <a:prstDash val="solid"/>
            </a:ln>
          </c:spPr>
          <c:marker>
            <c:symbol val="square"/>
            <c:size val="3"/>
            <c:spPr>
              <a:noFill/>
              <a:ln>
                <a:solidFill>
                  <a:srgbClr val="FF00FF"/>
                </a:solidFill>
                <a:prstDash val="solid"/>
              </a:ln>
            </c:spPr>
          </c:marker>
          <c:cat>
            <c:numRef>
              <c:f>삼화동5!$L$156:$AI$156</c:f>
              <c:numCache>
                <c:formatCode>General</c:formatCode>
                <c:ptCount val="24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  <c:pt idx="14">
                  <c:v>2016</c:v>
                </c:pt>
                <c:pt idx="15">
                  <c:v>2017</c:v>
                </c:pt>
                <c:pt idx="16">
                  <c:v>2018</c:v>
                </c:pt>
                <c:pt idx="17">
                  <c:v>2019</c:v>
                </c:pt>
                <c:pt idx="18">
                  <c:v>2020</c:v>
                </c:pt>
                <c:pt idx="19">
                  <c:v>2021</c:v>
                </c:pt>
                <c:pt idx="20">
                  <c:v>2022</c:v>
                </c:pt>
                <c:pt idx="21">
                  <c:v>2023</c:v>
                </c:pt>
                <c:pt idx="22">
                  <c:v>2024</c:v>
                </c:pt>
                <c:pt idx="23">
                  <c:v>2025</c:v>
                </c:pt>
              </c:numCache>
            </c:numRef>
          </c:cat>
          <c:val>
            <c:numRef>
              <c:f>삼화동5!$L$158:$AN$158</c:f>
              <c:numCache>
                <c:formatCode>General</c:formatCode>
                <c:ptCount val="29"/>
                <c:pt idx="5">
                  <c:v>4212</c:v>
                </c:pt>
                <c:pt idx="6" formatCode="_-* #,##0_-;\-* #,##0_-;_-* &quot;-&quot;_-;_-@_-">
                  <c:v>4103</c:v>
                </c:pt>
                <c:pt idx="7" formatCode="_-* #,##0_-;\-* #,##0_-;_-* &quot;-&quot;_-;_-@_-">
                  <c:v>3928</c:v>
                </c:pt>
                <c:pt idx="8" formatCode="_-* #,##0_-;\-* #,##0_-;_-* &quot;-&quot;_-;_-@_-">
                  <c:v>3752</c:v>
                </c:pt>
                <c:pt idx="9" formatCode="_-* #,##0_-;\-* #,##0_-;_-* &quot;-&quot;_-;_-@_-">
                  <c:v>3577</c:v>
                </c:pt>
                <c:pt idx="10" formatCode="_-* #,##0_-;\-* #,##0_-;_-* &quot;-&quot;_-;_-@_-">
                  <c:v>3402</c:v>
                </c:pt>
                <c:pt idx="11" formatCode="_-* #,##0_-;\-* #,##0_-;_-* &quot;-&quot;_-;_-@_-">
                  <c:v>3227</c:v>
                </c:pt>
                <c:pt idx="12" formatCode="_-* #,##0_-;\-* #,##0_-;_-* &quot;-&quot;_-;_-@_-">
                  <c:v>3052</c:v>
                </c:pt>
                <c:pt idx="13" formatCode="_-* #,##0_-;\-* #,##0_-;_-* &quot;-&quot;_-;_-@_-">
                  <c:v>2877</c:v>
                </c:pt>
                <c:pt idx="14" formatCode="_-* #,##0_-;\-* #,##0_-;_-* &quot;-&quot;_-;_-@_-">
                  <c:v>2702</c:v>
                </c:pt>
                <c:pt idx="15" formatCode="_-* #,##0_-;\-* #,##0_-;_-* &quot;-&quot;_-;_-@_-">
                  <c:v>2526</c:v>
                </c:pt>
                <c:pt idx="16" formatCode="_-* #,##0_-;\-* #,##0_-;_-* &quot;-&quot;_-;_-@_-">
                  <c:v>2351</c:v>
                </c:pt>
                <c:pt idx="17" formatCode="_-* #,##0_-;\-* #,##0_-;_-* &quot;-&quot;_-;_-@_-">
                  <c:v>2176</c:v>
                </c:pt>
                <c:pt idx="18" formatCode="_-* #,##0_-;\-* #,##0_-;_-* &quot;-&quot;_-;_-@_-">
                  <c:v>2001</c:v>
                </c:pt>
                <c:pt idx="19" formatCode="_-* #,##0_-;\-* #,##0_-;_-* &quot;-&quot;_-;_-@_-">
                  <c:v>1826</c:v>
                </c:pt>
                <c:pt idx="20" formatCode="_-* #,##0_-;\-* #,##0_-;_-* &quot;-&quot;_-;_-@_-">
                  <c:v>1651</c:v>
                </c:pt>
                <c:pt idx="21" formatCode="_-* #,##0_-;\-* #,##0_-;_-* &quot;-&quot;_-;_-@_-">
                  <c:v>1476</c:v>
                </c:pt>
                <c:pt idx="22" formatCode="_-* #,##0_-;\-* #,##0_-;_-* &quot;-&quot;_-;_-@_-">
                  <c:v>1300</c:v>
                </c:pt>
                <c:pt idx="23" formatCode="_-* #,##0_-;\-* #,##0_-;_-* &quot;-&quot;_-;_-@_-">
                  <c:v>1125</c:v>
                </c:pt>
              </c:numCache>
            </c:numRef>
          </c:val>
        </c:ser>
        <c:ser>
          <c:idx val="4"/>
          <c:order val="2"/>
          <c:tx>
            <c:v>로지스틱</c:v>
          </c:tx>
          <c:spPr>
            <a:ln w="3175">
              <a:solidFill>
                <a:srgbClr val="800080"/>
              </a:solidFill>
              <a:prstDash val="solid"/>
            </a:ln>
          </c:spPr>
          <c:marker>
            <c:symbol val="circle"/>
            <c:size val="3"/>
            <c:spPr>
              <a:noFill/>
              <a:ln>
                <a:solidFill>
                  <a:srgbClr val="800080"/>
                </a:solidFill>
                <a:prstDash val="solid"/>
              </a:ln>
            </c:spPr>
          </c:marker>
          <c:cat>
            <c:numRef>
              <c:f>삼화동5!$L$156:$AI$156</c:f>
              <c:numCache>
                <c:formatCode>General</c:formatCode>
                <c:ptCount val="24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  <c:pt idx="14">
                  <c:v>2016</c:v>
                </c:pt>
                <c:pt idx="15">
                  <c:v>2017</c:v>
                </c:pt>
                <c:pt idx="16">
                  <c:v>2018</c:v>
                </c:pt>
                <c:pt idx="17">
                  <c:v>2019</c:v>
                </c:pt>
                <c:pt idx="18">
                  <c:v>2020</c:v>
                </c:pt>
                <c:pt idx="19">
                  <c:v>2021</c:v>
                </c:pt>
                <c:pt idx="20">
                  <c:v>2022</c:v>
                </c:pt>
                <c:pt idx="21">
                  <c:v>2023</c:v>
                </c:pt>
                <c:pt idx="22">
                  <c:v>2024</c:v>
                </c:pt>
                <c:pt idx="23">
                  <c:v>2025</c:v>
                </c:pt>
              </c:numCache>
            </c:numRef>
          </c:cat>
          <c:val>
            <c:numRef>
              <c:f>삼화동5!$L$161:$AN$161</c:f>
              <c:numCache>
                <c:formatCode>General</c:formatCode>
                <c:ptCount val="29"/>
                <c:pt idx="5">
                  <c:v>4212</c:v>
                </c:pt>
                <c:pt idx="6" formatCode="_-* #,##0_-;\-* #,##0_-;_-* &quot;-&quot;_-;_-@_-">
                  <c:v>4108</c:v>
                </c:pt>
                <c:pt idx="7" formatCode="_-* #,##0_-;\-* #,##0_-;_-* &quot;-&quot;_-;_-@_-">
                  <c:v>3939</c:v>
                </c:pt>
                <c:pt idx="8" formatCode="_-* #,##0_-;\-* #,##0_-;_-* &quot;-&quot;_-;_-@_-">
                  <c:v>3773</c:v>
                </c:pt>
                <c:pt idx="9" formatCode="_-* #,##0_-;\-* #,##0_-;_-* &quot;-&quot;_-;_-@_-">
                  <c:v>3610</c:v>
                </c:pt>
                <c:pt idx="10" formatCode="_-* #,##0_-;\-* #,##0_-;_-* &quot;-&quot;_-;_-@_-">
                  <c:v>3450</c:v>
                </c:pt>
                <c:pt idx="11" formatCode="_-* #,##0_-;\-* #,##0_-;_-* &quot;-&quot;_-;_-@_-">
                  <c:v>3294</c:v>
                </c:pt>
                <c:pt idx="12" formatCode="_-* #,##0_-;\-* #,##0_-;_-* &quot;-&quot;_-;_-@_-">
                  <c:v>3142</c:v>
                </c:pt>
                <c:pt idx="13" formatCode="_-* #,##0_-;\-* #,##0_-;_-* &quot;-&quot;_-;_-@_-">
                  <c:v>2993</c:v>
                </c:pt>
                <c:pt idx="14" formatCode="_-* #,##0_-;\-* #,##0_-;_-* &quot;-&quot;_-;_-@_-">
                  <c:v>2849</c:v>
                </c:pt>
                <c:pt idx="15" formatCode="_-* #,##0_-;\-* #,##0_-;_-* &quot;-&quot;_-;_-@_-">
                  <c:v>2710</c:v>
                </c:pt>
                <c:pt idx="16" formatCode="_-* #,##0_-;\-* #,##0_-;_-* &quot;-&quot;_-;_-@_-">
                  <c:v>2574</c:v>
                </c:pt>
                <c:pt idx="17" formatCode="_-* #,##0_-;\-* #,##0_-;_-* &quot;-&quot;_-;_-@_-">
                  <c:v>2443</c:v>
                </c:pt>
                <c:pt idx="18" formatCode="_-* #,##0_-;\-* #,##0_-;_-* &quot;-&quot;_-;_-@_-">
                  <c:v>2317</c:v>
                </c:pt>
                <c:pt idx="19" formatCode="_-* #,##0_-;\-* #,##0_-;_-* &quot;-&quot;_-;_-@_-">
                  <c:v>2196</c:v>
                </c:pt>
                <c:pt idx="20" formatCode="_-* #,##0_-;\-* #,##0_-;_-* &quot;-&quot;_-;_-@_-">
                  <c:v>2079</c:v>
                </c:pt>
                <c:pt idx="21" formatCode="_-* #,##0_-;\-* #,##0_-;_-* &quot;-&quot;_-;_-@_-">
                  <c:v>1967</c:v>
                </c:pt>
                <c:pt idx="22" formatCode="_-* #,##0_-;\-* #,##0_-;_-* &quot;-&quot;_-;_-@_-">
                  <c:v>1860</c:v>
                </c:pt>
                <c:pt idx="23" formatCode="_-* #,##0_-;\-* #,##0_-;_-* &quot;-&quot;_-;_-@_-">
                  <c:v>1757</c:v>
                </c:pt>
              </c:numCache>
            </c:numRef>
          </c:val>
        </c:ser>
        <c:ser>
          <c:idx val="5"/>
          <c:order val="3"/>
          <c:tx>
            <c:v>평균(최대최소제외)</c:v>
          </c:tx>
          <c:spPr>
            <a:ln w="3175">
              <a:solidFill>
                <a:srgbClr val="800000"/>
              </a:solidFill>
              <a:prstDash val="sysDash"/>
            </a:ln>
          </c:spPr>
          <c:marker>
            <c:symbol val="circle"/>
            <c:size val="3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삼화동5!$L$156:$AI$156</c:f>
              <c:numCache>
                <c:formatCode>General</c:formatCode>
                <c:ptCount val="24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  <c:pt idx="14">
                  <c:v>2016</c:v>
                </c:pt>
                <c:pt idx="15">
                  <c:v>2017</c:v>
                </c:pt>
                <c:pt idx="16">
                  <c:v>2018</c:v>
                </c:pt>
                <c:pt idx="17">
                  <c:v>2019</c:v>
                </c:pt>
                <c:pt idx="18">
                  <c:v>2020</c:v>
                </c:pt>
                <c:pt idx="19">
                  <c:v>2021</c:v>
                </c:pt>
                <c:pt idx="20">
                  <c:v>2022</c:v>
                </c:pt>
                <c:pt idx="21">
                  <c:v>2023</c:v>
                </c:pt>
                <c:pt idx="22">
                  <c:v>2024</c:v>
                </c:pt>
                <c:pt idx="23">
                  <c:v>2025</c:v>
                </c:pt>
              </c:numCache>
            </c:numRef>
          </c:cat>
          <c:val>
            <c:numRef>
              <c:f>삼화동5!$L$162:$AI$162</c:f>
              <c:numCache>
                <c:formatCode>General</c:formatCode>
                <c:ptCount val="24"/>
                <c:pt idx="5">
                  <c:v>4212</c:v>
                </c:pt>
                <c:pt idx="6" formatCode="#,##0_ ">
                  <c:v>4076.5</c:v>
                </c:pt>
                <c:pt idx="7" formatCode="#,##0_ ">
                  <c:v>3911</c:v>
                </c:pt>
                <c:pt idx="8" formatCode="#,##0_ ">
                  <c:v>3748</c:v>
                </c:pt>
                <c:pt idx="9" formatCode="#,##0_ ">
                  <c:v>3588.5</c:v>
                </c:pt>
                <c:pt idx="10" formatCode="#,##0_ ">
                  <c:v>3426</c:v>
                </c:pt>
                <c:pt idx="11" formatCode="_-* #,##0_-;\-* #,##0_-;_-* &quot;-&quot;_-;_-@_-">
                  <c:v>3260.5</c:v>
                </c:pt>
                <c:pt idx="12" formatCode="#,##0_ ">
                  <c:v>3097</c:v>
                </c:pt>
                <c:pt idx="13" formatCode="#,##0_ ">
                  <c:v>2935</c:v>
                </c:pt>
                <c:pt idx="14" formatCode="#,##0_ ">
                  <c:v>2775.5</c:v>
                </c:pt>
                <c:pt idx="15" formatCode="#,##0_ ">
                  <c:v>2618</c:v>
                </c:pt>
                <c:pt idx="16" formatCode="#,##0_ ">
                  <c:v>2462.5</c:v>
                </c:pt>
                <c:pt idx="17" formatCode="#,##0_ ">
                  <c:v>2309.5</c:v>
                </c:pt>
                <c:pt idx="18" formatCode="#,##0_ ">
                  <c:v>2159</c:v>
                </c:pt>
                <c:pt idx="19" formatCode="#,##0_ ">
                  <c:v>2011</c:v>
                </c:pt>
                <c:pt idx="20" formatCode="#,##0_ ">
                  <c:v>1865</c:v>
                </c:pt>
                <c:pt idx="21" formatCode="#,##0_ ">
                  <c:v>1721.5</c:v>
                </c:pt>
                <c:pt idx="22" formatCode="#,##0_ ">
                  <c:v>1580</c:v>
                </c:pt>
                <c:pt idx="23" formatCode="#,##0_ ">
                  <c:v>1441</c:v>
                </c:pt>
              </c:numCache>
            </c:numRef>
          </c:val>
        </c:ser>
        <c:ser>
          <c:idx val="6"/>
          <c:order val="4"/>
          <c:tx>
            <c:v>과거</c:v>
          </c:tx>
          <c:spPr>
            <a:ln w="12700">
              <a:solidFill>
                <a:srgbClr val="008080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008080"/>
                </a:solidFill>
                <a:prstDash val="solid"/>
              </a:ln>
            </c:spPr>
          </c:marker>
          <c:cat>
            <c:numRef>
              <c:f>삼화동5!$L$156:$AI$156</c:f>
              <c:numCache>
                <c:formatCode>General</c:formatCode>
                <c:ptCount val="24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  <c:pt idx="14">
                  <c:v>2016</c:v>
                </c:pt>
                <c:pt idx="15">
                  <c:v>2017</c:v>
                </c:pt>
                <c:pt idx="16">
                  <c:v>2018</c:v>
                </c:pt>
                <c:pt idx="17">
                  <c:v>2019</c:v>
                </c:pt>
                <c:pt idx="18">
                  <c:v>2020</c:v>
                </c:pt>
                <c:pt idx="19">
                  <c:v>2021</c:v>
                </c:pt>
                <c:pt idx="20">
                  <c:v>2022</c:v>
                </c:pt>
                <c:pt idx="21">
                  <c:v>2023</c:v>
                </c:pt>
                <c:pt idx="22">
                  <c:v>2024</c:v>
                </c:pt>
                <c:pt idx="23">
                  <c:v>2025</c:v>
                </c:pt>
              </c:numCache>
            </c:numRef>
          </c:cat>
          <c:val>
            <c:numRef>
              <c:f>삼화동5!$L$154:$X$154</c:f>
              <c:numCache>
                <c:formatCode>_-* #,##0_-;\-* #,##0_-;_-* "-"_-;_-@_-</c:formatCode>
                <c:ptCount val="13"/>
                <c:pt idx="0">
                  <c:v>5125</c:v>
                </c:pt>
                <c:pt idx="1">
                  <c:v>4944</c:v>
                </c:pt>
                <c:pt idx="2">
                  <c:v>4840</c:v>
                </c:pt>
                <c:pt idx="3" formatCode="General">
                  <c:v>4706</c:v>
                </c:pt>
                <c:pt idx="4">
                  <c:v>4467</c:v>
                </c:pt>
                <c:pt idx="5" formatCode="General">
                  <c:v>4212</c:v>
                </c:pt>
                <c:pt idx="6">
                  <c:v>4108</c:v>
                </c:pt>
              </c:numCache>
            </c:numRef>
          </c:val>
        </c:ser>
        <c:ser>
          <c:idx val="2"/>
          <c:order val="5"/>
          <c:tx>
            <c:v>등비</c:v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삼화동5!$L$156:$AI$156</c:f>
              <c:numCache>
                <c:formatCode>General</c:formatCode>
                <c:ptCount val="24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  <c:pt idx="14">
                  <c:v>2016</c:v>
                </c:pt>
                <c:pt idx="15">
                  <c:v>2017</c:v>
                </c:pt>
                <c:pt idx="16">
                  <c:v>2018</c:v>
                </c:pt>
                <c:pt idx="17">
                  <c:v>2019</c:v>
                </c:pt>
                <c:pt idx="18">
                  <c:v>2020</c:v>
                </c:pt>
                <c:pt idx="19">
                  <c:v>2021</c:v>
                </c:pt>
                <c:pt idx="20">
                  <c:v>2022</c:v>
                </c:pt>
                <c:pt idx="21">
                  <c:v>2023</c:v>
                </c:pt>
                <c:pt idx="22">
                  <c:v>2024</c:v>
                </c:pt>
                <c:pt idx="23">
                  <c:v>2025</c:v>
                </c:pt>
              </c:numCache>
            </c:numRef>
          </c:cat>
          <c:val>
            <c:numRef>
              <c:f>삼화동5!$L$159:$AN$159</c:f>
              <c:numCache>
                <c:formatCode>General</c:formatCode>
                <c:ptCount val="29"/>
                <c:pt idx="5">
                  <c:v>4212</c:v>
                </c:pt>
                <c:pt idx="6" formatCode="_-* #,##0_-;\-* #,##0_-;_-* &quot;-&quot;_-;_-@_-">
                  <c:v>4050</c:v>
                </c:pt>
                <c:pt idx="7" formatCode="_-* #,##0_-;\-* #,##0_-;_-* &quot;-&quot;_-;_-@_-">
                  <c:v>3894</c:v>
                </c:pt>
                <c:pt idx="8" formatCode="_-* #,##0_-;\-* #,##0_-;_-* &quot;-&quot;_-;_-@_-">
                  <c:v>3744</c:v>
                </c:pt>
                <c:pt idx="9" formatCode="_-* #,##0_-;\-* #,##0_-;_-* &quot;-&quot;_-;_-@_-">
                  <c:v>3600</c:v>
                </c:pt>
                <c:pt idx="10" formatCode="_-* #,##0_-;\-* #,##0_-;_-* &quot;-&quot;_-;_-@_-">
                  <c:v>3462</c:v>
                </c:pt>
                <c:pt idx="11" formatCode="_-* #,##0_-;\-* #,##0_-;_-* &quot;-&quot;_-;_-@_-">
                  <c:v>3328</c:v>
                </c:pt>
                <c:pt idx="12" formatCode="_-* #,##0_-;\-* #,##0_-;_-* &quot;-&quot;_-;_-@_-">
                  <c:v>3200</c:v>
                </c:pt>
                <c:pt idx="13" formatCode="_-* #,##0_-;\-* #,##0_-;_-* &quot;-&quot;_-;_-@_-">
                  <c:v>3077</c:v>
                </c:pt>
                <c:pt idx="14" formatCode="_-* #,##0_-;\-* #,##0_-;_-* &quot;-&quot;_-;_-@_-">
                  <c:v>2959</c:v>
                </c:pt>
                <c:pt idx="15" formatCode="_-* #,##0_-;\-* #,##0_-;_-* &quot;-&quot;_-;_-@_-">
                  <c:v>2845</c:v>
                </c:pt>
                <c:pt idx="16" formatCode="_-* #,##0_-;\-* #,##0_-;_-* &quot;-&quot;_-;_-@_-">
                  <c:v>2735</c:v>
                </c:pt>
                <c:pt idx="17" formatCode="_-* #,##0_-;\-* #,##0_-;_-* &quot;-&quot;_-;_-@_-">
                  <c:v>2630</c:v>
                </c:pt>
                <c:pt idx="18" formatCode="_-* #,##0_-;\-* #,##0_-;_-* &quot;-&quot;_-;_-@_-">
                  <c:v>2529</c:v>
                </c:pt>
                <c:pt idx="19" formatCode="_-* #,##0_-;\-* #,##0_-;_-* &quot;-&quot;_-;_-@_-">
                  <c:v>2432</c:v>
                </c:pt>
                <c:pt idx="20" formatCode="_-* #,##0_-;\-* #,##0_-;_-* &quot;-&quot;_-;_-@_-">
                  <c:v>2338</c:v>
                </c:pt>
                <c:pt idx="21" formatCode="_-* #,##0_-;\-* #,##0_-;_-* &quot;-&quot;_-;_-@_-">
                  <c:v>2248</c:v>
                </c:pt>
                <c:pt idx="22" formatCode="_-* #,##0_-;\-* #,##0_-;_-* &quot;-&quot;_-;_-@_-">
                  <c:v>2162</c:v>
                </c:pt>
                <c:pt idx="23" formatCode="_-* #,##0_-;\-* #,##0_-;_-* &quot;-&quot;_-;_-@_-">
                  <c:v>2078</c:v>
                </c:pt>
              </c:numCache>
            </c:numRef>
          </c:val>
        </c:ser>
        <c:marker val="1"/>
        <c:axId val="132768128"/>
        <c:axId val="132770432"/>
      </c:lineChart>
      <c:catAx>
        <c:axId val="132768128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875" b="0" i="0" u="none" strike="noStrike" baseline="0">
                    <a:solidFill>
                      <a:srgbClr val="000000"/>
                    </a:solidFill>
                    <a:latin typeface="돋움"/>
                    <a:ea typeface="돋움"/>
                    <a:cs typeface="돋움"/>
                  </a:defRPr>
                </a:pPr>
                <a:r>
                  <a:rPr altLang="en-US"/>
                  <a:t>연도</a:t>
                </a:r>
              </a:p>
            </c:rich>
          </c:tx>
          <c:layout>
            <c:manualLayout>
              <c:xMode val="edge"/>
              <c:yMode val="edge"/>
              <c:x val="0.50000023539658589"/>
              <c:y val="0.81939243336028011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maj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돋움"/>
                <a:ea typeface="돋움"/>
                <a:cs typeface="돋움"/>
              </a:defRPr>
            </a:pPr>
            <a:endParaRPr lang="ko-KR"/>
          </a:p>
        </c:txPr>
        <c:crossAx val="132770432"/>
        <c:crosses val="autoZero"/>
        <c:auto val="1"/>
        <c:lblAlgn val="ctr"/>
        <c:lblOffset val="100"/>
        <c:tickLblSkip val="2"/>
        <c:tickMarkSkip val="1"/>
      </c:catAx>
      <c:valAx>
        <c:axId val="132770432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맑은 고딕"/>
                    <a:ea typeface="맑은 고딕"/>
                    <a:cs typeface="맑은 고딕"/>
                  </a:defRPr>
                </a:pPr>
                <a:r>
                  <a:rPr lang="ko-KR" altLang="en-US" sz="875" b="0" i="0" strike="noStrike">
                    <a:solidFill>
                      <a:srgbClr val="000000"/>
                    </a:solidFill>
                    <a:latin typeface="돋움"/>
                    <a:ea typeface="돋움"/>
                  </a:rPr>
                  <a:t>인구</a:t>
                </a:r>
                <a:r>
                  <a:rPr lang="en-US" altLang="ko-KR" sz="875" b="0" i="0" strike="noStrike">
                    <a:solidFill>
                      <a:srgbClr val="000000"/>
                    </a:solidFill>
                    <a:latin typeface="돋움"/>
                    <a:ea typeface="돋움"/>
                  </a:rPr>
                  <a:t>(</a:t>
                </a:r>
                <a:r>
                  <a:rPr lang="ko-KR" altLang="en-US" sz="875" b="0" i="0" strike="noStrike">
                    <a:solidFill>
                      <a:srgbClr val="000000"/>
                    </a:solidFill>
                    <a:latin typeface="돋움"/>
                    <a:ea typeface="돋움"/>
                  </a:rPr>
                  <a:t>명</a:t>
                </a:r>
                <a:r>
                  <a:rPr lang="en-US" altLang="ko-KR" sz="875" b="0" i="0" strike="noStrike">
                    <a:solidFill>
                      <a:srgbClr val="000000"/>
                    </a:solidFill>
                    <a:latin typeface="돋움"/>
                    <a:ea typeface="돋움"/>
                  </a:rPr>
                  <a:t>)</a:t>
                </a:r>
              </a:p>
            </c:rich>
          </c:tx>
          <c:layout>
            <c:manualLayout>
              <c:xMode val="edge"/>
              <c:yMode val="edge"/>
              <c:x val="2.6905829596412592E-2"/>
              <c:y val="0.38212967675618492"/>
            </c:manualLayout>
          </c:layout>
          <c:spPr>
            <a:noFill/>
            <a:ln w="25400">
              <a:noFill/>
            </a:ln>
          </c:spPr>
        </c:title>
        <c:numFmt formatCode="#,##0_ " sourceLinked="0"/>
        <c:maj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돋움"/>
                <a:ea typeface="돋움"/>
                <a:cs typeface="돋움"/>
              </a:defRPr>
            </a:pPr>
            <a:endParaRPr lang="ko-KR"/>
          </a:p>
        </c:txPr>
        <c:crossAx val="132768128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wMode val="edge"/>
          <c:hMode val="edge"/>
          <c:x val="0.12780280828125185"/>
          <c:y val="0.90114148278993644"/>
          <c:w val="0.91591987100267169"/>
          <c:h val="0.96197798469107765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돋움"/>
              <a:ea typeface="돋움"/>
              <a:cs typeface="돋움"/>
            </a:defRPr>
          </a:pPr>
          <a:endParaRPr lang="ko-KR"/>
        </a:p>
      </c:txPr>
    </c:legend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75" b="0" i="0" u="none" strike="noStrike" baseline="0">
          <a:solidFill>
            <a:srgbClr val="000000"/>
          </a:solidFill>
          <a:latin typeface="돋움"/>
          <a:ea typeface="돋움"/>
          <a:cs typeface="돋움"/>
        </a:defRPr>
      </a:pPr>
      <a:endParaRPr lang="ko-KR"/>
    </a:p>
  </c:txPr>
  <c:printSettings>
    <c:headerFooter alignWithMargins="0"/>
    <c:pageMargins b="1" l="0.75000000000000144" r="0.75000000000000144" t="1" header="0.5" footer="0.5"/>
    <c:pageSetup paperSize="9"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ko-KR"/>
  <c:chart>
    <c:title>
      <c:tx>
        <c:rich>
          <a:bodyPr/>
          <a:lstStyle/>
          <a:p>
            <a:pPr>
              <a:defRPr sz="1175" b="1" i="0" u="none" strike="noStrike" baseline="0">
                <a:solidFill>
                  <a:srgbClr val="000000"/>
                </a:solidFill>
                <a:latin typeface="돋움"/>
                <a:ea typeface="돋움"/>
                <a:cs typeface="돋움"/>
              </a:defRPr>
            </a:pPr>
            <a:r>
              <a:rPr altLang="en-US"/>
              <a:t>송정동</a:t>
            </a:r>
          </a:p>
        </c:rich>
      </c:tx>
      <c:layout>
        <c:manualLayout>
          <c:xMode val="edge"/>
          <c:yMode val="edge"/>
          <c:x val="0.46861010086743682"/>
          <c:y val="2.8517110266159756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0313906991129369"/>
          <c:y val="9.3155980012012529E-2"/>
          <c:w val="0.83183902037152235"/>
          <c:h val="0.67490556947478386"/>
        </c:manualLayout>
      </c:layout>
      <c:lineChart>
        <c:grouping val="standard"/>
        <c:ser>
          <c:idx val="0"/>
          <c:order val="0"/>
          <c:tx>
            <c:v>등차</c:v>
          </c:tx>
          <c:spPr>
            <a:ln w="3175">
              <a:solidFill>
                <a:srgbClr val="000080"/>
              </a:solidFill>
              <a:prstDash val="solid"/>
            </a:ln>
          </c:spPr>
          <c:marker>
            <c:symbol val="diamond"/>
            <c:size val="3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송정동20년!$L$225:$AX$225</c:f>
              <c:numCache>
                <c:formatCode>General</c:formatCode>
                <c:ptCount val="39"/>
                <c:pt idx="0">
                  <c:v>1988</c:v>
                </c:pt>
                <c:pt idx="1">
                  <c:v>1989</c:v>
                </c:pt>
                <c:pt idx="2">
                  <c:v>1990</c:v>
                </c:pt>
                <c:pt idx="3">
                  <c:v>1991</c:v>
                </c:pt>
                <c:pt idx="4">
                  <c:v>1992</c:v>
                </c:pt>
                <c:pt idx="5">
                  <c:v>1993</c:v>
                </c:pt>
                <c:pt idx="6">
                  <c:v>1994</c:v>
                </c:pt>
                <c:pt idx="7">
                  <c:v>1995</c:v>
                </c:pt>
                <c:pt idx="8">
                  <c:v>1996</c:v>
                </c:pt>
                <c:pt idx="9">
                  <c:v>1997</c:v>
                </c:pt>
                <c:pt idx="10">
                  <c:v>1998</c:v>
                </c:pt>
                <c:pt idx="11">
                  <c:v>1999</c:v>
                </c:pt>
                <c:pt idx="12">
                  <c:v>2000</c:v>
                </c:pt>
                <c:pt idx="13">
                  <c:v>2001</c:v>
                </c:pt>
                <c:pt idx="14">
                  <c:v>2002</c:v>
                </c:pt>
                <c:pt idx="15">
                  <c:v>2003</c:v>
                </c:pt>
                <c:pt idx="16">
                  <c:v>2004</c:v>
                </c:pt>
                <c:pt idx="17">
                  <c:v>2005</c:v>
                </c:pt>
                <c:pt idx="18">
                  <c:v>2006</c:v>
                </c:pt>
                <c:pt idx="19">
                  <c:v>2007</c:v>
                </c:pt>
                <c:pt idx="20">
                  <c:v>2008</c:v>
                </c:pt>
                <c:pt idx="21">
                  <c:v>2009</c:v>
                </c:pt>
                <c:pt idx="22">
                  <c:v>2010</c:v>
                </c:pt>
                <c:pt idx="23">
                  <c:v>2011</c:v>
                </c:pt>
                <c:pt idx="24">
                  <c:v>2012</c:v>
                </c:pt>
                <c:pt idx="25">
                  <c:v>2013</c:v>
                </c:pt>
                <c:pt idx="26">
                  <c:v>2014</c:v>
                </c:pt>
                <c:pt idx="27">
                  <c:v>2015</c:v>
                </c:pt>
                <c:pt idx="28">
                  <c:v>2016</c:v>
                </c:pt>
                <c:pt idx="29">
                  <c:v>2017</c:v>
                </c:pt>
                <c:pt idx="30">
                  <c:v>2018</c:v>
                </c:pt>
                <c:pt idx="31">
                  <c:v>2019</c:v>
                </c:pt>
                <c:pt idx="32">
                  <c:v>2020</c:v>
                </c:pt>
                <c:pt idx="33">
                  <c:v>2021</c:v>
                </c:pt>
                <c:pt idx="34">
                  <c:v>2022</c:v>
                </c:pt>
                <c:pt idx="35">
                  <c:v>2023</c:v>
                </c:pt>
                <c:pt idx="36">
                  <c:v>2024</c:v>
                </c:pt>
                <c:pt idx="37">
                  <c:v>2025</c:v>
                </c:pt>
              </c:numCache>
            </c:numRef>
          </c:cat>
          <c:val>
            <c:numRef>
              <c:f>송정동20년!$L$226:$AW$226</c:f>
              <c:numCache>
                <c:formatCode>General</c:formatCode>
                <c:ptCount val="38"/>
                <c:pt idx="19" formatCode="_-* #,##0_-;\-* #,##0_-;_-* &quot;-&quot;_-;_-@_-">
                  <c:v>5183</c:v>
                </c:pt>
                <c:pt idx="20" formatCode="_-* #,##0_-;\-* #,##0_-;_-* &quot;-&quot;_-;_-@_-">
                  <c:v>4958</c:v>
                </c:pt>
                <c:pt idx="21" formatCode="_-* #,##0_-;\-* #,##0_-;_-* &quot;-&quot;_-;_-@_-">
                  <c:v>4732</c:v>
                </c:pt>
                <c:pt idx="22" formatCode="_-* #,##0_-;\-* #,##0_-;_-* &quot;-&quot;_-;_-@_-">
                  <c:v>4507</c:v>
                </c:pt>
                <c:pt idx="23" formatCode="_-* #,##0_-;\-* #,##0_-;_-* &quot;-&quot;_-;_-@_-">
                  <c:v>4281</c:v>
                </c:pt>
                <c:pt idx="24" formatCode="_-* #,##0_-;\-* #,##0_-;_-* &quot;-&quot;_-;_-@_-">
                  <c:v>4056</c:v>
                </c:pt>
                <c:pt idx="25" formatCode="_-* #,##0_-;\-* #,##0_-;_-* &quot;-&quot;_-;_-@_-">
                  <c:v>3830</c:v>
                </c:pt>
                <c:pt idx="26" formatCode="_-* #,##0_-;\-* #,##0_-;_-* &quot;-&quot;_-;_-@_-">
                  <c:v>3605</c:v>
                </c:pt>
                <c:pt idx="27" formatCode="_-* #,##0_-;\-* #,##0_-;_-* &quot;-&quot;_-;_-@_-">
                  <c:v>3379</c:v>
                </c:pt>
                <c:pt idx="28" formatCode="_-* #,##0_-;\-* #,##0_-;_-* &quot;-&quot;_-;_-@_-">
                  <c:v>3154</c:v>
                </c:pt>
                <c:pt idx="29" formatCode="_-* #,##0_-;\-* #,##0_-;_-* &quot;-&quot;_-;_-@_-">
                  <c:v>2928</c:v>
                </c:pt>
                <c:pt idx="30" formatCode="_-* #,##0_-;\-* #,##0_-;_-* &quot;-&quot;_-;_-@_-">
                  <c:v>2703</c:v>
                </c:pt>
                <c:pt idx="31" formatCode="_-* #,##0_-;\-* #,##0_-;_-* &quot;-&quot;_-;_-@_-">
                  <c:v>2477</c:v>
                </c:pt>
                <c:pt idx="32" formatCode="_-* #,##0_-;\-* #,##0_-;_-* &quot;-&quot;_-;_-@_-">
                  <c:v>2252</c:v>
                </c:pt>
                <c:pt idx="33" formatCode="_-* #,##0_-;\-* #,##0_-;_-* &quot;-&quot;_-;_-@_-">
                  <c:v>2026</c:v>
                </c:pt>
                <c:pt idx="34" formatCode="_-* #,##0_-;\-* #,##0_-;_-* &quot;-&quot;_-;_-@_-">
                  <c:v>1801</c:v>
                </c:pt>
                <c:pt idx="35" formatCode="_-* #,##0_-;\-* #,##0_-;_-* &quot;-&quot;_-;_-@_-">
                  <c:v>1575</c:v>
                </c:pt>
                <c:pt idx="36" formatCode="_-* #,##0_-;\-* #,##0_-;_-* &quot;-&quot;_-;_-@_-">
                  <c:v>1350</c:v>
                </c:pt>
                <c:pt idx="37" formatCode="_-* #,##0_-;\-* #,##0_-;_-* &quot;-&quot;_-;_-@_-">
                  <c:v>1124</c:v>
                </c:pt>
              </c:numCache>
            </c:numRef>
          </c:val>
        </c:ser>
        <c:ser>
          <c:idx val="1"/>
          <c:order val="1"/>
          <c:tx>
            <c:v>최소</c:v>
          </c:tx>
          <c:spPr>
            <a:ln w="3175">
              <a:solidFill>
                <a:srgbClr val="FF00FF"/>
              </a:solidFill>
              <a:prstDash val="solid"/>
            </a:ln>
          </c:spPr>
          <c:marker>
            <c:symbol val="square"/>
            <c:size val="3"/>
            <c:spPr>
              <a:noFill/>
              <a:ln>
                <a:solidFill>
                  <a:srgbClr val="FF00FF"/>
                </a:solidFill>
                <a:prstDash val="solid"/>
              </a:ln>
            </c:spPr>
          </c:marker>
          <c:cat>
            <c:numRef>
              <c:f>송정동20년!$L$225:$AX$225</c:f>
              <c:numCache>
                <c:formatCode>General</c:formatCode>
                <c:ptCount val="39"/>
                <c:pt idx="0">
                  <c:v>1988</c:v>
                </c:pt>
                <c:pt idx="1">
                  <c:v>1989</c:v>
                </c:pt>
                <c:pt idx="2">
                  <c:v>1990</c:v>
                </c:pt>
                <c:pt idx="3">
                  <c:v>1991</c:v>
                </c:pt>
                <c:pt idx="4">
                  <c:v>1992</c:v>
                </c:pt>
                <c:pt idx="5">
                  <c:v>1993</c:v>
                </c:pt>
                <c:pt idx="6">
                  <c:v>1994</c:v>
                </c:pt>
                <c:pt idx="7">
                  <c:v>1995</c:v>
                </c:pt>
                <c:pt idx="8">
                  <c:v>1996</c:v>
                </c:pt>
                <c:pt idx="9">
                  <c:v>1997</c:v>
                </c:pt>
                <c:pt idx="10">
                  <c:v>1998</c:v>
                </c:pt>
                <c:pt idx="11">
                  <c:v>1999</c:v>
                </c:pt>
                <c:pt idx="12">
                  <c:v>2000</c:v>
                </c:pt>
                <c:pt idx="13">
                  <c:v>2001</c:v>
                </c:pt>
                <c:pt idx="14">
                  <c:v>2002</c:v>
                </c:pt>
                <c:pt idx="15">
                  <c:v>2003</c:v>
                </c:pt>
                <c:pt idx="16">
                  <c:v>2004</c:v>
                </c:pt>
                <c:pt idx="17">
                  <c:v>2005</c:v>
                </c:pt>
                <c:pt idx="18">
                  <c:v>2006</c:v>
                </c:pt>
                <c:pt idx="19">
                  <c:v>2007</c:v>
                </c:pt>
                <c:pt idx="20">
                  <c:v>2008</c:v>
                </c:pt>
                <c:pt idx="21">
                  <c:v>2009</c:v>
                </c:pt>
                <c:pt idx="22">
                  <c:v>2010</c:v>
                </c:pt>
                <c:pt idx="23">
                  <c:v>2011</c:v>
                </c:pt>
                <c:pt idx="24">
                  <c:v>2012</c:v>
                </c:pt>
                <c:pt idx="25">
                  <c:v>2013</c:v>
                </c:pt>
                <c:pt idx="26">
                  <c:v>2014</c:v>
                </c:pt>
                <c:pt idx="27">
                  <c:v>2015</c:v>
                </c:pt>
                <c:pt idx="28">
                  <c:v>2016</c:v>
                </c:pt>
                <c:pt idx="29">
                  <c:v>2017</c:v>
                </c:pt>
                <c:pt idx="30">
                  <c:v>2018</c:v>
                </c:pt>
                <c:pt idx="31">
                  <c:v>2019</c:v>
                </c:pt>
                <c:pt idx="32">
                  <c:v>2020</c:v>
                </c:pt>
                <c:pt idx="33">
                  <c:v>2021</c:v>
                </c:pt>
                <c:pt idx="34">
                  <c:v>2022</c:v>
                </c:pt>
                <c:pt idx="35">
                  <c:v>2023</c:v>
                </c:pt>
                <c:pt idx="36">
                  <c:v>2024</c:v>
                </c:pt>
                <c:pt idx="37">
                  <c:v>2025</c:v>
                </c:pt>
              </c:numCache>
            </c:numRef>
          </c:cat>
          <c:val>
            <c:numRef>
              <c:f>송정동20년!$L$227:$AW$227</c:f>
              <c:numCache>
                <c:formatCode>General</c:formatCode>
                <c:ptCount val="38"/>
                <c:pt idx="19" formatCode="_-* #,##0_-;\-* #,##0_-;_-* &quot;-&quot;_-;_-@_-">
                  <c:v>5183</c:v>
                </c:pt>
                <c:pt idx="20" formatCode="_-* #,##0_-;\-* #,##0_-;_-* &quot;-&quot;_-;_-@_-">
                  <c:v>4703</c:v>
                </c:pt>
                <c:pt idx="21" formatCode="_-* #,##0_-;\-* #,##0_-;_-* &quot;-&quot;_-;_-@_-">
                  <c:v>4483</c:v>
                </c:pt>
                <c:pt idx="22" formatCode="_-* #,##0_-;\-* #,##0_-;_-* &quot;-&quot;_-;_-@_-">
                  <c:v>4263</c:v>
                </c:pt>
                <c:pt idx="23" formatCode="_-* #,##0_-;\-* #,##0_-;_-* &quot;-&quot;_-;_-@_-">
                  <c:v>4043</c:v>
                </c:pt>
                <c:pt idx="24" formatCode="_-* #,##0_-;\-* #,##0_-;_-* &quot;-&quot;_-;_-@_-">
                  <c:v>3823</c:v>
                </c:pt>
                <c:pt idx="25" formatCode="_-* #,##0_-;\-* #,##0_-;_-* &quot;-&quot;_-;_-@_-">
                  <c:v>3603</c:v>
                </c:pt>
                <c:pt idx="26" formatCode="_-* #,##0_-;\-* #,##0_-;_-* &quot;-&quot;_-;_-@_-">
                  <c:v>3384</c:v>
                </c:pt>
                <c:pt idx="27" formatCode="_-* #,##0_-;\-* #,##0_-;_-* &quot;-&quot;_-;_-@_-">
                  <c:v>3164</c:v>
                </c:pt>
                <c:pt idx="28" formatCode="_-* #,##0_-;\-* #,##0_-;_-* &quot;-&quot;_-;_-@_-">
                  <c:v>2944</c:v>
                </c:pt>
                <c:pt idx="29" formatCode="_-* #,##0_-;\-* #,##0_-;_-* &quot;-&quot;_-;_-@_-">
                  <c:v>2724</c:v>
                </c:pt>
                <c:pt idx="30" formatCode="_-* #,##0_-;\-* #,##0_-;_-* &quot;-&quot;_-;_-@_-">
                  <c:v>2504</c:v>
                </c:pt>
                <c:pt idx="31" formatCode="_-* #,##0_-;\-* #,##0_-;_-* &quot;-&quot;_-;_-@_-">
                  <c:v>2284</c:v>
                </c:pt>
                <c:pt idx="32" formatCode="_-* #,##0_-;\-* #,##0_-;_-* &quot;-&quot;_-;_-@_-">
                  <c:v>2064</c:v>
                </c:pt>
                <c:pt idx="33" formatCode="_-* #,##0_-;\-* #,##0_-;_-* &quot;-&quot;_-;_-@_-">
                  <c:v>1844</c:v>
                </c:pt>
                <c:pt idx="34" formatCode="_-* #,##0_-;\-* #,##0_-;_-* &quot;-&quot;_-;_-@_-">
                  <c:v>1624</c:v>
                </c:pt>
                <c:pt idx="35" formatCode="_-* #,##0_-;\-* #,##0_-;_-* &quot;-&quot;_-;_-@_-">
                  <c:v>1404</c:v>
                </c:pt>
                <c:pt idx="36" formatCode="_-* #,##0_-;\-* #,##0_-;_-* &quot;-&quot;_-;_-@_-">
                  <c:v>1184</c:v>
                </c:pt>
                <c:pt idx="37" formatCode="_-* #,##0_-;\-* #,##0_-;_-* &quot;-&quot;_-;_-@_-">
                  <c:v>964</c:v>
                </c:pt>
              </c:numCache>
            </c:numRef>
          </c:val>
        </c:ser>
        <c:ser>
          <c:idx val="4"/>
          <c:order val="2"/>
          <c:tx>
            <c:v>로지스틱</c:v>
          </c:tx>
          <c:spPr>
            <a:ln w="3175">
              <a:solidFill>
                <a:srgbClr val="800080"/>
              </a:solidFill>
              <a:prstDash val="solid"/>
            </a:ln>
          </c:spPr>
          <c:marker>
            <c:symbol val="circle"/>
            <c:size val="3"/>
            <c:spPr>
              <a:noFill/>
              <a:ln>
                <a:solidFill>
                  <a:srgbClr val="800080"/>
                </a:solidFill>
                <a:prstDash val="solid"/>
              </a:ln>
            </c:spPr>
          </c:marker>
          <c:cat>
            <c:numRef>
              <c:f>송정동20년!$L$225:$AX$225</c:f>
              <c:numCache>
                <c:formatCode>General</c:formatCode>
                <c:ptCount val="39"/>
                <c:pt idx="0">
                  <c:v>1988</c:v>
                </c:pt>
                <c:pt idx="1">
                  <c:v>1989</c:v>
                </c:pt>
                <c:pt idx="2">
                  <c:v>1990</c:v>
                </c:pt>
                <c:pt idx="3">
                  <c:v>1991</c:v>
                </c:pt>
                <c:pt idx="4">
                  <c:v>1992</c:v>
                </c:pt>
                <c:pt idx="5">
                  <c:v>1993</c:v>
                </c:pt>
                <c:pt idx="6">
                  <c:v>1994</c:v>
                </c:pt>
                <c:pt idx="7">
                  <c:v>1995</c:v>
                </c:pt>
                <c:pt idx="8">
                  <c:v>1996</c:v>
                </c:pt>
                <c:pt idx="9">
                  <c:v>1997</c:v>
                </c:pt>
                <c:pt idx="10">
                  <c:v>1998</c:v>
                </c:pt>
                <c:pt idx="11">
                  <c:v>1999</c:v>
                </c:pt>
                <c:pt idx="12">
                  <c:v>2000</c:v>
                </c:pt>
                <c:pt idx="13">
                  <c:v>2001</c:v>
                </c:pt>
                <c:pt idx="14">
                  <c:v>2002</c:v>
                </c:pt>
                <c:pt idx="15">
                  <c:v>2003</c:v>
                </c:pt>
                <c:pt idx="16">
                  <c:v>2004</c:v>
                </c:pt>
                <c:pt idx="17">
                  <c:v>2005</c:v>
                </c:pt>
                <c:pt idx="18">
                  <c:v>2006</c:v>
                </c:pt>
                <c:pt idx="19">
                  <c:v>2007</c:v>
                </c:pt>
                <c:pt idx="20">
                  <c:v>2008</c:v>
                </c:pt>
                <c:pt idx="21">
                  <c:v>2009</c:v>
                </c:pt>
                <c:pt idx="22">
                  <c:v>2010</c:v>
                </c:pt>
                <c:pt idx="23">
                  <c:v>2011</c:v>
                </c:pt>
                <c:pt idx="24">
                  <c:v>2012</c:v>
                </c:pt>
                <c:pt idx="25">
                  <c:v>2013</c:v>
                </c:pt>
                <c:pt idx="26">
                  <c:v>2014</c:v>
                </c:pt>
                <c:pt idx="27">
                  <c:v>2015</c:v>
                </c:pt>
                <c:pt idx="28">
                  <c:v>2016</c:v>
                </c:pt>
                <c:pt idx="29">
                  <c:v>2017</c:v>
                </c:pt>
                <c:pt idx="30">
                  <c:v>2018</c:v>
                </c:pt>
                <c:pt idx="31">
                  <c:v>2019</c:v>
                </c:pt>
                <c:pt idx="32">
                  <c:v>2020</c:v>
                </c:pt>
                <c:pt idx="33">
                  <c:v>2021</c:v>
                </c:pt>
                <c:pt idx="34">
                  <c:v>2022</c:v>
                </c:pt>
                <c:pt idx="35">
                  <c:v>2023</c:v>
                </c:pt>
                <c:pt idx="36">
                  <c:v>2024</c:v>
                </c:pt>
                <c:pt idx="37">
                  <c:v>2025</c:v>
                </c:pt>
              </c:numCache>
            </c:numRef>
          </c:cat>
          <c:val>
            <c:numRef>
              <c:f>송정동20년!$L$230:$AW$230</c:f>
              <c:numCache>
                <c:formatCode>General</c:formatCode>
                <c:ptCount val="38"/>
                <c:pt idx="19" formatCode="_-* #,##0_-;\-* #,##0_-;_-* &quot;-&quot;_-;_-@_-">
                  <c:v>5183</c:v>
                </c:pt>
                <c:pt idx="20" formatCode="_-* #,##0_-;\-* #,##0_-;_-* &quot;-&quot;_-;_-@_-">
                  <c:v>4867</c:v>
                </c:pt>
                <c:pt idx="21" formatCode="_-* #,##0_-;\-* #,##0_-;_-* &quot;-&quot;_-;_-@_-">
                  <c:v>4691</c:v>
                </c:pt>
                <c:pt idx="22" formatCode="_-* #,##0_-;\-* #,##0_-;_-* &quot;-&quot;_-;_-@_-">
                  <c:v>4520</c:v>
                </c:pt>
                <c:pt idx="23" formatCode="_-* #,##0_-;\-* #,##0_-;_-* &quot;-&quot;_-;_-@_-">
                  <c:v>4354</c:v>
                </c:pt>
                <c:pt idx="24" formatCode="_-* #,##0_-;\-* #,##0_-;_-* &quot;-&quot;_-;_-@_-">
                  <c:v>4192</c:v>
                </c:pt>
                <c:pt idx="25" formatCode="_-* #,##0_-;\-* #,##0_-;_-* &quot;-&quot;_-;_-@_-">
                  <c:v>4035</c:v>
                </c:pt>
                <c:pt idx="26" formatCode="_-* #,##0_-;\-* #,##0_-;_-* &quot;-&quot;_-;_-@_-">
                  <c:v>3882</c:v>
                </c:pt>
                <c:pt idx="27" formatCode="_-* #,##0_-;\-* #,##0_-;_-* &quot;-&quot;_-;_-@_-">
                  <c:v>3733</c:v>
                </c:pt>
                <c:pt idx="28" formatCode="_-* #,##0_-;\-* #,##0_-;_-* &quot;-&quot;_-;_-@_-">
                  <c:v>3589</c:v>
                </c:pt>
                <c:pt idx="29" formatCode="_-* #,##0_-;\-* #,##0_-;_-* &quot;-&quot;_-;_-@_-">
                  <c:v>3450</c:v>
                </c:pt>
                <c:pt idx="30" formatCode="_-* #,##0_-;\-* #,##0_-;_-* &quot;-&quot;_-;_-@_-">
                  <c:v>3315</c:v>
                </c:pt>
                <c:pt idx="31" formatCode="_-* #,##0_-;\-* #,##0_-;_-* &quot;-&quot;_-;_-@_-">
                  <c:v>3184</c:v>
                </c:pt>
                <c:pt idx="32" formatCode="_-* #,##0_-;\-* #,##0_-;_-* &quot;-&quot;_-;_-@_-">
                  <c:v>3057</c:v>
                </c:pt>
                <c:pt idx="33" formatCode="_-* #,##0_-;\-* #,##0_-;_-* &quot;-&quot;_-;_-@_-">
                  <c:v>2934</c:v>
                </c:pt>
                <c:pt idx="34" formatCode="_-* #,##0_-;\-* #,##0_-;_-* &quot;-&quot;_-;_-@_-">
                  <c:v>2816</c:v>
                </c:pt>
                <c:pt idx="35" formatCode="_-* #,##0_-;\-* #,##0_-;_-* &quot;-&quot;_-;_-@_-">
                  <c:v>2701</c:v>
                </c:pt>
                <c:pt idx="36" formatCode="_-* #,##0_-;\-* #,##0_-;_-* &quot;-&quot;_-;_-@_-">
                  <c:v>2591</c:v>
                </c:pt>
                <c:pt idx="37" formatCode="_-* #,##0_-;\-* #,##0_-;_-* &quot;-&quot;_-;_-@_-">
                  <c:v>2484</c:v>
                </c:pt>
              </c:numCache>
            </c:numRef>
          </c:val>
        </c:ser>
        <c:ser>
          <c:idx val="5"/>
          <c:order val="3"/>
          <c:tx>
            <c:v>평균(최대최소제외)</c:v>
          </c:tx>
          <c:spPr>
            <a:ln w="3175">
              <a:solidFill>
                <a:srgbClr val="800000"/>
              </a:solidFill>
              <a:prstDash val="sysDash"/>
            </a:ln>
          </c:spPr>
          <c:marker>
            <c:symbol val="circle"/>
            <c:size val="3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송정동20년!$L$225:$AX$225</c:f>
              <c:numCache>
                <c:formatCode>General</c:formatCode>
                <c:ptCount val="39"/>
                <c:pt idx="0">
                  <c:v>1988</c:v>
                </c:pt>
                <c:pt idx="1">
                  <c:v>1989</c:v>
                </c:pt>
                <c:pt idx="2">
                  <c:v>1990</c:v>
                </c:pt>
                <c:pt idx="3">
                  <c:v>1991</c:v>
                </c:pt>
                <c:pt idx="4">
                  <c:v>1992</c:v>
                </c:pt>
                <c:pt idx="5">
                  <c:v>1993</c:v>
                </c:pt>
                <c:pt idx="6">
                  <c:v>1994</c:v>
                </c:pt>
                <c:pt idx="7">
                  <c:v>1995</c:v>
                </c:pt>
                <c:pt idx="8">
                  <c:v>1996</c:v>
                </c:pt>
                <c:pt idx="9">
                  <c:v>1997</c:v>
                </c:pt>
                <c:pt idx="10">
                  <c:v>1998</c:v>
                </c:pt>
                <c:pt idx="11">
                  <c:v>1999</c:v>
                </c:pt>
                <c:pt idx="12">
                  <c:v>2000</c:v>
                </c:pt>
                <c:pt idx="13">
                  <c:v>2001</c:v>
                </c:pt>
                <c:pt idx="14">
                  <c:v>2002</c:v>
                </c:pt>
                <c:pt idx="15">
                  <c:v>2003</c:v>
                </c:pt>
                <c:pt idx="16">
                  <c:v>2004</c:v>
                </c:pt>
                <c:pt idx="17">
                  <c:v>2005</c:v>
                </c:pt>
                <c:pt idx="18">
                  <c:v>2006</c:v>
                </c:pt>
                <c:pt idx="19">
                  <c:v>2007</c:v>
                </c:pt>
                <c:pt idx="20">
                  <c:v>2008</c:v>
                </c:pt>
                <c:pt idx="21">
                  <c:v>2009</c:v>
                </c:pt>
                <c:pt idx="22">
                  <c:v>2010</c:v>
                </c:pt>
                <c:pt idx="23">
                  <c:v>2011</c:v>
                </c:pt>
                <c:pt idx="24">
                  <c:v>2012</c:v>
                </c:pt>
                <c:pt idx="25">
                  <c:v>2013</c:v>
                </c:pt>
                <c:pt idx="26">
                  <c:v>2014</c:v>
                </c:pt>
                <c:pt idx="27">
                  <c:v>2015</c:v>
                </c:pt>
                <c:pt idx="28">
                  <c:v>2016</c:v>
                </c:pt>
                <c:pt idx="29">
                  <c:v>2017</c:v>
                </c:pt>
                <c:pt idx="30">
                  <c:v>2018</c:v>
                </c:pt>
                <c:pt idx="31">
                  <c:v>2019</c:v>
                </c:pt>
                <c:pt idx="32">
                  <c:v>2020</c:v>
                </c:pt>
                <c:pt idx="33">
                  <c:v>2021</c:v>
                </c:pt>
                <c:pt idx="34">
                  <c:v>2022</c:v>
                </c:pt>
                <c:pt idx="35">
                  <c:v>2023</c:v>
                </c:pt>
                <c:pt idx="36">
                  <c:v>2024</c:v>
                </c:pt>
                <c:pt idx="37">
                  <c:v>2025</c:v>
                </c:pt>
              </c:numCache>
            </c:numRef>
          </c:cat>
          <c:val>
            <c:numRef>
              <c:f>송정동20년!$L$231:$AW$231</c:f>
              <c:numCache>
                <c:formatCode>General</c:formatCode>
                <c:ptCount val="38"/>
                <c:pt idx="19" formatCode="_-* #,##0_-;\-* #,##0_-;_-* &quot;-&quot;_-;_-@_-">
                  <c:v>5183</c:v>
                </c:pt>
                <c:pt idx="20" formatCode="#,##0_ ">
                  <c:v>4912.5</c:v>
                </c:pt>
                <c:pt idx="21" formatCode="#,##0_ ">
                  <c:v>4711.5</c:v>
                </c:pt>
                <c:pt idx="22" formatCode="#,##0_ ">
                  <c:v>4513.5</c:v>
                </c:pt>
                <c:pt idx="23" formatCode="#,##0_ ">
                  <c:v>4317.5</c:v>
                </c:pt>
                <c:pt idx="24" formatCode="#,##0_ ">
                  <c:v>4124</c:v>
                </c:pt>
                <c:pt idx="25" formatCode="#,##0_ ">
                  <c:v>3932.5</c:v>
                </c:pt>
                <c:pt idx="26" formatCode="#,##0_ ">
                  <c:v>3743.5</c:v>
                </c:pt>
                <c:pt idx="27" formatCode="#,##0_ ">
                  <c:v>3556</c:v>
                </c:pt>
                <c:pt idx="28" formatCode="#,##0_ ">
                  <c:v>3371.5</c:v>
                </c:pt>
                <c:pt idx="29" formatCode="#,##0_ ">
                  <c:v>3189</c:v>
                </c:pt>
                <c:pt idx="30" formatCode="#,##0_ ">
                  <c:v>3009</c:v>
                </c:pt>
                <c:pt idx="31" formatCode="#,##0_ ">
                  <c:v>2830.5</c:v>
                </c:pt>
                <c:pt idx="32" formatCode="#,##0_ ">
                  <c:v>2654.5</c:v>
                </c:pt>
                <c:pt idx="33" formatCode="#,##0_ ">
                  <c:v>2480</c:v>
                </c:pt>
                <c:pt idx="34" formatCode="#,##0_ ">
                  <c:v>2308.5</c:v>
                </c:pt>
                <c:pt idx="35" formatCode="#,##0_ ">
                  <c:v>2138</c:v>
                </c:pt>
                <c:pt idx="36" formatCode="#,##0_ ">
                  <c:v>1970.5</c:v>
                </c:pt>
                <c:pt idx="37" formatCode="#,##0_ ">
                  <c:v>1804</c:v>
                </c:pt>
              </c:numCache>
            </c:numRef>
          </c:val>
        </c:ser>
        <c:ser>
          <c:idx val="6"/>
          <c:order val="4"/>
          <c:tx>
            <c:v>과거</c:v>
          </c:tx>
          <c:spPr>
            <a:ln w="12700">
              <a:solidFill>
                <a:srgbClr val="008080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008080"/>
                </a:solidFill>
                <a:prstDash val="solid"/>
              </a:ln>
            </c:spPr>
          </c:marker>
          <c:cat>
            <c:numRef>
              <c:f>송정동20년!$L$225:$AX$225</c:f>
              <c:numCache>
                <c:formatCode>General</c:formatCode>
                <c:ptCount val="39"/>
                <c:pt idx="0">
                  <c:v>1988</c:v>
                </c:pt>
                <c:pt idx="1">
                  <c:v>1989</c:v>
                </c:pt>
                <c:pt idx="2">
                  <c:v>1990</c:v>
                </c:pt>
                <c:pt idx="3">
                  <c:v>1991</c:v>
                </c:pt>
                <c:pt idx="4">
                  <c:v>1992</c:v>
                </c:pt>
                <c:pt idx="5">
                  <c:v>1993</c:v>
                </c:pt>
                <c:pt idx="6">
                  <c:v>1994</c:v>
                </c:pt>
                <c:pt idx="7">
                  <c:v>1995</c:v>
                </c:pt>
                <c:pt idx="8">
                  <c:v>1996</c:v>
                </c:pt>
                <c:pt idx="9">
                  <c:v>1997</c:v>
                </c:pt>
                <c:pt idx="10">
                  <c:v>1998</c:v>
                </c:pt>
                <c:pt idx="11">
                  <c:v>1999</c:v>
                </c:pt>
                <c:pt idx="12">
                  <c:v>2000</c:v>
                </c:pt>
                <c:pt idx="13">
                  <c:v>2001</c:v>
                </c:pt>
                <c:pt idx="14">
                  <c:v>2002</c:v>
                </c:pt>
                <c:pt idx="15">
                  <c:v>2003</c:v>
                </c:pt>
                <c:pt idx="16">
                  <c:v>2004</c:v>
                </c:pt>
                <c:pt idx="17">
                  <c:v>2005</c:v>
                </c:pt>
                <c:pt idx="18">
                  <c:v>2006</c:v>
                </c:pt>
                <c:pt idx="19">
                  <c:v>2007</c:v>
                </c:pt>
                <c:pt idx="20">
                  <c:v>2008</c:v>
                </c:pt>
                <c:pt idx="21">
                  <c:v>2009</c:v>
                </c:pt>
                <c:pt idx="22">
                  <c:v>2010</c:v>
                </c:pt>
                <c:pt idx="23">
                  <c:v>2011</c:v>
                </c:pt>
                <c:pt idx="24">
                  <c:v>2012</c:v>
                </c:pt>
                <c:pt idx="25">
                  <c:v>2013</c:v>
                </c:pt>
                <c:pt idx="26">
                  <c:v>2014</c:v>
                </c:pt>
                <c:pt idx="27">
                  <c:v>2015</c:v>
                </c:pt>
                <c:pt idx="28">
                  <c:v>2016</c:v>
                </c:pt>
                <c:pt idx="29">
                  <c:v>2017</c:v>
                </c:pt>
                <c:pt idx="30">
                  <c:v>2018</c:v>
                </c:pt>
                <c:pt idx="31">
                  <c:v>2019</c:v>
                </c:pt>
                <c:pt idx="32">
                  <c:v>2020</c:v>
                </c:pt>
                <c:pt idx="33">
                  <c:v>2021</c:v>
                </c:pt>
                <c:pt idx="34">
                  <c:v>2022</c:v>
                </c:pt>
                <c:pt idx="35">
                  <c:v>2023</c:v>
                </c:pt>
                <c:pt idx="36">
                  <c:v>2024</c:v>
                </c:pt>
                <c:pt idx="37">
                  <c:v>2025</c:v>
                </c:pt>
              </c:numCache>
            </c:numRef>
          </c:cat>
          <c:val>
            <c:numRef>
              <c:f>송정동20년!$L$223:$AG$223</c:f>
              <c:numCache>
                <c:formatCode>_-* #,##0_-;\-* #,##0_-;_-* "-"_-;_-@_-</c:formatCode>
                <c:ptCount val="22"/>
                <c:pt idx="0" formatCode="General">
                  <c:v>9467</c:v>
                </c:pt>
                <c:pt idx="1">
                  <c:v>10116</c:v>
                </c:pt>
                <c:pt idx="2" formatCode="General">
                  <c:v>8540</c:v>
                </c:pt>
                <c:pt idx="3">
                  <c:v>8362</c:v>
                </c:pt>
                <c:pt idx="4" formatCode="General">
                  <c:v>7873</c:v>
                </c:pt>
                <c:pt idx="5">
                  <c:v>7706</c:v>
                </c:pt>
                <c:pt idx="6">
                  <c:v>7428</c:v>
                </c:pt>
                <c:pt idx="7">
                  <c:v>7107</c:v>
                </c:pt>
                <c:pt idx="8">
                  <c:v>7208</c:v>
                </c:pt>
                <c:pt idx="9">
                  <c:v>6952</c:v>
                </c:pt>
                <c:pt idx="10">
                  <c:v>6698</c:v>
                </c:pt>
                <c:pt idx="11">
                  <c:v>6610</c:v>
                </c:pt>
                <c:pt idx="12">
                  <c:v>6347</c:v>
                </c:pt>
                <c:pt idx="13">
                  <c:v>6154</c:v>
                </c:pt>
                <c:pt idx="14">
                  <c:v>5940</c:v>
                </c:pt>
                <c:pt idx="15">
                  <c:v>5740</c:v>
                </c:pt>
                <c:pt idx="16">
                  <c:v>5718</c:v>
                </c:pt>
                <c:pt idx="17">
                  <c:v>5709</c:v>
                </c:pt>
                <c:pt idx="18">
                  <c:v>5399</c:v>
                </c:pt>
                <c:pt idx="19">
                  <c:v>5183</c:v>
                </c:pt>
                <c:pt idx="20">
                  <c:v>4867</c:v>
                </c:pt>
              </c:numCache>
            </c:numRef>
          </c:val>
        </c:ser>
        <c:ser>
          <c:idx val="2"/>
          <c:order val="5"/>
          <c:tx>
            <c:v>등비</c:v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FF0000"/>
                </a:solidFill>
                <a:prstDash val="solid"/>
              </a:ln>
            </c:spPr>
          </c:marker>
          <c:val>
            <c:numRef>
              <c:f>송정동20년!$L$228:$AW$228</c:f>
              <c:numCache>
                <c:formatCode>General</c:formatCode>
                <c:ptCount val="38"/>
                <c:pt idx="19" formatCode="_-* #,##0_-;\-* #,##0_-;_-* &quot;-&quot;_-;_-@_-">
                  <c:v>5183</c:v>
                </c:pt>
                <c:pt idx="20" formatCode="_-* #,##0_-;\-* #,##0_-;_-* &quot;-&quot;_-;_-@_-">
                  <c:v>5021</c:v>
                </c:pt>
                <c:pt idx="21" formatCode="_-* #,##0_-;\-* #,##0_-;_-* &quot;-&quot;_-;_-@_-">
                  <c:v>4864</c:v>
                </c:pt>
                <c:pt idx="22" formatCode="_-* #,##0_-;\-* #,##0_-;_-* &quot;-&quot;_-;_-@_-">
                  <c:v>4713</c:v>
                </c:pt>
                <c:pt idx="23" formatCode="_-* #,##0_-;\-* #,##0_-;_-* &quot;-&quot;_-;_-@_-">
                  <c:v>4566</c:v>
                </c:pt>
                <c:pt idx="24" formatCode="_-* #,##0_-;\-* #,##0_-;_-* &quot;-&quot;_-;_-@_-">
                  <c:v>4423</c:v>
                </c:pt>
                <c:pt idx="25" formatCode="_-* #,##0_-;\-* #,##0_-;_-* &quot;-&quot;_-;_-@_-">
                  <c:v>4285</c:v>
                </c:pt>
                <c:pt idx="26" formatCode="_-* #,##0_-;\-* #,##0_-;_-* &quot;-&quot;_-;_-@_-">
                  <c:v>4151</c:v>
                </c:pt>
                <c:pt idx="27" formatCode="_-* #,##0_-;\-* #,##0_-;_-* &quot;-&quot;_-;_-@_-">
                  <c:v>4022</c:v>
                </c:pt>
                <c:pt idx="28" formatCode="_-* #,##0_-;\-* #,##0_-;_-* &quot;-&quot;_-;_-@_-">
                  <c:v>3896</c:v>
                </c:pt>
                <c:pt idx="29" formatCode="_-* #,##0_-;\-* #,##0_-;_-* &quot;-&quot;_-;_-@_-">
                  <c:v>3775</c:v>
                </c:pt>
                <c:pt idx="30" formatCode="_-* #,##0_-;\-* #,##0_-;_-* &quot;-&quot;_-;_-@_-">
                  <c:v>3657</c:v>
                </c:pt>
                <c:pt idx="31" formatCode="_-* #,##0_-;\-* #,##0_-;_-* &quot;-&quot;_-;_-@_-">
                  <c:v>3543</c:v>
                </c:pt>
                <c:pt idx="32" formatCode="_-* #,##0_-;\-* #,##0_-;_-* &quot;-&quot;_-;_-@_-">
                  <c:v>3432</c:v>
                </c:pt>
                <c:pt idx="33" formatCode="_-* #,##0_-;\-* #,##0_-;_-* &quot;-&quot;_-;_-@_-">
                  <c:v>3325</c:v>
                </c:pt>
                <c:pt idx="34" formatCode="_-* #,##0_-;\-* #,##0_-;_-* &quot;-&quot;_-;_-@_-">
                  <c:v>3221</c:v>
                </c:pt>
                <c:pt idx="35" formatCode="_-* #,##0_-;\-* #,##0_-;_-* &quot;-&quot;_-;_-@_-">
                  <c:v>3121</c:v>
                </c:pt>
                <c:pt idx="36" formatCode="_-* #,##0_-;\-* #,##0_-;_-* &quot;-&quot;_-;_-@_-">
                  <c:v>3023</c:v>
                </c:pt>
                <c:pt idx="37" formatCode="_-* #,##0_-;\-* #,##0_-;_-* &quot;-&quot;_-;_-@_-">
                  <c:v>2929</c:v>
                </c:pt>
              </c:numCache>
            </c:numRef>
          </c:val>
        </c:ser>
        <c:marker val="1"/>
        <c:axId val="126366464"/>
        <c:axId val="126368384"/>
      </c:lineChart>
      <c:catAx>
        <c:axId val="126366464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875" b="0" i="0" u="none" strike="noStrike" baseline="0">
                    <a:solidFill>
                      <a:srgbClr val="000000"/>
                    </a:solidFill>
                    <a:latin typeface="돋움"/>
                    <a:ea typeface="돋움"/>
                    <a:cs typeface="돋움"/>
                  </a:defRPr>
                </a:pPr>
                <a:r>
                  <a:rPr altLang="en-US"/>
                  <a:t>연도</a:t>
                </a:r>
              </a:p>
            </c:rich>
          </c:tx>
          <c:layout>
            <c:manualLayout>
              <c:xMode val="edge"/>
              <c:yMode val="edge"/>
              <c:x val="0.50336346409613442"/>
              <c:y val="0.81939243336028011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maj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돋움"/>
                <a:ea typeface="돋움"/>
                <a:cs typeface="돋움"/>
              </a:defRPr>
            </a:pPr>
            <a:endParaRPr lang="ko-KR"/>
          </a:p>
        </c:txPr>
        <c:crossAx val="126368384"/>
        <c:crosses val="autoZero"/>
        <c:auto val="1"/>
        <c:lblAlgn val="ctr"/>
        <c:lblOffset val="100"/>
        <c:tickLblSkip val="2"/>
        <c:tickMarkSkip val="1"/>
      </c:catAx>
      <c:valAx>
        <c:axId val="126368384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맑은 고딕"/>
                    <a:ea typeface="맑은 고딕"/>
                    <a:cs typeface="맑은 고딕"/>
                  </a:defRPr>
                </a:pPr>
                <a:r>
                  <a:rPr lang="ko-KR" altLang="en-US" sz="875" b="0" i="0" strike="noStrike">
                    <a:solidFill>
                      <a:srgbClr val="000000"/>
                    </a:solidFill>
                    <a:latin typeface="돋움"/>
                    <a:ea typeface="돋움"/>
                  </a:rPr>
                  <a:t>인구</a:t>
                </a:r>
                <a:r>
                  <a:rPr lang="en-US" altLang="ko-KR" sz="875" b="0" i="0" strike="noStrike">
                    <a:solidFill>
                      <a:srgbClr val="000000"/>
                    </a:solidFill>
                    <a:latin typeface="돋움"/>
                    <a:ea typeface="돋움"/>
                  </a:rPr>
                  <a:t>(</a:t>
                </a:r>
                <a:r>
                  <a:rPr lang="ko-KR" altLang="en-US" sz="875" b="0" i="0" strike="noStrike">
                    <a:solidFill>
                      <a:srgbClr val="000000"/>
                    </a:solidFill>
                    <a:latin typeface="돋움"/>
                    <a:ea typeface="돋움"/>
                  </a:rPr>
                  <a:t>명</a:t>
                </a:r>
                <a:r>
                  <a:rPr lang="en-US" altLang="ko-KR" sz="875" b="0" i="0" strike="noStrike">
                    <a:solidFill>
                      <a:srgbClr val="000000"/>
                    </a:solidFill>
                    <a:latin typeface="돋움"/>
                    <a:ea typeface="돋움"/>
                  </a:rPr>
                  <a:t>)</a:t>
                </a:r>
              </a:p>
            </c:rich>
          </c:tx>
          <c:layout>
            <c:manualLayout>
              <c:xMode val="edge"/>
              <c:yMode val="edge"/>
              <c:x val="2.5784753363228687E-2"/>
              <c:y val="0.38212967675618492"/>
            </c:manualLayout>
          </c:layout>
          <c:spPr>
            <a:noFill/>
            <a:ln w="25400">
              <a:noFill/>
            </a:ln>
          </c:spPr>
        </c:title>
        <c:numFmt formatCode="#,##0_ " sourceLinked="0"/>
        <c:maj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돋움"/>
                <a:ea typeface="돋움"/>
                <a:cs typeface="돋움"/>
              </a:defRPr>
            </a:pPr>
            <a:endParaRPr lang="ko-KR"/>
          </a:p>
        </c:txPr>
        <c:crossAx val="126366464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wMode val="edge"/>
          <c:hMode val="edge"/>
          <c:x val="0.12668173204806787"/>
          <c:y val="0.89733920142111512"/>
          <c:w val="0.91479879476948922"/>
          <c:h val="0.95817570332225577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돋움"/>
              <a:ea typeface="돋움"/>
              <a:cs typeface="돋움"/>
            </a:defRPr>
          </a:pPr>
          <a:endParaRPr lang="ko-KR"/>
        </a:p>
      </c:txPr>
    </c:legend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75" b="0" i="0" u="none" strike="noStrike" baseline="0">
          <a:solidFill>
            <a:srgbClr val="000000"/>
          </a:solidFill>
          <a:latin typeface="돋움"/>
          <a:ea typeface="돋움"/>
          <a:cs typeface="돋움"/>
        </a:defRPr>
      </a:pPr>
      <a:endParaRPr lang="ko-KR"/>
    </a:p>
  </c:txPr>
  <c:printSettings>
    <c:headerFooter alignWithMargins="0"/>
    <c:pageMargins b="1" l="0.75000000000000144" r="0.75000000000000144" t="1" header="0.5" footer="0.5"/>
    <c:pageSetup paperSize="9"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ko-KR"/>
  <c:chart>
    <c:title>
      <c:tx>
        <c:rich>
          <a:bodyPr/>
          <a:lstStyle/>
          <a:p>
            <a:pPr>
              <a:defRPr sz="1175" b="1" i="0" u="none" strike="noStrike" baseline="0">
                <a:solidFill>
                  <a:srgbClr val="000000"/>
                </a:solidFill>
                <a:latin typeface="돋움"/>
                <a:ea typeface="돋움"/>
                <a:cs typeface="돋움"/>
              </a:defRPr>
            </a:pPr>
            <a:r>
              <a:rPr altLang="en-US"/>
              <a:t>송정동</a:t>
            </a:r>
          </a:p>
        </c:rich>
      </c:tx>
      <c:layout>
        <c:manualLayout>
          <c:xMode val="edge"/>
          <c:yMode val="edge"/>
          <c:x val="0.46861010086743682"/>
          <c:y val="2.8517110266159756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9.7533685676984214E-2"/>
          <c:y val="9.3155980012012529E-2"/>
          <c:w val="0.83744440460583214"/>
          <c:h val="0.67680671192400665"/>
        </c:manualLayout>
      </c:layout>
      <c:lineChart>
        <c:grouping val="standard"/>
        <c:ser>
          <c:idx val="0"/>
          <c:order val="0"/>
          <c:tx>
            <c:v>등차</c:v>
          </c:tx>
          <c:spPr>
            <a:ln w="3175">
              <a:solidFill>
                <a:srgbClr val="000080"/>
              </a:solidFill>
              <a:prstDash val="solid"/>
            </a:ln>
          </c:spPr>
          <c:marker>
            <c:symbol val="diamond"/>
            <c:size val="3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송정동10!$L$181:$AO$181</c:f>
              <c:numCache>
                <c:formatCode>General</c:formatCode>
                <c:ptCount val="30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  <c:pt idx="22">
                  <c:v>2019</c:v>
                </c:pt>
                <c:pt idx="23">
                  <c:v>2020</c:v>
                </c:pt>
                <c:pt idx="24">
                  <c:v>2021</c:v>
                </c:pt>
                <c:pt idx="25">
                  <c:v>2022</c:v>
                </c:pt>
                <c:pt idx="26">
                  <c:v>2023</c:v>
                </c:pt>
                <c:pt idx="27">
                  <c:v>2024</c:v>
                </c:pt>
                <c:pt idx="28">
                  <c:v>2025</c:v>
                </c:pt>
              </c:numCache>
            </c:numRef>
          </c:cat>
          <c:val>
            <c:numRef>
              <c:f>송정동10!$L$182:$AN$182</c:f>
              <c:numCache>
                <c:formatCode>General</c:formatCode>
                <c:ptCount val="29"/>
                <c:pt idx="10" formatCode="_-* #,##0_-;\-* #,##0_-;_-* &quot;-&quot;_-;_-@_-">
                  <c:v>5183</c:v>
                </c:pt>
                <c:pt idx="11" formatCode="_-* #,##0_-;\-* #,##0_-;_-* &quot;-&quot;_-;_-@_-">
                  <c:v>5006</c:v>
                </c:pt>
                <c:pt idx="12" formatCode="_-* #,##0_-;\-* #,##0_-;_-* &quot;-&quot;_-;_-@_-">
                  <c:v>4829</c:v>
                </c:pt>
                <c:pt idx="13" formatCode="_-* #,##0_-;\-* #,##0_-;_-* &quot;-&quot;_-;_-@_-">
                  <c:v>4652</c:v>
                </c:pt>
                <c:pt idx="14" formatCode="_-* #,##0_-;\-* #,##0_-;_-* &quot;-&quot;_-;_-@_-">
                  <c:v>4475</c:v>
                </c:pt>
                <c:pt idx="15" formatCode="_-* #,##0_-;\-* #,##0_-;_-* &quot;-&quot;_-;_-@_-">
                  <c:v>4299</c:v>
                </c:pt>
                <c:pt idx="16" formatCode="_-* #,##0_-;\-* #,##0_-;_-* &quot;-&quot;_-;_-@_-">
                  <c:v>4122</c:v>
                </c:pt>
                <c:pt idx="17" formatCode="_-* #,##0_-;\-* #,##0_-;_-* &quot;-&quot;_-;_-@_-">
                  <c:v>3945</c:v>
                </c:pt>
                <c:pt idx="18" formatCode="_-* #,##0_-;\-* #,##0_-;_-* &quot;-&quot;_-;_-@_-">
                  <c:v>3768</c:v>
                </c:pt>
                <c:pt idx="19" formatCode="_-* #,##0_-;\-* #,##0_-;_-* &quot;-&quot;_-;_-@_-">
                  <c:v>3591</c:v>
                </c:pt>
                <c:pt idx="20" formatCode="_-* #,##0_-;\-* #,##0_-;_-* &quot;-&quot;_-;_-@_-">
                  <c:v>3414</c:v>
                </c:pt>
                <c:pt idx="21" formatCode="_-* #,##0_-;\-* #,##0_-;_-* &quot;-&quot;_-;_-@_-">
                  <c:v>3237</c:v>
                </c:pt>
                <c:pt idx="22" formatCode="_-* #,##0_-;\-* #,##0_-;_-* &quot;-&quot;_-;_-@_-">
                  <c:v>3060</c:v>
                </c:pt>
                <c:pt idx="23" formatCode="_-* #,##0_-;\-* #,##0_-;_-* &quot;-&quot;_-;_-@_-">
                  <c:v>2883</c:v>
                </c:pt>
                <c:pt idx="24" formatCode="_-* #,##0_-;\-* #,##0_-;_-* &quot;-&quot;_-;_-@_-">
                  <c:v>2706</c:v>
                </c:pt>
                <c:pt idx="25" formatCode="_-* #,##0_-;\-* #,##0_-;_-* &quot;-&quot;_-;_-@_-">
                  <c:v>2530</c:v>
                </c:pt>
                <c:pt idx="26" formatCode="_-* #,##0_-;\-* #,##0_-;_-* &quot;-&quot;_-;_-@_-">
                  <c:v>2353</c:v>
                </c:pt>
                <c:pt idx="27" formatCode="_-* #,##0_-;\-* #,##0_-;_-* &quot;-&quot;_-;_-@_-">
                  <c:v>2176</c:v>
                </c:pt>
                <c:pt idx="28" formatCode="_-* #,##0_-;\-* #,##0_-;_-* &quot;-&quot;_-;_-@_-">
                  <c:v>1999</c:v>
                </c:pt>
              </c:numCache>
            </c:numRef>
          </c:val>
        </c:ser>
        <c:ser>
          <c:idx val="1"/>
          <c:order val="1"/>
          <c:tx>
            <c:v>최소</c:v>
          </c:tx>
          <c:spPr>
            <a:ln w="3175">
              <a:solidFill>
                <a:srgbClr val="FF00FF"/>
              </a:solidFill>
              <a:prstDash val="solid"/>
            </a:ln>
          </c:spPr>
          <c:marker>
            <c:symbol val="square"/>
            <c:size val="3"/>
            <c:spPr>
              <a:noFill/>
              <a:ln>
                <a:solidFill>
                  <a:srgbClr val="FF00FF"/>
                </a:solidFill>
                <a:prstDash val="solid"/>
              </a:ln>
            </c:spPr>
          </c:marker>
          <c:cat>
            <c:numRef>
              <c:f>송정동10!$L$181:$AO$181</c:f>
              <c:numCache>
                <c:formatCode>General</c:formatCode>
                <c:ptCount val="30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  <c:pt idx="22">
                  <c:v>2019</c:v>
                </c:pt>
                <c:pt idx="23">
                  <c:v>2020</c:v>
                </c:pt>
                <c:pt idx="24">
                  <c:v>2021</c:v>
                </c:pt>
                <c:pt idx="25">
                  <c:v>2022</c:v>
                </c:pt>
                <c:pt idx="26">
                  <c:v>2023</c:v>
                </c:pt>
                <c:pt idx="27">
                  <c:v>2024</c:v>
                </c:pt>
                <c:pt idx="28">
                  <c:v>2025</c:v>
                </c:pt>
              </c:numCache>
            </c:numRef>
          </c:cat>
          <c:val>
            <c:numRef>
              <c:f>송정동10!$L$183:$AN$183</c:f>
              <c:numCache>
                <c:formatCode>General</c:formatCode>
                <c:ptCount val="29"/>
                <c:pt idx="10" formatCode="_-* #,##0_-;\-* #,##0_-;_-* &quot;-&quot;_-;_-@_-">
                  <c:v>5183</c:v>
                </c:pt>
                <c:pt idx="11" formatCode="_-* #,##0_-;\-* #,##0_-;_-* &quot;-&quot;_-;_-@_-">
                  <c:v>5036</c:v>
                </c:pt>
                <c:pt idx="12" formatCode="_-* #,##0_-;\-* #,##0_-;_-* &quot;-&quot;_-;_-@_-">
                  <c:v>4869</c:v>
                </c:pt>
                <c:pt idx="13" formatCode="_-* #,##0_-;\-* #,##0_-;_-* &quot;-&quot;_-;_-@_-">
                  <c:v>4702</c:v>
                </c:pt>
                <c:pt idx="14" formatCode="_-* #,##0_-;\-* #,##0_-;_-* &quot;-&quot;_-;_-@_-">
                  <c:v>4534</c:v>
                </c:pt>
                <c:pt idx="15" formatCode="_-* #,##0_-;\-* #,##0_-;_-* &quot;-&quot;_-;_-@_-">
                  <c:v>4367</c:v>
                </c:pt>
                <c:pt idx="16" formatCode="_-* #,##0_-;\-* #,##0_-;_-* &quot;-&quot;_-;_-@_-">
                  <c:v>4199</c:v>
                </c:pt>
                <c:pt idx="17" formatCode="_-* #,##0_-;\-* #,##0_-;_-* &quot;-&quot;_-;_-@_-">
                  <c:v>4032</c:v>
                </c:pt>
                <c:pt idx="18" formatCode="_-* #,##0_-;\-* #,##0_-;_-* &quot;-&quot;_-;_-@_-">
                  <c:v>3864</c:v>
                </c:pt>
                <c:pt idx="19" formatCode="_-* #,##0_-;\-* #,##0_-;_-* &quot;-&quot;_-;_-@_-">
                  <c:v>3697</c:v>
                </c:pt>
                <c:pt idx="20" formatCode="_-* #,##0_-;\-* #,##0_-;_-* &quot;-&quot;_-;_-@_-">
                  <c:v>3530</c:v>
                </c:pt>
                <c:pt idx="21" formatCode="_-* #,##0_-;\-* #,##0_-;_-* &quot;-&quot;_-;_-@_-">
                  <c:v>3362</c:v>
                </c:pt>
                <c:pt idx="22" formatCode="_-* #,##0_-;\-* #,##0_-;_-* &quot;-&quot;_-;_-@_-">
                  <c:v>3195</c:v>
                </c:pt>
                <c:pt idx="23" formatCode="_-* #,##0_-;\-* #,##0_-;_-* &quot;-&quot;_-;_-@_-">
                  <c:v>3027</c:v>
                </c:pt>
                <c:pt idx="24" formatCode="_-* #,##0_-;\-* #,##0_-;_-* &quot;-&quot;_-;_-@_-">
                  <c:v>2860</c:v>
                </c:pt>
                <c:pt idx="25" formatCode="_-* #,##0_-;\-* #,##0_-;_-* &quot;-&quot;_-;_-@_-">
                  <c:v>2693</c:v>
                </c:pt>
                <c:pt idx="26" formatCode="_-* #,##0_-;\-* #,##0_-;_-* &quot;-&quot;_-;_-@_-">
                  <c:v>2525</c:v>
                </c:pt>
                <c:pt idx="27" formatCode="_-* #,##0_-;\-* #,##0_-;_-* &quot;-&quot;_-;_-@_-">
                  <c:v>2358</c:v>
                </c:pt>
                <c:pt idx="28" formatCode="_-* #,##0_-;\-* #,##0_-;_-* &quot;-&quot;_-;_-@_-">
                  <c:v>2190</c:v>
                </c:pt>
              </c:numCache>
            </c:numRef>
          </c:val>
        </c:ser>
        <c:ser>
          <c:idx val="4"/>
          <c:order val="2"/>
          <c:tx>
            <c:v>로지스틱</c:v>
          </c:tx>
          <c:spPr>
            <a:ln w="3175">
              <a:solidFill>
                <a:srgbClr val="800080"/>
              </a:solidFill>
              <a:prstDash val="solid"/>
            </a:ln>
          </c:spPr>
          <c:marker>
            <c:symbol val="circle"/>
            <c:size val="3"/>
            <c:spPr>
              <a:noFill/>
              <a:ln>
                <a:solidFill>
                  <a:srgbClr val="800080"/>
                </a:solidFill>
                <a:prstDash val="solid"/>
              </a:ln>
            </c:spPr>
          </c:marker>
          <c:cat>
            <c:numRef>
              <c:f>송정동10!$L$181:$AO$181</c:f>
              <c:numCache>
                <c:formatCode>General</c:formatCode>
                <c:ptCount val="30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  <c:pt idx="22">
                  <c:v>2019</c:v>
                </c:pt>
                <c:pt idx="23">
                  <c:v>2020</c:v>
                </c:pt>
                <c:pt idx="24">
                  <c:v>2021</c:v>
                </c:pt>
                <c:pt idx="25">
                  <c:v>2022</c:v>
                </c:pt>
                <c:pt idx="26">
                  <c:v>2023</c:v>
                </c:pt>
                <c:pt idx="27">
                  <c:v>2024</c:v>
                </c:pt>
                <c:pt idx="28">
                  <c:v>2025</c:v>
                </c:pt>
              </c:numCache>
            </c:numRef>
          </c:cat>
          <c:val>
            <c:numRef>
              <c:f>송정동10!$L$186:$AN$186</c:f>
              <c:numCache>
                <c:formatCode>General</c:formatCode>
                <c:ptCount val="29"/>
                <c:pt idx="10" formatCode="_-* #,##0_-;\-* #,##0_-;_-* &quot;-&quot;_-;_-@_-">
                  <c:v>5183</c:v>
                </c:pt>
                <c:pt idx="11" formatCode="_-* #,##0_-;\-* #,##0_-;_-* &quot;-&quot;_-;_-@_-">
                  <c:v>5054</c:v>
                </c:pt>
                <c:pt idx="12" formatCode="_-* #,##0_-;\-* #,##0_-;_-* &quot;-&quot;_-;_-@_-">
                  <c:v>4897</c:v>
                </c:pt>
                <c:pt idx="13" formatCode="_-* #,##0_-;\-* #,##0_-;_-* &quot;-&quot;_-;_-@_-">
                  <c:v>4743</c:v>
                </c:pt>
                <c:pt idx="14" formatCode="_-* #,##0_-;\-* #,##0_-;_-* &quot;-&quot;_-;_-@_-">
                  <c:v>4590</c:v>
                </c:pt>
                <c:pt idx="15" formatCode="_-* #,##0_-;\-* #,##0_-;_-* &quot;-&quot;_-;_-@_-">
                  <c:v>4440</c:v>
                </c:pt>
                <c:pt idx="16" formatCode="_-* #,##0_-;\-* #,##0_-;_-* &quot;-&quot;_-;_-@_-">
                  <c:v>4293</c:v>
                </c:pt>
                <c:pt idx="17" formatCode="_-* #,##0_-;\-* #,##0_-;_-* &quot;-&quot;_-;_-@_-">
                  <c:v>4149</c:v>
                </c:pt>
                <c:pt idx="18" formatCode="_-* #,##0_-;\-* #,##0_-;_-* &quot;-&quot;_-;_-@_-">
                  <c:v>4007</c:v>
                </c:pt>
                <c:pt idx="19" formatCode="_-* #,##0_-;\-* #,##0_-;_-* &quot;-&quot;_-;_-@_-">
                  <c:v>3868</c:v>
                </c:pt>
                <c:pt idx="20" formatCode="_-* #,##0_-;\-* #,##0_-;_-* &quot;-&quot;_-;_-@_-">
                  <c:v>3733</c:v>
                </c:pt>
                <c:pt idx="21" formatCode="_-* #,##0_-;\-* #,##0_-;_-* &quot;-&quot;_-;_-@_-">
                  <c:v>3600</c:v>
                </c:pt>
                <c:pt idx="22" formatCode="_-* #,##0_-;\-* #,##0_-;_-* &quot;-&quot;_-;_-@_-">
                  <c:v>3470</c:v>
                </c:pt>
                <c:pt idx="23" formatCode="_-* #,##0_-;\-* #,##0_-;_-* &quot;-&quot;_-;_-@_-">
                  <c:v>3344</c:v>
                </c:pt>
                <c:pt idx="24" formatCode="_-* #,##0_-;\-* #,##0_-;_-* &quot;-&quot;_-;_-@_-">
                  <c:v>3221</c:v>
                </c:pt>
                <c:pt idx="25" formatCode="_-* #,##0_-;\-* #,##0_-;_-* &quot;-&quot;_-;_-@_-">
                  <c:v>3101</c:v>
                </c:pt>
                <c:pt idx="26" formatCode="_-* #,##0_-;\-* #,##0_-;_-* &quot;-&quot;_-;_-@_-">
                  <c:v>2984</c:v>
                </c:pt>
                <c:pt idx="27" formatCode="_-* #,##0_-;\-* #,##0_-;_-* &quot;-&quot;_-;_-@_-">
                  <c:v>2870</c:v>
                </c:pt>
                <c:pt idx="28" formatCode="_-* #,##0_-;\-* #,##0_-;_-* &quot;-&quot;_-;_-@_-">
                  <c:v>2760</c:v>
                </c:pt>
              </c:numCache>
            </c:numRef>
          </c:val>
        </c:ser>
        <c:ser>
          <c:idx val="5"/>
          <c:order val="3"/>
          <c:tx>
            <c:v>평균(최대최소제외)</c:v>
          </c:tx>
          <c:spPr>
            <a:ln w="3175">
              <a:solidFill>
                <a:srgbClr val="800000"/>
              </a:solidFill>
              <a:prstDash val="sysDash"/>
            </a:ln>
          </c:spPr>
          <c:marker>
            <c:symbol val="circle"/>
            <c:size val="3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송정동10!$L$181:$AO$181</c:f>
              <c:numCache>
                <c:formatCode>General</c:formatCode>
                <c:ptCount val="30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  <c:pt idx="22">
                  <c:v>2019</c:v>
                </c:pt>
                <c:pt idx="23">
                  <c:v>2020</c:v>
                </c:pt>
                <c:pt idx="24">
                  <c:v>2021</c:v>
                </c:pt>
                <c:pt idx="25">
                  <c:v>2022</c:v>
                </c:pt>
                <c:pt idx="26">
                  <c:v>2023</c:v>
                </c:pt>
                <c:pt idx="27">
                  <c:v>2024</c:v>
                </c:pt>
                <c:pt idx="28">
                  <c:v>2025</c:v>
                </c:pt>
              </c:numCache>
            </c:numRef>
          </c:cat>
          <c:val>
            <c:numRef>
              <c:f>송정동10!$L$187:$AN$187</c:f>
              <c:numCache>
                <c:formatCode>General</c:formatCode>
                <c:ptCount val="29"/>
                <c:pt idx="10" formatCode="_-* #,##0_-;\-* #,##0_-;_-* &quot;-&quot;_-;_-@_-">
                  <c:v>5183</c:v>
                </c:pt>
                <c:pt idx="11" formatCode="_-* #,##0_-;\-* #,##0_-;_-* &quot;-&quot;_-;_-@_-">
                  <c:v>5032.3</c:v>
                </c:pt>
                <c:pt idx="12" formatCode="#,##0_ ">
                  <c:v>4870.5</c:v>
                </c:pt>
                <c:pt idx="13" formatCode="#,##0_ ">
                  <c:v>4710.8</c:v>
                </c:pt>
                <c:pt idx="14" formatCode="#,##0_ ">
                  <c:v>4590</c:v>
                </c:pt>
                <c:pt idx="15" formatCode="#,##0_ ">
                  <c:v>4440</c:v>
                </c:pt>
                <c:pt idx="16" formatCode="#,##0_ ">
                  <c:v>4293</c:v>
                </c:pt>
                <c:pt idx="17" formatCode="#,##0_ ">
                  <c:v>4149</c:v>
                </c:pt>
                <c:pt idx="18" formatCode="#,##0_ ">
                  <c:v>4007</c:v>
                </c:pt>
                <c:pt idx="19" formatCode="#,##0_ ">
                  <c:v>3868</c:v>
                </c:pt>
                <c:pt idx="20" formatCode="#,##0_ ">
                  <c:v>3733</c:v>
                </c:pt>
                <c:pt idx="21" formatCode="#,##0_ ">
                  <c:v>3600</c:v>
                </c:pt>
                <c:pt idx="22" formatCode="#,##0_ ">
                  <c:v>3470</c:v>
                </c:pt>
                <c:pt idx="23" formatCode="#,##0_ ">
                  <c:v>3344</c:v>
                </c:pt>
                <c:pt idx="24" formatCode="#,##0_ ">
                  <c:v>3221</c:v>
                </c:pt>
                <c:pt idx="25" formatCode="#,##0_ ">
                  <c:v>3101</c:v>
                </c:pt>
                <c:pt idx="26" formatCode="#,##0_ ">
                  <c:v>2984</c:v>
                </c:pt>
                <c:pt idx="27" formatCode="#,##0_ ">
                  <c:v>2870</c:v>
                </c:pt>
                <c:pt idx="28" formatCode="#,##0_ ">
                  <c:v>2760</c:v>
                </c:pt>
              </c:numCache>
            </c:numRef>
          </c:val>
        </c:ser>
        <c:ser>
          <c:idx val="6"/>
          <c:order val="4"/>
          <c:tx>
            <c:v>과거</c:v>
          </c:tx>
          <c:spPr>
            <a:ln w="12700">
              <a:solidFill>
                <a:srgbClr val="008080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008080"/>
                </a:solidFill>
                <a:prstDash val="solid"/>
              </a:ln>
            </c:spPr>
          </c:marker>
          <c:cat>
            <c:numRef>
              <c:f>송정동10!$L$181:$AO$181</c:f>
              <c:numCache>
                <c:formatCode>General</c:formatCode>
                <c:ptCount val="30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  <c:pt idx="22">
                  <c:v>2019</c:v>
                </c:pt>
                <c:pt idx="23">
                  <c:v>2020</c:v>
                </c:pt>
                <c:pt idx="24">
                  <c:v>2021</c:v>
                </c:pt>
                <c:pt idx="25">
                  <c:v>2022</c:v>
                </c:pt>
                <c:pt idx="26">
                  <c:v>2023</c:v>
                </c:pt>
                <c:pt idx="27">
                  <c:v>2024</c:v>
                </c:pt>
                <c:pt idx="28">
                  <c:v>2025</c:v>
                </c:pt>
              </c:numCache>
            </c:numRef>
          </c:cat>
          <c:val>
            <c:numRef>
              <c:f>송정동10!$L$179:$X$179</c:f>
              <c:numCache>
                <c:formatCode>_-* #,##0_-;\-* #,##0_-;_-* "-"_-;_-@_-</c:formatCode>
                <c:ptCount val="13"/>
                <c:pt idx="0">
                  <c:v>6952</c:v>
                </c:pt>
                <c:pt idx="1">
                  <c:v>6698</c:v>
                </c:pt>
                <c:pt idx="2">
                  <c:v>6610</c:v>
                </c:pt>
                <c:pt idx="3" formatCode="General">
                  <c:v>6347</c:v>
                </c:pt>
                <c:pt idx="4">
                  <c:v>6154</c:v>
                </c:pt>
                <c:pt idx="5" formatCode="General">
                  <c:v>5940</c:v>
                </c:pt>
                <c:pt idx="6">
                  <c:v>5740</c:v>
                </c:pt>
                <c:pt idx="7">
                  <c:v>5718</c:v>
                </c:pt>
                <c:pt idx="8">
                  <c:v>5709</c:v>
                </c:pt>
                <c:pt idx="9">
                  <c:v>5399</c:v>
                </c:pt>
                <c:pt idx="10">
                  <c:v>5183</c:v>
                </c:pt>
                <c:pt idx="11">
                  <c:v>5006</c:v>
                </c:pt>
              </c:numCache>
            </c:numRef>
          </c:val>
        </c:ser>
        <c:ser>
          <c:idx val="2"/>
          <c:order val="5"/>
          <c:tx>
            <c:v>등비</c:v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FF0000"/>
                </a:solidFill>
                <a:prstDash val="solid"/>
              </a:ln>
            </c:spPr>
          </c:marker>
          <c:val>
            <c:numRef>
              <c:f>송정동10!$L$184:$AN$184</c:f>
              <c:numCache>
                <c:formatCode>General</c:formatCode>
                <c:ptCount val="29"/>
                <c:pt idx="10" formatCode="_-* #,##0_-;\-* #,##0_-;_-* &quot;-&quot;_-;_-@_-">
                  <c:v>5183</c:v>
                </c:pt>
                <c:pt idx="11" formatCode="_-* #,##0_-;\-* #,##0_-;_-* &quot;-&quot;_-;_-@_-">
                  <c:v>5033</c:v>
                </c:pt>
                <c:pt idx="12" formatCode="_-* #,##0_-;\-* #,##0_-;_-* &quot;-&quot;_-;_-@_-">
                  <c:v>4887</c:v>
                </c:pt>
                <c:pt idx="13" formatCode="_-* #,##0_-;\-* #,##0_-;_-* &quot;-&quot;_-;_-@_-">
                  <c:v>4746</c:v>
                </c:pt>
                <c:pt idx="14" formatCode="_-* #,##0_-;\-* #,##0_-;_-* &quot;-&quot;_-;_-@_-">
                  <c:v>4608</c:v>
                </c:pt>
                <c:pt idx="15" formatCode="_-* #,##0_-;\-* #,##0_-;_-* &quot;-&quot;_-;_-@_-">
                  <c:v>4475</c:v>
                </c:pt>
                <c:pt idx="16" formatCode="_-* #,##0_-;\-* #,##0_-;_-* &quot;-&quot;_-;_-@_-">
                  <c:v>4346</c:v>
                </c:pt>
                <c:pt idx="17" formatCode="_-* #,##0_-;\-* #,##0_-;_-* &quot;-&quot;_-;_-@_-">
                  <c:v>4220</c:v>
                </c:pt>
                <c:pt idx="18" formatCode="_-* #,##0_-;\-* #,##0_-;_-* &quot;-&quot;_-;_-@_-">
                  <c:v>4098</c:v>
                </c:pt>
                <c:pt idx="19" formatCode="_-* #,##0_-;\-* #,##0_-;_-* &quot;-&quot;_-;_-@_-">
                  <c:v>3979</c:v>
                </c:pt>
                <c:pt idx="20" formatCode="_-* #,##0_-;\-* #,##0_-;_-* &quot;-&quot;_-;_-@_-">
                  <c:v>3864</c:v>
                </c:pt>
                <c:pt idx="21" formatCode="_-* #,##0_-;\-* #,##0_-;_-* &quot;-&quot;_-;_-@_-">
                  <c:v>3752</c:v>
                </c:pt>
                <c:pt idx="22" formatCode="_-* #,##0_-;\-* #,##0_-;_-* &quot;-&quot;_-;_-@_-">
                  <c:v>3644</c:v>
                </c:pt>
                <c:pt idx="23" formatCode="_-* #,##0_-;\-* #,##0_-;_-* &quot;-&quot;_-;_-@_-">
                  <c:v>3538</c:v>
                </c:pt>
                <c:pt idx="24" formatCode="_-* #,##0_-;\-* #,##0_-;_-* &quot;-&quot;_-;_-@_-">
                  <c:v>3436</c:v>
                </c:pt>
                <c:pt idx="25" formatCode="_-* #,##0_-;\-* #,##0_-;_-* &quot;-&quot;_-;_-@_-">
                  <c:v>3336</c:v>
                </c:pt>
                <c:pt idx="26" formatCode="_-* #,##0_-;\-* #,##0_-;_-* &quot;-&quot;_-;_-@_-">
                  <c:v>3240</c:v>
                </c:pt>
                <c:pt idx="27" formatCode="_-* #,##0_-;\-* #,##0_-;_-* &quot;-&quot;_-;_-@_-">
                  <c:v>3146</c:v>
                </c:pt>
                <c:pt idx="28" formatCode="_-* #,##0_-;\-* #,##0_-;_-* &quot;-&quot;_-;_-@_-">
                  <c:v>3055</c:v>
                </c:pt>
              </c:numCache>
            </c:numRef>
          </c:val>
        </c:ser>
        <c:marker val="1"/>
        <c:axId val="128191104"/>
        <c:axId val="128210048"/>
      </c:lineChart>
      <c:catAx>
        <c:axId val="128191104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875" b="0" i="0" u="none" strike="noStrike" baseline="0">
                    <a:solidFill>
                      <a:srgbClr val="000000"/>
                    </a:solidFill>
                    <a:latin typeface="돋움"/>
                    <a:ea typeface="돋움"/>
                    <a:cs typeface="돋움"/>
                  </a:defRPr>
                </a:pPr>
                <a:r>
                  <a:rPr altLang="en-US"/>
                  <a:t>연도</a:t>
                </a:r>
              </a:p>
            </c:rich>
          </c:tx>
          <c:layout>
            <c:manualLayout>
              <c:xMode val="edge"/>
              <c:yMode val="edge"/>
              <c:x val="0.50000023539658589"/>
              <c:y val="0.82129357404468961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maj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돋움"/>
                <a:ea typeface="돋움"/>
                <a:cs typeface="돋움"/>
              </a:defRPr>
            </a:pPr>
            <a:endParaRPr lang="ko-KR"/>
          </a:p>
        </c:txPr>
        <c:crossAx val="128210048"/>
        <c:crosses val="autoZero"/>
        <c:auto val="1"/>
        <c:lblAlgn val="ctr"/>
        <c:lblOffset val="100"/>
        <c:tickLblSkip val="2"/>
        <c:tickMarkSkip val="1"/>
      </c:catAx>
      <c:valAx>
        <c:axId val="128210048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맑은 고딕"/>
                    <a:ea typeface="맑은 고딕"/>
                    <a:cs typeface="맑은 고딕"/>
                  </a:defRPr>
                </a:pPr>
                <a:r>
                  <a:rPr lang="ko-KR" altLang="en-US" sz="875" b="0" i="0" strike="noStrike">
                    <a:solidFill>
                      <a:srgbClr val="000000"/>
                    </a:solidFill>
                    <a:latin typeface="돋움"/>
                    <a:ea typeface="돋움"/>
                  </a:rPr>
                  <a:t>인구</a:t>
                </a:r>
                <a:r>
                  <a:rPr lang="en-US" altLang="ko-KR" sz="875" b="0" i="0" strike="noStrike">
                    <a:solidFill>
                      <a:srgbClr val="000000"/>
                    </a:solidFill>
                    <a:latin typeface="돋움"/>
                    <a:ea typeface="돋움"/>
                  </a:rPr>
                  <a:t>(</a:t>
                </a:r>
                <a:r>
                  <a:rPr lang="ko-KR" altLang="en-US" sz="875" b="0" i="0" strike="noStrike">
                    <a:solidFill>
                      <a:srgbClr val="000000"/>
                    </a:solidFill>
                    <a:latin typeface="돋움"/>
                    <a:ea typeface="돋움"/>
                  </a:rPr>
                  <a:t>명</a:t>
                </a:r>
                <a:r>
                  <a:rPr lang="en-US" altLang="ko-KR" sz="875" b="0" i="0" strike="noStrike">
                    <a:solidFill>
                      <a:srgbClr val="000000"/>
                    </a:solidFill>
                    <a:latin typeface="돋움"/>
                    <a:ea typeface="돋움"/>
                  </a:rPr>
                  <a:t>)</a:t>
                </a:r>
              </a:p>
            </c:rich>
          </c:tx>
          <c:layout>
            <c:manualLayout>
              <c:xMode val="edge"/>
              <c:yMode val="edge"/>
              <c:x val="2.6905829596412592E-2"/>
              <c:y val="0.38403081744059558"/>
            </c:manualLayout>
          </c:layout>
          <c:spPr>
            <a:noFill/>
            <a:ln w="25400">
              <a:noFill/>
            </a:ln>
          </c:spPr>
        </c:title>
        <c:numFmt formatCode="#,##0_ " sourceLinked="0"/>
        <c:maj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돋움"/>
                <a:ea typeface="돋움"/>
                <a:cs typeface="돋움"/>
              </a:defRPr>
            </a:pPr>
            <a:endParaRPr lang="ko-KR"/>
          </a:p>
        </c:txPr>
        <c:crossAx val="128191104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wMode val="edge"/>
          <c:hMode val="edge"/>
          <c:x val="0.12892388451443612"/>
          <c:y val="0.90114148278993644"/>
          <c:w val="0.91704094723585561"/>
          <c:h val="0.96197798469107765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돋움"/>
              <a:ea typeface="돋움"/>
              <a:cs typeface="돋움"/>
            </a:defRPr>
          </a:pPr>
          <a:endParaRPr lang="ko-KR"/>
        </a:p>
      </c:txPr>
    </c:legend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75" b="0" i="0" u="none" strike="noStrike" baseline="0">
          <a:solidFill>
            <a:srgbClr val="000000"/>
          </a:solidFill>
          <a:latin typeface="돋움"/>
          <a:ea typeface="돋움"/>
          <a:cs typeface="돋움"/>
        </a:defRPr>
      </a:pPr>
      <a:endParaRPr lang="ko-KR"/>
    </a:p>
  </c:txPr>
  <c:printSettings>
    <c:headerFooter alignWithMargins="0"/>
    <c:pageMargins b="1" l="0.75000000000000144" r="0.75000000000000144" t="1" header="0.5" footer="0.5"/>
    <c:pageSetup paperSize="9" orientation="landscape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ko-KR"/>
  <c:chart>
    <c:title>
      <c:tx>
        <c:rich>
          <a:bodyPr/>
          <a:lstStyle/>
          <a:p>
            <a:pPr>
              <a:defRPr sz="1175" b="1" i="0" u="none" strike="noStrike" baseline="0">
                <a:solidFill>
                  <a:srgbClr val="000000"/>
                </a:solidFill>
                <a:latin typeface="돋움"/>
                <a:ea typeface="돋움"/>
                <a:cs typeface="돋움"/>
              </a:defRPr>
            </a:pPr>
            <a:r>
              <a:rPr altLang="en-US"/>
              <a:t>송정동</a:t>
            </a:r>
          </a:p>
        </c:rich>
      </c:tx>
      <c:layout>
        <c:manualLayout>
          <c:xMode val="edge"/>
          <c:yMode val="edge"/>
          <c:x val="0.46861010086743682"/>
          <c:y val="2.8517110266159756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9.7533685676984214E-2"/>
          <c:y val="9.1254837562787627E-2"/>
          <c:w val="0.83744440460583214"/>
          <c:h val="0.67680671192400665"/>
        </c:manualLayout>
      </c:layout>
      <c:lineChart>
        <c:grouping val="standard"/>
        <c:ser>
          <c:idx val="0"/>
          <c:order val="0"/>
          <c:tx>
            <c:v>등차</c:v>
          </c:tx>
          <c:spPr>
            <a:ln w="3175">
              <a:solidFill>
                <a:srgbClr val="000080"/>
              </a:solidFill>
              <a:prstDash val="solid"/>
            </a:ln>
          </c:spPr>
          <c:marker>
            <c:symbol val="diamond"/>
            <c:size val="3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송정동5!$L$156:$AI$156</c:f>
              <c:numCache>
                <c:formatCode>General</c:formatCode>
                <c:ptCount val="24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  <c:pt idx="14">
                  <c:v>2016</c:v>
                </c:pt>
                <c:pt idx="15">
                  <c:v>2017</c:v>
                </c:pt>
                <c:pt idx="16">
                  <c:v>2018</c:v>
                </c:pt>
                <c:pt idx="17">
                  <c:v>2019</c:v>
                </c:pt>
                <c:pt idx="18">
                  <c:v>2020</c:v>
                </c:pt>
                <c:pt idx="19">
                  <c:v>2021</c:v>
                </c:pt>
                <c:pt idx="20">
                  <c:v>2022</c:v>
                </c:pt>
                <c:pt idx="21">
                  <c:v>2023</c:v>
                </c:pt>
                <c:pt idx="22">
                  <c:v>2024</c:v>
                </c:pt>
                <c:pt idx="23">
                  <c:v>2025</c:v>
                </c:pt>
              </c:numCache>
            </c:numRef>
          </c:cat>
          <c:val>
            <c:numRef>
              <c:f>송정동5!$L$157:$AN$157</c:f>
              <c:numCache>
                <c:formatCode>General</c:formatCode>
                <c:ptCount val="29"/>
                <c:pt idx="5">
                  <c:v>5183</c:v>
                </c:pt>
                <c:pt idx="6" formatCode="_-* #,##0_-;\-* #,##0_-;_-* &quot;-&quot;_-;_-@_-">
                  <c:v>5032</c:v>
                </c:pt>
                <c:pt idx="7" formatCode="_-* #,##0_-;\-* #,##0_-;_-* &quot;-&quot;_-;_-@_-">
                  <c:v>4880</c:v>
                </c:pt>
                <c:pt idx="8" formatCode="_-* #,##0_-;\-* #,##0_-;_-* &quot;-&quot;_-;_-@_-">
                  <c:v>4729</c:v>
                </c:pt>
                <c:pt idx="9" formatCode="_-* #,##0_-;\-* #,##0_-;_-* &quot;-&quot;_-;_-@_-">
                  <c:v>4577</c:v>
                </c:pt>
                <c:pt idx="10" formatCode="_-* #,##0_-;\-* #,##0_-;_-* &quot;-&quot;_-;_-@_-">
                  <c:v>4426</c:v>
                </c:pt>
                <c:pt idx="11" formatCode="_-* #,##0_-;\-* #,##0_-;_-* &quot;-&quot;_-;_-@_-">
                  <c:v>4275</c:v>
                </c:pt>
                <c:pt idx="12" formatCode="_-* #,##0_-;\-* #,##0_-;_-* &quot;-&quot;_-;_-@_-">
                  <c:v>4123</c:v>
                </c:pt>
                <c:pt idx="13" formatCode="_-* #,##0_-;\-* #,##0_-;_-* &quot;-&quot;_-;_-@_-">
                  <c:v>3972</c:v>
                </c:pt>
                <c:pt idx="14" formatCode="_-* #,##0_-;\-* #,##0_-;_-* &quot;-&quot;_-;_-@_-">
                  <c:v>3820</c:v>
                </c:pt>
                <c:pt idx="15" formatCode="_-* #,##0_-;\-* #,##0_-;_-* &quot;-&quot;_-;_-@_-">
                  <c:v>3669</c:v>
                </c:pt>
                <c:pt idx="16" formatCode="_-* #,##0_-;\-* #,##0_-;_-* &quot;-&quot;_-;_-@_-">
                  <c:v>3518</c:v>
                </c:pt>
                <c:pt idx="17" formatCode="_-* #,##0_-;\-* #,##0_-;_-* &quot;-&quot;_-;_-@_-">
                  <c:v>3366</c:v>
                </c:pt>
                <c:pt idx="18" formatCode="_-* #,##0_-;\-* #,##0_-;_-* &quot;-&quot;_-;_-@_-">
                  <c:v>3215</c:v>
                </c:pt>
                <c:pt idx="19" formatCode="_-* #,##0_-;\-* #,##0_-;_-* &quot;-&quot;_-;_-@_-">
                  <c:v>3063</c:v>
                </c:pt>
                <c:pt idx="20" formatCode="_-* #,##0_-;\-* #,##0_-;_-* &quot;-&quot;_-;_-@_-">
                  <c:v>2912</c:v>
                </c:pt>
                <c:pt idx="21" formatCode="_-* #,##0_-;\-* #,##0_-;_-* &quot;-&quot;_-;_-@_-">
                  <c:v>2761</c:v>
                </c:pt>
                <c:pt idx="22" formatCode="_-* #,##0_-;\-* #,##0_-;_-* &quot;-&quot;_-;_-@_-">
                  <c:v>2609</c:v>
                </c:pt>
                <c:pt idx="23" formatCode="_-* #,##0_-;\-* #,##0_-;_-* &quot;-&quot;_-;_-@_-">
                  <c:v>2458</c:v>
                </c:pt>
              </c:numCache>
            </c:numRef>
          </c:val>
        </c:ser>
        <c:ser>
          <c:idx val="1"/>
          <c:order val="1"/>
          <c:tx>
            <c:v>최소</c:v>
          </c:tx>
          <c:spPr>
            <a:ln w="3175">
              <a:solidFill>
                <a:srgbClr val="FF00FF"/>
              </a:solidFill>
              <a:prstDash val="solid"/>
            </a:ln>
          </c:spPr>
          <c:marker>
            <c:symbol val="square"/>
            <c:size val="3"/>
            <c:spPr>
              <a:noFill/>
              <a:ln>
                <a:solidFill>
                  <a:srgbClr val="FF00FF"/>
                </a:solidFill>
                <a:prstDash val="solid"/>
              </a:ln>
            </c:spPr>
          </c:marker>
          <c:cat>
            <c:numRef>
              <c:f>송정동5!$L$156:$AI$156</c:f>
              <c:numCache>
                <c:formatCode>General</c:formatCode>
                <c:ptCount val="24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  <c:pt idx="14">
                  <c:v>2016</c:v>
                </c:pt>
                <c:pt idx="15">
                  <c:v>2017</c:v>
                </c:pt>
                <c:pt idx="16">
                  <c:v>2018</c:v>
                </c:pt>
                <c:pt idx="17">
                  <c:v>2019</c:v>
                </c:pt>
                <c:pt idx="18">
                  <c:v>2020</c:v>
                </c:pt>
                <c:pt idx="19">
                  <c:v>2021</c:v>
                </c:pt>
                <c:pt idx="20">
                  <c:v>2022</c:v>
                </c:pt>
                <c:pt idx="21">
                  <c:v>2023</c:v>
                </c:pt>
                <c:pt idx="22">
                  <c:v>2024</c:v>
                </c:pt>
                <c:pt idx="23">
                  <c:v>2025</c:v>
                </c:pt>
              </c:numCache>
            </c:numRef>
          </c:cat>
          <c:val>
            <c:numRef>
              <c:f>송정동5!$L$158:$AN$158</c:f>
              <c:numCache>
                <c:formatCode>General</c:formatCode>
                <c:ptCount val="29"/>
                <c:pt idx="5">
                  <c:v>5183</c:v>
                </c:pt>
                <c:pt idx="6" formatCode="_-* #,##0_-;\-* #,##0_-;_-* &quot;-&quot;_-;_-@_-">
                  <c:v>5133</c:v>
                </c:pt>
                <c:pt idx="7" formatCode="_-* #,##0_-;\-* #,##0_-;_-* &quot;-&quot;_-;_-@_-">
                  <c:v>4996</c:v>
                </c:pt>
                <c:pt idx="8" formatCode="_-* #,##0_-;\-* #,##0_-;_-* &quot;-&quot;_-;_-@_-">
                  <c:v>4858</c:v>
                </c:pt>
                <c:pt idx="9" formatCode="_-* #,##0_-;\-* #,##0_-;_-* &quot;-&quot;_-;_-@_-">
                  <c:v>4720</c:v>
                </c:pt>
                <c:pt idx="10" formatCode="_-* #,##0_-;\-* #,##0_-;_-* &quot;-&quot;_-;_-@_-">
                  <c:v>4583</c:v>
                </c:pt>
                <c:pt idx="11" formatCode="_-* #,##0_-;\-* #,##0_-;_-* &quot;-&quot;_-;_-@_-">
                  <c:v>4445</c:v>
                </c:pt>
                <c:pt idx="12" formatCode="_-* #,##0_-;\-* #,##0_-;_-* &quot;-&quot;_-;_-@_-">
                  <c:v>4307</c:v>
                </c:pt>
                <c:pt idx="13" formatCode="_-* #,##0_-;\-* #,##0_-;_-* &quot;-&quot;_-;_-@_-">
                  <c:v>4170</c:v>
                </c:pt>
                <c:pt idx="14" formatCode="_-* #,##0_-;\-* #,##0_-;_-* &quot;-&quot;_-;_-@_-">
                  <c:v>4032</c:v>
                </c:pt>
                <c:pt idx="15" formatCode="_-* #,##0_-;\-* #,##0_-;_-* &quot;-&quot;_-;_-@_-">
                  <c:v>3894</c:v>
                </c:pt>
                <c:pt idx="16" formatCode="_-* #,##0_-;\-* #,##0_-;_-* &quot;-&quot;_-;_-@_-">
                  <c:v>3757</c:v>
                </c:pt>
                <c:pt idx="17" formatCode="_-* #,##0_-;\-* #,##0_-;_-* &quot;-&quot;_-;_-@_-">
                  <c:v>3619</c:v>
                </c:pt>
                <c:pt idx="18" formatCode="_-* #,##0_-;\-* #,##0_-;_-* &quot;-&quot;_-;_-@_-">
                  <c:v>3482</c:v>
                </c:pt>
                <c:pt idx="19" formatCode="_-* #,##0_-;\-* #,##0_-;_-* &quot;-&quot;_-;_-@_-">
                  <c:v>3344</c:v>
                </c:pt>
                <c:pt idx="20" formatCode="_-* #,##0_-;\-* #,##0_-;_-* &quot;-&quot;_-;_-@_-">
                  <c:v>3206</c:v>
                </c:pt>
                <c:pt idx="21" formatCode="_-* #,##0_-;\-* #,##0_-;_-* &quot;-&quot;_-;_-@_-">
                  <c:v>3069</c:v>
                </c:pt>
                <c:pt idx="22" formatCode="_-* #,##0_-;\-* #,##0_-;_-* &quot;-&quot;_-;_-@_-">
                  <c:v>2931</c:v>
                </c:pt>
                <c:pt idx="23" formatCode="_-* #,##0_-;\-* #,##0_-;_-* &quot;-&quot;_-;_-@_-">
                  <c:v>2793</c:v>
                </c:pt>
              </c:numCache>
            </c:numRef>
          </c:val>
        </c:ser>
        <c:ser>
          <c:idx val="4"/>
          <c:order val="2"/>
          <c:tx>
            <c:v>로지스틱</c:v>
          </c:tx>
          <c:spPr>
            <a:ln w="3175">
              <a:solidFill>
                <a:srgbClr val="800080"/>
              </a:solidFill>
              <a:prstDash val="solid"/>
            </a:ln>
          </c:spPr>
          <c:marker>
            <c:symbol val="circle"/>
            <c:size val="3"/>
            <c:spPr>
              <a:noFill/>
              <a:ln>
                <a:solidFill>
                  <a:srgbClr val="800080"/>
                </a:solidFill>
                <a:prstDash val="solid"/>
              </a:ln>
            </c:spPr>
          </c:marker>
          <c:cat>
            <c:numRef>
              <c:f>송정동5!$L$156:$AI$156</c:f>
              <c:numCache>
                <c:formatCode>General</c:formatCode>
                <c:ptCount val="24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  <c:pt idx="14">
                  <c:v>2016</c:v>
                </c:pt>
                <c:pt idx="15">
                  <c:v>2017</c:v>
                </c:pt>
                <c:pt idx="16">
                  <c:v>2018</c:v>
                </c:pt>
                <c:pt idx="17">
                  <c:v>2019</c:v>
                </c:pt>
                <c:pt idx="18">
                  <c:v>2020</c:v>
                </c:pt>
                <c:pt idx="19">
                  <c:v>2021</c:v>
                </c:pt>
                <c:pt idx="20">
                  <c:v>2022</c:v>
                </c:pt>
                <c:pt idx="21">
                  <c:v>2023</c:v>
                </c:pt>
                <c:pt idx="22">
                  <c:v>2024</c:v>
                </c:pt>
                <c:pt idx="23">
                  <c:v>2025</c:v>
                </c:pt>
              </c:numCache>
            </c:numRef>
          </c:cat>
          <c:val>
            <c:numRef>
              <c:f>송정동5!$L$161:$AN$161</c:f>
              <c:numCache>
                <c:formatCode>General</c:formatCode>
                <c:ptCount val="29"/>
                <c:pt idx="5">
                  <c:v>5183</c:v>
                </c:pt>
                <c:pt idx="6" formatCode="_-* #,##0_-;\-* #,##0_-;_-* &quot;-&quot;_-;_-@_-">
                  <c:v>5135</c:v>
                </c:pt>
                <c:pt idx="7" formatCode="_-* #,##0_-;\-* #,##0_-;_-* &quot;-&quot;_-;_-@_-">
                  <c:v>4999</c:v>
                </c:pt>
                <c:pt idx="8" formatCode="_-* #,##0_-;\-* #,##0_-;_-* &quot;-&quot;_-;_-@_-">
                  <c:v>4865</c:v>
                </c:pt>
                <c:pt idx="9" formatCode="_-* #,##0_-;\-* #,##0_-;_-* &quot;-&quot;_-;_-@_-">
                  <c:v>4732</c:v>
                </c:pt>
                <c:pt idx="10" formatCode="_-* #,##0_-;\-* #,##0_-;_-* &quot;-&quot;_-;_-@_-">
                  <c:v>4600</c:v>
                </c:pt>
                <c:pt idx="11" formatCode="_-* #,##0_-;\-* #,##0_-;_-* &quot;-&quot;_-;_-@_-">
                  <c:v>4469</c:v>
                </c:pt>
                <c:pt idx="12" formatCode="_-* #,##0_-;\-* #,##0_-;_-* &quot;-&quot;_-;_-@_-">
                  <c:v>4340</c:v>
                </c:pt>
                <c:pt idx="13" formatCode="_-* #,##0_-;\-* #,##0_-;_-* &quot;-&quot;_-;_-@_-">
                  <c:v>4213</c:v>
                </c:pt>
                <c:pt idx="14" formatCode="_-* #,##0_-;\-* #,##0_-;_-* &quot;-&quot;_-;_-@_-">
                  <c:v>4087</c:v>
                </c:pt>
                <c:pt idx="15" formatCode="_-* #,##0_-;\-* #,##0_-;_-* &quot;-&quot;_-;_-@_-">
                  <c:v>3963</c:v>
                </c:pt>
                <c:pt idx="16" formatCode="_-* #,##0_-;\-* #,##0_-;_-* &quot;-&quot;_-;_-@_-">
                  <c:v>3841</c:v>
                </c:pt>
                <c:pt idx="17" formatCode="_-* #,##0_-;\-* #,##0_-;_-* &quot;-&quot;_-;_-@_-">
                  <c:v>3721</c:v>
                </c:pt>
                <c:pt idx="18" formatCode="_-* #,##0_-;\-* #,##0_-;_-* &quot;-&quot;_-;_-@_-">
                  <c:v>3603</c:v>
                </c:pt>
                <c:pt idx="19" formatCode="_-* #,##0_-;\-* #,##0_-;_-* &quot;-&quot;_-;_-@_-">
                  <c:v>3487</c:v>
                </c:pt>
                <c:pt idx="20" formatCode="_-* #,##0_-;\-* #,##0_-;_-* &quot;-&quot;_-;_-@_-">
                  <c:v>3373</c:v>
                </c:pt>
                <c:pt idx="21" formatCode="_-* #,##0_-;\-* #,##0_-;_-* &quot;-&quot;_-;_-@_-">
                  <c:v>3262</c:v>
                </c:pt>
                <c:pt idx="22" formatCode="_-* #,##0_-;\-* #,##0_-;_-* &quot;-&quot;_-;_-@_-">
                  <c:v>3153</c:v>
                </c:pt>
                <c:pt idx="23" formatCode="_-* #,##0_-;\-* #,##0_-;_-* &quot;-&quot;_-;_-@_-">
                  <c:v>3046</c:v>
                </c:pt>
              </c:numCache>
            </c:numRef>
          </c:val>
        </c:ser>
        <c:ser>
          <c:idx val="5"/>
          <c:order val="3"/>
          <c:tx>
            <c:v>평균(최대최소제외)</c:v>
          </c:tx>
          <c:spPr>
            <a:ln w="3175">
              <a:solidFill>
                <a:srgbClr val="800000"/>
              </a:solidFill>
              <a:prstDash val="sysDash"/>
            </a:ln>
          </c:spPr>
          <c:marker>
            <c:symbol val="circle"/>
            <c:size val="3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송정동5!$L$156:$AI$156</c:f>
              <c:numCache>
                <c:formatCode>General</c:formatCode>
                <c:ptCount val="24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  <c:pt idx="14">
                  <c:v>2016</c:v>
                </c:pt>
                <c:pt idx="15">
                  <c:v>2017</c:v>
                </c:pt>
                <c:pt idx="16">
                  <c:v>2018</c:v>
                </c:pt>
                <c:pt idx="17">
                  <c:v>2019</c:v>
                </c:pt>
                <c:pt idx="18">
                  <c:v>2020</c:v>
                </c:pt>
                <c:pt idx="19">
                  <c:v>2021</c:v>
                </c:pt>
                <c:pt idx="20">
                  <c:v>2022</c:v>
                </c:pt>
                <c:pt idx="21">
                  <c:v>2023</c:v>
                </c:pt>
                <c:pt idx="22">
                  <c:v>2024</c:v>
                </c:pt>
                <c:pt idx="23">
                  <c:v>2025</c:v>
                </c:pt>
              </c:numCache>
            </c:numRef>
          </c:cat>
          <c:val>
            <c:numRef>
              <c:f>송정동5!$L$162:$AI$162</c:f>
              <c:numCache>
                <c:formatCode>General</c:formatCode>
                <c:ptCount val="24"/>
                <c:pt idx="5">
                  <c:v>5183</c:v>
                </c:pt>
                <c:pt idx="6" formatCode="#,##0_ ">
                  <c:v>5088</c:v>
                </c:pt>
                <c:pt idx="7" formatCode="#,##0_ ">
                  <c:v>4952</c:v>
                </c:pt>
                <c:pt idx="8" formatCode="#,##0_ ">
                  <c:v>4817</c:v>
                </c:pt>
                <c:pt idx="9" formatCode="#,##0_ ">
                  <c:v>4683.5</c:v>
                </c:pt>
                <c:pt idx="10" formatCode="#,##0_ ">
                  <c:v>4552.5</c:v>
                </c:pt>
                <c:pt idx="11" formatCode="_-* #,##0_-;\-* #,##0_-;_-* &quot;-&quot;_-;_-@_-">
                  <c:v>4423</c:v>
                </c:pt>
                <c:pt idx="12" formatCode="#,##0_ ">
                  <c:v>4294.5</c:v>
                </c:pt>
                <c:pt idx="13" formatCode="#,##0_ ">
                  <c:v>4168.5</c:v>
                </c:pt>
                <c:pt idx="14" formatCode="#,##0_ ">
                  <c:v>4043.5</c:v>
                </c:pt>
                <c:pt idx="15" formatCode="#,##0_ ">
                  <c:v>3920</c:v>
                </c:pt>
                <c:pt idx="16" formatCode="#,##0_ ">
                  <c:v>3798.5</c:v>
                </c:pt>
                <c:pt idx="17" formatCode="#,##0_ ">
                  <c:v>3670</c:v>
                </c:pt>
                <c:pt idx="18" formatCode="#,##0_ ">
                  <c:v>3542.5</c:v>
                </c:pt>
                <c:pt idx="19" formatCode="#,##0_ ">
                  <c:v>3415.5</c:v>
                </c:pt>
                <c:pt idx="20" formatCode="#,##0_ ">
                  <c:v>3289.5</c:v>
                </c:pt>
                <c:pt idx="21" formatCode="#,##0_ ">
                  <c:v>3165.5</c:v>
                </c:pt>
                <c:pt idx="22" formatCode="#,##0_ ">
                  <c:v>3042</c:v>
                </c:pt>
                <c:pt idx="23" formatCode="#,##0_ ">
                  <c:v>2919.5</c:v>
                </c:pt>
              </c:numCache>
            </c:numRef>
          </c:val>
        </c:ser>
        <c:ser>
          <c:idx val="6"/>
          <c:order val="4"/>
          <c:tx>
            <c:v>과거</c:v>
          </c:tx>
          <c:spPr>
            <a:ln w="12700">
              <a:solidFill>
                <a:srgbClr val="008080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008080"/>
                </a:solidFill>
                <a:prstDash val="solid"/>
              </a:ln>
            </c:spPr>
          </c:marker>
          <c:cat>
            <c:numRef>
              <c:f>송정동5!$L$156:$AI$156</c:f>
              <c:numCache>
                <c:formatCode>General</c:formatCode>
                <c:ptCount val="24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  <c:pt idx="14">
                  <c:v>2016</c:v>
                </c:pt>
                <c:pt idx="15">
                  <c:v>2017</c:v>
                </c:pt>
                <c:pt idx="16">
                  <c:v>2018</c:v>
                </c:pt>
                <c:pt idx="17">
                  <c:v>2019</c:v>
                </c:pt>
                <c:pt idx="18">
                  <c:v>2020</c:v>
                </c:pt>
                <c:pt idx="19">
                  <c:v>2021</c:v>
                </c:pt>
                <c:pt idx="20">
                  <c:v>2022</c:v>
                </c:pt>
                <c:pt idx="21">
                  <c:v>2023</c:v>
                </c:pt>
                <c:pt idx="22">
                  <c:v>2024</c:v>
                </c:pt>
                <c:pt idx="23">
                  <c:v>2025</c:v>
                </c:pt>
              </c:numCache>
            </c:numRef>
          </c:cat>
          <c:val>
            <c:numRef>
              <c:f>송정동5!$L$154:$X$154</c:f>
              <c:numCache>
                <c:formatCode>_-* #,##0_-;\-* #,##0_-;_-* "-"_-;_-@_-</c:formatCode>
                <c:ptCount val="13"/>
                <c:pt idx="0">
                  <c:v>5940</c:v>
                </c:pt>
                <c:pt idx="1">
                  <c:v>5740</c:v>
                </c:pt>
                <c:pt idx="2">
                  <c:v>5718</c:v>
                </c:pt>
                <c:pt idx="3" formatCode="General">
                  <c:v>5709</c:v>
                </c:pt>
                <c:pt idx="4">
                  <c:v>5399</c:v>
                </c:pt>
                <c:pt idx="5" formatCode="General">
                  <c:v>5183</c:v>
                </c:pt>
                <c:pt idx="6">
                  <c:v>5135</c:v>
                </c:pt>
              </c:numCache>
            </c:numRef>
          </c:val>
        </c:ser>
        <c:ser>
          <c:idx val="2"/>
          <c:order val="5"/>
          <c:tx>
            <c:v>등비</c:v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송정동5!$L$156:$AI$156</c:f>
              <c:numCache>
                <c:formatCode>General</c:formatCode>
                <c:ptCount val="24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  <c:pt idx="14">
                  <c:v>2016</c:v>
                </c:pt>
                <c:pt idx="15">
                  <c:v>2017</c:v>
                </c:pt>
                <c:pt idx="16">
                  <c:v>2018</c:v>
                </c:pt>
                <c:pt idx="17">
                  <c:v>2019</c:v>
                </c:pt>
                <c:pt idx="18">
                  <c:v>2020</c:v>
                </c:pt>
                <c:pt idx="19">
                  <c:v>2021</c:v>
                </c:pt>
                <c:pt idx="20">
                  <c:v>2022</c:v>
                </c:pt>
                <c:pt idx="21">
                  <c:v>2023</c:v>
                </c:pt>
                <c:pt idx="22">
                  <c:v>2024</c:v>
                </c:pt>
                <c:pt idx="23">
                  <c:v>2025</c:v>
                </c:pt>
              </c:numCache>
            </c:numRef>
          </c:cat>
          <c:val>
            <c:numRef>
              <c:f>송정동5!$L$159:$AN$159</c:f>
              <c:numCache>
                <c:formatCode>General</c:formatCode>
                <c:ptCount val="29"/>
                <c:pt idx="5">
                  <c:v>5183</c:v>
                </c:pt>
                <c:pt idx="6" formatCode="_-* #,##0_-;\-* #,##0_-;_-* &quot;-&quot;_-;_-@_-">
                  <c:v>5043</c:v>
                </c:pt>
                <c:pt idx="7" formatCode="_-* #,##0_-;\-* #,##0_-;_-* &quot;-&quot;_-;_-@_-">
                  <c:v>4908</c:v>
                </c:pt>
                <c:pt idx="8" formatCode="_-* #,##0_-;\-* #,##0_-;_-* &quot;-&quot;_-;_-@_-">
                  <c:v>4776</c:v>
                </c:pt>
                <c:pt idx="9" formatCode="_-* #,##0_-;\-* #,##0_-;_-* &quot;-&quot;_-;_-@_-">
                  <c:v>4647</c:v>
                </c:pt>
                <c:pt idx="10" formatCode="_-* #,##0_-;\-* #,##0_-;_-* &quot;-&quot;_-;_-@_-">
                  <c:v>4522</c:v>
                </c:pt>
                <c:pt idx="11" formatCode="_-* #,##0_-;\-* #,##0_-;_-* &quot;-&quot;_-;_-@_-">
                  <c:v>4401</c:v>
                </c:pt>
                <c:pt idx="12" formatCode="_-* #,##0_-;\-* #,##0_-;_-* &quot;-&quot;_-;_-@_-">
                  <c:v>4282</c:v>
                </c:pt>
                <c:pt idx="13" formatCode="_-* #,##0_-;\-* #,##0_-;_-* &quot;-&quot;_-;_-@_-">
                  <c:v>4167</c:v>
                </c:pt>
                <c:pt idx="14" formatCode="_-* #,##0_-;\-* #,##0_-;_-* &quot;-&quot;_-;_-@_-">
                  <c:v>4055</c:v>
                </c:pt>
                <c:pt idx="15" formatCode="_-* #,##0_-;\-* #,##0_-;_-* &quot;-&quot;_-;_-@_-">
                  <c:v>3946</c:v>
                </c:pt>
                <c:pt idx="16" formatCode="_-* #,##0_-;\-* #,##0_-;_-* &quot;-&quot;_-;_-@_-">
                  <c:v>3840</c:v>
                </c:pt>
                <c:pt idx="17" formatCode="_-* #,##0_-;\-* #,##0_-;_-* &quot;-&quot;_-;_-@_-">
                  <c:v>3736</c:v>
                </c:pt>
                <c:pt idx="18" formatCode="_-* #,##0_-;\-* #,##0_-;_-* &quot;-&quot;_-;_-@_-">
                  <c:v>3636</c:v>
                </c:pt>
                <c:pt idx="19" formatCode="_-* #,##0_-;\-* #,##0_-;_-* &quot;-&quot;_-;_-@_-">
                  <c:v>3538</c:v>
                </c:pt>
                <c:pt idx="20" formatCode="_-* #,##0_-;\-* #,##0_-;_-* &quot;-&quot;_-;_-@_-">
                  <c:v>3443</c:v>
                </c:pt>
                <c:pt idx="21" formatCode="_-* #,##0_-;\-* #,##0_-;_-* &quot;-&quot;_-;_-@_-">
                  <c:v>3350</c:v>
                </c:pt>
                <c:pt idx="22" formatCode="_-* #,##0_-;\-* #,##0_-;_-* &quot;-&quot;_-;_-@_-">
                  <c:v>3260</c:v>
                </c:pt>
                <c:pt idx="23" formatCode="_-* #,##0_-;\-* #,##0_-;_-* &quot;-&quot;_-;_-@_-">
                  <c:v>3173</c:v>
                </c:pt>
              </c:numCache>
            </c:numRef>
          </c:val>
        </c:ser>
        <c:marker val="1"/>
        <c:axId val="128545536"/>
        <c:axId val="128547840"/>
      </c:lineChart>
      <c:catAx>
        <c:axId val="128545536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875" b="0" i="0" u="none" strike="noStrike" baseline="0">
                    <a:solidFill>
                      <a:srgbClr val="000000"/>
                    </a:solidFill>
                    <a:latin typeface="돋움"/>
                    <a:ea typeface="돋움"/>
                    <a:cs typeface="돋움"/>
                  </a:defRPr>
                </a:pPr>
                <a:r>
                  <a:rPr altLang="en-US"/>
                  <a:t>연도</a:t>
                </a:r>
              </a:p>
            </c:rich>
          </c:tx>
          <c:layout>
            <c:manualLayout>
              <c:xMode val="edge"/>
              <c:yMode val="edge"/>
              <c:x val="0.50000023539658589"/>
              <c:y val="0.81939243336028011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maj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돋움"/>
                <a:ea typeface="돋움"/>
                <a:cs typeface="돋움"/>
              </a:defRPr>
            </a:pPr>
            <a:endParaRPr lang="ko-KR"/>
          </a:p>
        </c:txPr>
        <c:crossAx val="128547840"/>
        <c:crosses val="autoZero"/>
        <c:auto val="1"/>
        <c:lblAlgn val="ctr"/>
        <c:lblOffset val="100"/>
        <c:tickLblSkip val="2"/>
        <c:tickMarkSkip val="1"/>
      </c:catAx>
      <c:valAx>
        <c:axId val="128547840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맑은 고딕"/>
                    <a:ea typeface="맑은 고딕"/>
                    <a:cs typeface="맑은 고딕"/>
                  </a:defRPr>
                </a:pPr>
                <a:r>
                  <a:rPr lang="ko-KR" altLang="en-US" sz="875" b="0" i="0" strike="noStrike">
                    <a:solidFill>
                      <a:srgbClr val="000000"/>
                    </a:solidFill>
                    <a:latin typeface="돋움"/>
                    <a:ea typeface="돋움"/>
                  </a:rPr>
                  <a:t>인구</a:t>
                </a:r>
                <a:r>
                  <a:rPr lang="en-US" altLang="ko-KR" sz="875" b="0" i="0" strike="noStrike">
                    <a:solidFill>
                      <a:srgbClr val="000000"/>
                    </a:solidFill>
                    <a:latin typeface="돋움"/>
                    <a:ea typeface="돋움"/>
                  </a:rPr>
                  <a:t>(</a:t>
                </a:r>
                <a:r>
                  <a:rPr lang="ko-KR" altLang="en-US" sz="875" b="0" i="0" strike="noStrike">
                    <a:solidFill>
                      <a:srgbClr val="000000"/>
                    </a:solidFill>
                    <a:latin typeface="돋움"/>
                    <a:ea typeface="돋움"/>
                  </a:rPr>
                  <a:t>명</a:t>
                </a:r>
                <a:r>
                  <a:rPr lang="en-US" altLang="ko-KR" sz="875" b="0" i="0" strike="noStrike">
                    <a:solidFill>
                      <a:srgbClr val="000000"/>
                    </a:solidFill>
                    <a:latin typeface="돋움"/>
                    <a:ea typeface="돋움"/>
                  </a:rPr>
                  <a:t>)</a:t>
                </a:r>
              </a:p>
            </c:rich>
          </c:tx>
          <c:layout>
            <c:manualLayout>
              <c:xMode val="edge"/>
              <c:yMode val="edge"/>
              <c:x val="2.6905829596412592E-2"/>
              <c:y val="0.38212967675618492"/>
            </c:manualLayout>
          </c:layout>
          <c:spPr>
            <a:noFill/>
            <a:ln w="25400">
              <a:noFill/>
            </a:ln>
          </c:spPr>
        </c:title>
        <c:numFmt formatCode="#,##0_ " sourceLinked="0"/>
        <c:maj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돋움"/>
                <a:ea typeface="돋움"/>
                <a:cs typeface="돋움"/>
              </a:defRPr>
            </a:pPr>
            <a:endParaRPr lang="ko-KR"/>
          </a:p>
        </c:txPr>
        <c:crossAx val="128545536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wMode val="edge"/>
          <c:hMode val="edge"/>
          <c:x val="0.1311660369808034"/>
          <c:y val="0.90114148278993644"/>
          <c:w val="0.91928309970222066"/>
          <c:h val="0.96197798469107765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돋움"/>
              <a:ea typeface="돋움"/>
              <a:cs typeface="돋움"/>
            </a:defRPr>
          </a:pPr>
          <a:endParaRPr lang="ko-KR"/>
        </a:p>
      </c:txPr>
    </c:legend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75" b="0" i="0" u="none" strike="noStrike" baseline="0">
          <a:solidFill>
            <a:srgbClr val="000000"/>
          </a:solidFill>
          <a:latin typeface="돋움"/>
          <a:ea typeface="돋움"/>
          <a:cs typeface="돋움"/>
        </a:defRPr>
      </a:pPr>
      <a:endParaRPr lang="ko-KR"/>
    </a:p>
  </c:txPr>
  <c:printSettings>
    <c:headerFooter alignWithMargins="0"/>
    <c:pageMargins b="1" l="0.75000000000000144" r="0.75000000000000144" t="1" header="0.5" footer="0.5"/>
    <c:pageSetup paperSize="9" orientation="landscape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ko-KR"/>
  <c:chart>
    <c:title>
      <c:tx>
        <c:rich>
          <a:bodyPr/>
          <a:lstStyle/>
          <a:p>
            <a:pPr>
              <a:defRPr sz="1175" b="1" i="0" u="none" strike="noStrike" baseline="0">
                <a:solidFill>
                  <a:srgbClr val="000000"/>
                </a:solidFill>
                <a:latin typeface="돋움"/>
                <a:ea typeface="돋움"/>
                <a:cs typeface="돋움"/>
              </a:defRPr>
            </a:pPr>
            <a:r>
              <a:rPr altLang="en-US"/>
              <a:t>북삼동</a:t>
            </a:r>
          </a:p>
        </c:rich>
      </c:tx>
      <c:layout>
        <c:manualLayout>
          <c:xMode val="edge"/>
          <c:yMode val="edge"/>
          <c:x val="0.46861010086743682"/>
          <c:y val="2.8517110266159756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0313906991129369"/>
          <c:y val="9.3155980012012529E-2"/>
          <c:w val="0.83183902037152235"/>
          <c:h val="0.67490556947478386"/>
        </c:manualLayout>
      </c:layout>
      <c:lineChart>
        <c:grouping val="standard"/>
        <c:ser>
          <c:idx val="0"/>
          <c:order val="0"/>
          <c:tx>
            <c:v>등차</c:v>
          </c:tx>
          <c:spPr>
            <a:ln w="3175">
              <a:solidFill>
                <a:srgbClr val="000080"/>
              </a:solidFill>
              <a:prstDash val="solid"/>
            </a:ln>
          </c:spPr>
          <c:marker>
            <c:symbol val="diamond"/>
            <c:size val="3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북삼동20년!$L$225:$AX$225</c:f>
              <c:numCache>
                <c:formatCode>General</c:formatCode>
                <c:ptCount val="39"/>
                <c:pt idx="0">
                  <c:v>1988</c:v>
                </c:pt>
                <c:pt idx="1">
                  <c:v>1989</c:v>
                </c:pt>
                <c:pt idx="2">
                  <c:v>1990</c:v>
                </c:pt>
                <c:pt idx="3">
                  <c:v>1991</c:v>
                </c:pt>
                <c:pt idx="4">
                  <c:v>1992</c:v>
                </c:pt>
                <c:pt idx="5">
                  <c:v>1993</c:v>
                </c:pt>
                <c:pt idx="6">
                  <c:v>1994</c:v>
                </c:pt>
                <c:pt idx="7">
                  <c:v>1995</c:v>
                </c:pt>
                <c:pt idx="8">
                  <c:v>1996</c:v>
                </c:pt>
                <c:pt idx="9">
                  <c:v>1997</c:v>
                </c:pt>
                <c:pt idx="10">
                  <c:v>1998</c:v>
                </c:pt>
                <c:pt idx="11">
                  <c:v>1999</c:v>
                </c:pt>
                <c:pt idx="12">
                  <c:v>2000</c:v>
                </c:pt>
                <c:pt idx="13">
                  <c:v>2001</c:v>
                </c:pt>
                <c:pt idx="14">
                  <c:v>2002</c:v>
                </c:pt>
                <c:pt idx="15">
                  <c:v>2003</c:v>
                </c:pt>
                <c:pt idx="16">
                  <c:v>2004</c:v>
                </c:pt>
                <c:pt idx="17">
                  <c:v>2005</c:v>
                </c:pt>
                <c:pt idx="18">
                  <c:v>2006</c:v>
                </c:pt>
                <c:pt idx="19">
                  <c:v>2007</c:v>
                </c:pt>
                <c:pt idx="20">
                  <c:v>2008</c:v>
                </c:pt>
                <c:pt idx="21">
                  <c:v>2009</c:v>
                </c:pt>
                <c:pt idx="22">
                  <c:v>2010</c:v>
                </c:pt>
                <c:pt idx="23">
                  <c:v>2011</c:v>
                </c:pt>
                <c:pt idx="24">
                  <c:v>2012</c:v>
                </c:pt>
                <c:pt idx="25">
                  <c:v>2013</c:v>
                </c:pt>
                <c:pt idx="26">
                  <c:v>2014</c:v>
                </c:pt>
                <c:pt idx="27">
                  <c:v>2015</c:v>
                </c:pt>
                <c:pt idx="28">
                  <c:v>2016</c:v>
                </c:pt>
                <c:pt idx="29">
                  <c:v>2017</c:v>
                </c:pt>
                <c:pt idx="30">
                  <c:v>2018</c:v>
                </c:pt>
                <c:pt idx="31">
                  <c:v>2019</c:v>
                </c:pt>
                <c:pt idx="32">
                  <c:v>2020</c:v>
                </c:pt>
                <c:pt idx="33">
                  <c:v>2021</c:v>
                </c:pt>
                <c:pt idx="34">
                  <c:v>2022</c:v>
                </c:pt>
                <c:pt idx="35">
                  <c:v>2023</c:v>
                </c:pt>
                <c:pt idx="36">
                  <c:v>2024</c:v>
                </c:pt>
                <c:pt idx="37">
                  <c:v>2025</c:v>
                </c:pt>
              </c:numCache>
            </c:numRef>
          </c:cat>
          <c:val>
            <c:numRef>
              <c:f>북삼동20년!$L$226:$AW$226</c:f>
              <c:numCache>
                <c:formatCode>General</c:formatCode>
                <c:ptCount val="38"/>
                <c:pt idx="19" formatCode="_-* #,##0_-;\-* #,##0_-;_-* &quot;-&quot;_-;_-@_-">
                  <c:v>21215</c:v>
                </c:pt>
                <c:pt idx="20" formatCode="_-* #,##0_-;\-* #,##0_-;_-* &quot;-&quot;_-;_-@_-">
                  <c:v>21800</c:v>
                </c:pt>
                <c:pt idx="21" formatCode="_-* #,##0_-;\-* #,##0_-;_-* &quot;-&quot;_-;_-@_-">
                  <c:v>22386</c:v>
                </c:pt>
                <c:pt idx="22" formatCode="_-* #,##0_-;\-* #,##0_-;_-* &quot;-&quot;_-;_-@_-">
                  <c:v>22971</c:v>
                </c:pt>
                <c:pt idx="23" formatCode="_-* #,##0_-;\-* #,##0_-;_-* &quot;-&quot;_-;_-@_-">
                  <c:v>23557</c:v>
                </c:pt>
                <c:pt idx="24" formatCode="_-* #,##0_-;\-* #,##0_-;_-* &quot;-&quot;_-;_-@_-">
                  <c:v>24142</c:v>
                </c:pt>
                <c:pt idx="25" formatCode="_-* #,##0_-;\-* #,##0_-;_-* &quot;-&quot;_-;_-@_-">
                  <c:v>24728</c:v>
                </c:pt>
                <c:pt idx="26" formatCode="_-* #,##0_-;\-* #,##0_-;_-* &quot;-&quot;_-;_-@_-">
                  <c:v>25313</c:v>
                </c:pt>
                <c:pt idx="27" formatCode="_-* #,##0_-;\-* #,##0_-;_-* &quot;-&quot;_-;_-@_-">
                  <c:v>25899</c:v>
                </c:pt>
                <c:pt idx="28" formatCode="_-* #,##0_-;\-* #,##0_-;_-* &quot;-&quot;_-;_-@_-">
                  <c:v>26484</c:v>
                </c:pt>
                <c:pt idx="29" formatCode="_-* #,##0_-;\-* #,##0_-;_-* &quot;-&quot;_-;_-@_-">
                  <c:v>27070</c:v>
                </c:pt>
                <c:pt idx="30" formatCode="_-* #,##0_-;\-* #,##0_-;_-* &quot;-&quot;_-;_-@_-">
                  <c:v>27655</c:v>
                </c:pt>
                <c:pt idx="31" formatCode="_-* #,##0_-;\-* #,##0_-;_-* &quot;-&quot;_-;_-@_-">
                  <c:v>28241</c:v>
                </c:pt>
                <c:pt idx="32" formatCode="_-* #,##0_-;\-* #,##0_-;_-* &quot;-&quot;_-;_-@_-">
                  <c:v>28826</c:v>
                </c:pt>
                <c:pt idx="33" formatCode="_-* #,##0_-;\-* #,##0_-;_-* &quot;-&quot;_-;_-@_-">
                  <c:v>29412</c:v>
                </c:pt>
                <c:pt idx="34" formatCode="_-* #,##0_-;\-* #,##0_-;_-* &quot;-&quot;_-;_-@_-">
                  <c:v>29997</c:v>
                </c:pt>
                <c:pt idx="35" formatCode="_-* #,##0_-;\-* #,##0_-;_-* &quot;-&quot;_-;_-@_-">
                  <c:v>30583</c:v>
                </c:pt>
                <c:pt idx="36" formatCode="_-* #,##0_-;\-* #,##0_-;_-* &quot;-&quot;_-;_-@_-">
                  <c:v>31168</c:v>
                </c:pt>
                <c:pt idx="37" formatCode="_-* #,##0_-;\-* #,##0_-;_-* &quot;-&quot;_-;_-@_-">
                  <c:v>31754</c:v>
                </c:pt>
              </c:numCache>
            </c:numRef>
          </c:val>
        </c:ser>
        <c:ser>
          <c:idx val="1"/>
          <c:order val="1"/>
          <c:tx>
            <c:v>최소</c:v>
          </c:tx>
          <c:spPr>
            <a:ln w="3175">
              <a:solidFill>
                <a:srgbClr val="FF00FF"/>
              </a:solidFill>
              <a:prstDash val="solid"/>
            </a:ln>
          </c:spPr>
          <c:marker>
            <c:symbol val="square"/>
            <c:size val="3"/>
            <c:spPr>
              <a:noFill/>
              <a:ln>
                <a:solidFill>
                  <a:srgbClr val="FF00FF"/>
                </a:solidFill>
                <a:prstDash val="solid"/>
              </a:ln>
            </c:spPr>
          </c:marker>
          <c:cat>
            <c:numRef>
              <c:f>북삼동20년!$L$225:$AX$225</c:f>
              <c:numCache>
                <c:formatCode>General</c:formatCode>
                <c:ptCount val="39"/>
                <c:pt idx="0">
                  <c:v>1988</c:v>
                </c:pt>
                <c:pt idx="1">
                  <c:v>1989</c:v>
                </c:pt>
                <c:pt idx="2">
                  <c:v>1990</c:v>
                </c:pt>
                <c:pt idx="3">
                  <c:v>1991</c:v>
                </c:pt>
                <c:pt idx="4">
                  <c:v>1992</c:v>
                </c:pt>
                <c:pt idx="5">
                  <c:v>1993</c:v>
                </c:pt>
                <c:pt idx="6">
                  <c:v>1994</c:v>
                </c:pt>
                <c:pt idx="7">
                  <c:v>1995</c:v>
                </c:pt>
                <c:pt idx="8">
                  <c:v>1996</c:v>
                </c:pt>
                <c:pt idx="9">
                  <c:v>1997</c:v>
                </c:pt>
                <c:pt idx="10">
                  <c:v>1998</c:v>
                </c:pt>
                <c:pt idx="11">
                  <c:v>1999</c:v>
                </c:pt>
                <c:pt idx="12">
                  <c:v>2000</c:v>
                </c:pt>
                <c:pt idx="13">
                  <c:v>2001</c:v>
                </c:pt>
                <c:pt idx="14">
                  <c:v>2002</c:v>
                </c:pt>
                <c:pt idx="15">
                  <c:v>2003</c:v>
                </c:pt>
                <c:pt idx="16">
                  <c:v>2004</c:v>
                </c:pt>
                <c:pt idx="17">
                  <c:v>2005</c:v>
                </c:pt>
                <c:pt idx="18">
                  <c:v>2006</c:v>
                </c:pt>
                <c:pt idx="19">
                  <c:v>2007</c:v>
                </c:pt>
                <c:pt idx="20">
                  <c:v>2008</c:v>
                </c:pt>
                <c:pt idx="21">
                  <c:v>2009</c:v>
                </c:pt>
                <c:pt idx="22">
                  <c:v>2010</c:v>
                </c:pt>
                <c:pt idx="23">
                  <c:v>2011</c:v>
                </c:pt>
                <c:pt idx="24">
                  <c:v>2012</c:v>
                </c:pt>
                <c:pt idx="25">
                  <c:v>2013</c:v>
                </c:pt>
                <c:pt idx="26">
                  <c:v>2014</c:v>
                </c:pt>
                <c:pt idx="27">
                  <c:v>2015</c:v>
                </c:pt>
                <c:pt idx="28">
                  <c:v>2016</c:v>
                </c:pt>
                <c:pt idx="29">
                  <c:v>2017</c:v>
                </c:pt>
                <c:pt idx="30">
                  <c:v>2018</c:v>
                </c:pt>
                <c:pt idx="31">
                  <c:v>2019</c:v>
                </c:pt>
                <c:pt idx="32">
                  <c:v>2020</c:v>
                </c:pt>
                <c:pt idx="33">
                  <c:v>2021</c:v>
                </c:pt>
                <c:pt idx="34">
                  <c:v>2022</c:v>
                </c:pt>
                <c:pt idx="35">
                  <c:v>2023</c:v>
                </c:pt>
                <c:pt idx="36">
                  <c:v>2024</c:v>
                </c:pt>
                <c:pt idx="37">
                  <c:v>2025</c:v>
                </c:pt>
              </c:numCache>
            </c:numRef>
          </c:cat>
          <c:val>
            <c:numRef>
              <c:f>북삼동20년!$L$227:$AW$227</c:f>
              <c:numCache>
                <c:formatCode>General</c:formatCode>
                <c:ptCount val="38"/>
                <c:pt idx="19" formatCode="_-* #,##0_-;\-* #,##0_-;_-* &quot;-&quot;_-;_-@_-">
                  <c:v>21215</c:v>
                </c:pt>
                <c:pt idx="20" formatCode="_-* #,##0_-;\-* #,##0_-;_-* &quot;-&quot;_-;_-@_-">
                  <c:v>23213</c:v>
                </c:pt>
                <c:pt idx="21" formatCode="_-* #,##0_-;\-* #,##0_-;_-* &quot;-&quot;_-;_-@_-">
                  <c:v>24020</c:v>
                </c:pt>
                <c:pt idx="22" formatCode="_-* #,##0_-;\-* #,##0_-;_-* &quot;-&quot;_-;_-@_-">
                  <c:v>24827</c:v>
                </c:pt>
                <c:pt idx="23" formatCode="_-* #,##0_-;\-* #,##0_-;_-* &quot;-&quot;_-;_-@_-">
                  <c:v>25634</c:v>
                </c:pt>
                <c:pt idx="24" formatCode="_-* #,##0_-;\-* #,##0_-;_-* &quot;-&quot;_-;_-@_-">
                  <c:v>26440</c:v>
                </c:pt>
                <c:pt idx="25" formatCode="_-* #,##0_-;\-* #,##0_-;_-* &quot;-&quot;_-;_-@_-">
                  <c:v>27247</c:v>
                </c:pt>
                <c:pt idx="26" formatCode="_-* #,##0_-;\-* #,##0_-;_-* &quot;-&quot;_-;_-@_-">
                  <c:v>28054</c:v>
                </c:pt>
                <c:pt idx="27" formatCode="_-* #,##0_-;\-* #,##0_-;_-* &quot;-&quot;_-;_-@_-">
                  <c:v>28861</c:v>
                </c:pt>
                <c:pt idx="28" formatCode="_-* #,##0_-;\-* #,##0_-;_-* &quot;-&quot;_-;_-@_-">
                  <c:v>29667</c:v>
                </c:pt>
                <c:pt idx="29" formatCode="_-* #,##0_-;\-* #,##0_-;_-* &quot;-&quot;_-;_-@_-">
                  <c:v>30474</c:v>
                </c:pt>
                <c:pt idx="30" formatCode="_-* #,##0_-;\-* #,##0_-;_-* &quot;-&quot;_-;_-@_-">
                  <c:v>31281</c:v>
                </c:pt>
                <c:pt idx="31" formatCode="_-* #,##0_-;\-* #,##0_-;_-* &quot;-&quot;_-;_-@_-">
                  <c:v>32088</c:v>
                </c:pt>
                <c:pt idx="32" formatCode="_-* #,##0_-;\-* #,##0_-;_-* &quot;-&quot;_-;_-@_-">
                  <c:v>32894</c:v>
                </c:pt>
                <c:pt idx="33" formatCode="_-* #,##0_-;\-* #,##0_-;_-* &quot;-&quot;_-;_-@_-">
                  <c:v>33701</c:v>
                </c:pt>
                <c:pt idx="34" formatCode="_-* #,##0_-;\-* #,##0_-;_-* &quot;-&quot;_-;_-@_-">
                  <c:v>34508</c:v>
                </c:pt>
                <c:pt idx="35" formatCode="_-* #,##0_-;\-* #,##0_-;_-* &quot;-&quot;_-;_-@_-">
                  <c:v>35315</c:v>
                </c:pt>
                <c:pt idx="36" formatCode="_-* #,##0_-;\-* #,##0_-;_-* &quot;-&quot;_-;_-@_-">
                  <c:v>36121</c:v>
                </c:pt>
                <c:pt idx="37" formatCode="_-* #,##0_-;\-* #,##0_-;_-* &quot;-&quot;_-;_-@_-">
                  <c:v>36928</c:v>
                </c:pt>
              </c:numCache>
            </c:numRef>
          </c:val>
        </c:ser>
        <c:ser>
          <c:idx val="4"/>
          <c:order val="2"/>
          <c:tx>
            <c:v>로지스틱</c:v>
          </c:tx>
          <c:spPr>
            <a:ln w="3175">
              <a:solidFill>
                <a:srgbClr val="800080"/>
              </a:solidFill>
              <a:prstDash val="solid"/>
            </a:ln>
          </c:spPr>
          <c:marker>
            <c:symbol val="circle"/>
            <c:size val="3"/>
            <c:spPr>
              <a:noFill/>
              <a:ln>
                <a:solidFill>
                  <a:srgbClr val="800080"/>
                </a:solidFill>
                <a:prstDash val="solid"/>
              </a:ln>
            </c:spPr>
          </c:marker>
          <c:cat>
            <c:numRef>
              <c:f>북삼동20년!$L$225:$AX$225</c:f>
              <c:numCache>
                <c:formatCode>General</c:formatCode>
                <c:ptCount val="39"/>
                <c:pt idx="0">
                  <c:v>1988</c:v>
                </c:pt>
                <c:pt idx="1">
                  <c:v>1989</c:v>
                </c:pt>
                <c:pt idx="2">
                  <c:v>1990</c:v>
                </c:pt>
                <c:pt idx="3">
                  <c:v>1991</c:v>
                </c:pt>
                <c:pt idx="4">
                  <c:v>1992</c:v>
                </c:pt>
                <c:pt idx="5">
                  <c:v>1993</c:v>
                </c:pt>
                <c:pt idx="6">
                  <c:v>1994</c:v>
                </c:pt>
                <c:pt idx="7">
                  <c:v>1995</c:v>
                </c:pt>
                <c:pt idx="8">
                  <c:v>1996</c:v>
                </c:pt>
                <c:pt idx="9">
                  <c:v>1997</c:v>
                </c:pt>
                <c:pt idx="10">
                  <c:v>1998</c:v>
                </c:pt>
                <c:pt idx="11">
                  <c:v>1999</c:v>
                </c:pt>
                <c:pt idx="12">
                  <c:v>2000</c:v>
                </c:pt>
                <c:pt idx="13">
                  <c:v>2001</c:v>
                </c:pt>
                <c:pt idx="14">
                  <c:v>2002</c:v>
                </c:pt>
                <c:pt idx="15">
                  <c:v>2003</c:v>
                </c:pt>
                <c:pt idx="16">
                  <c:v>2004</c:v>
                </c:pt>
                <c:pt idx="17">
                  <c:v>2005</c:v>
                </c:pt>
                <c:pt idx="18">
                  <c:v>2006</c:v>
                </c:pt>
                <c:pt idx="19">
                  <c:v>2007</c:v>
                </c:pt>
                <c:pt idx="20">
                  <c:v>2008</c:v>
                </c:pt>
                <c:pt idx="21">
                  <c:v>2009</c:v>
                </c:pt>
                <c:pt idx="22">
                  <c:v>2010</c:v>
                </c:pt>
                <c:pt idx="23">
                  <c:v>2011</c:v>
                </c:pt>
                <c:pt idx="24">
                  <c:v>2012</c:v>
                </c:pt>
                <c:pt idx="25">
                  <c:v>2013</c:v>
                </c:pt>
                <c:pt idx="26">
                  <c:v>2014</c:v>
                </c:pt>
                <c:pt idx="27">
                  <c:v>2015</c:v>
                </c:pt>
                <c:pt idx="28">
                  <c:v>2016</c:v>
                </c:pt>
                <c:pt idx="29">
                  <c:v>2017</c:v>
                </c:pt>
                <c:pt idx="30">
                  <c:v>2018</c:v>
                </c:pt>
                <c:pt idx="31">
                  <c:v>2019</c:v>
                </c:pt>
                <c:pt idx="32">
                  <c:v>2020</c:v>
                </c:pt>
                <c:pt idx="33">
                  <c:v>2021</c:v>
                </c:pt>
                <c:pt idx="34">
                  <c:v>2022</c:v>
                </c:pt>
                <c:pt idx="35">
                  <c:v>2023</c:v>
                </c:pt>
                <c:pt idx="36">
                  <c:v>2024</c:v>
                </c:pt>
                <c:pt idx="37">
                  <c:v>2025</c:v>
                </c:pt>
              </c:numCache>
            </c:numRef>
          </c:cat>
          <c:val>
            <c:numRef>
              <c:f>북삼동20년!$L$230:$AW$230</c:f>
              <c:numCache>
                <c:formatCode>General</c:formatCode>
                <c:ptCount val="38"/>
                <c:pt idx="19" formatCode="_-* #,##0_-;\-* #,##0_-;_-* &quot;-&quot;_-;_-@_-">
                  <c:v>21215</c:v>
                </c:pt>
                <c:pt idx="20" formatCode="_-* #,##0_-;\-* #,##0_-;_-* &quot;-&quot;_-;_-@_-">
                  <c:v>23646</c:v>
                </c:pt>
                <c:pt idx="21" formatCode="_-* #,##0_-;\-* #,##0_-;_-* &quot;-&quot;_-;_-@_-">
                  <c:v>24540</c:v>
                </c:pt>
                <c:pt idx="22" formatCode="_-* #,##0_-;\-* #,##0_-;_-* &quot;-&quot;_-;_-@_-">
                  <c:v>25422</c:v>
                </c:pt>
                <c:pt idx="23" formatCode="_-* #,##0_-;\-* #,##0_-;_-* &quot;-&quot;_-;_-@_-">
                  <c:v>26290</c:v>
                </c:pt>
                <c:pt idx="24" formatCode="_-* #,##0_-;\-* #,##0_-;_-* &quot;-&quot;_-;_-@_-">
                  <c:v>27140</c:v>
                </c:pt>
                <c:pt idx="25" formatCode="_-* #,##0_-;\-* #,##0_-;_-* &quot;-&quot;_-;_-@_-">
                  <c:v>27970</c:v>
                </c:pt>
                <c:pt idx="26" formatCode="_-* #,##0_-;\-* #,##0_-;_-* &quot;-&quot;_-;_-@_-">
                  <c:v>28777</c:v>
                </c:pt>
                <c:pt idx="27" formatCode="_-* #,##0_-;\-* #,##0_-;_-* &quot;-&quot;_-;_-@_-">
                  <c:v>29561</c:v>
                </c:pt>
                <c:pt idx="28" formatCode="_-* #,##0_-;\-* #,##0_-;_-* &quot;-&quot;_-;_-@_-">
                  <c:v>30318</c:v>
                </c:pt>
                <c:pt idx="29" formatCode="_-* #,##0_-;\-* #,##0_-;_-* &quot;-&quot;_-;_-@_-">
                  <c:v>31049</c:v>
                </c:pt>
                <c:pt idx="30" formatCode="_-* #,##0_-;\-* #,##0_-;_-* &quot;-&quot;_-;_-@_-">
                  <c:v>31751</c:v>
                </c:pt>
                <c:pt idx="31" formatCode="_-* #,##0_-;\-* #,##0_-;_-* &quot;-&quot;_-;_-@_-">
                  <c:v>32424</c:v>
                </c:pt>
                <c:pt idx="32" formatCode="_-* #,##0_-;\-* #,##0_-;_-* &quot;-&quot;_-;_-@_-">
                  <c:v>33067</c:v>
                </c:pt>
                <c:pt idx="33" formatCode="_-* #,##0_-;\-* #,##0_-;_-* &quot;-&quot;_-;_-@_-">
                  <c:v>33680</c:v>
                </c:pt>
                <c:pt idx="34" formatCode="_-* #,##0_-;\-* #,##0_-;_-* &quot;-&quot;_-;_-@_-">
                  <c:v>34263</c:v>
                </c:pt>
                <c:pt idx="35" formatCode="_-* #,##0_-;\-* #,##0_-;_-* &quot;-&quot;_-;_-@_-">
                  <c:v>34817</c:v>
                </c:pt>
                <c:pt idx="36" formatCode="_-* #,##0_-;\-* #,##0_-;_-* &quot;-&quot;_-;_-@_-">
                  <c:v>35341</c:v>
                </c:pt>
                <c:pt idx="37" formatCode="_-* #,##0_-;\-* #,##0_-;_-* &quot;-&quot;_-;_-@_-">
                  <c:v>35835</c:v>
                </c:pt>
              </c:numCache>
            </c:numRef>
          </c:val>
        </c:ser>
        <c:ser>
          <c:idx val="5"/>
          <c:order val="3"/>
          <c:tx>
            <c:v>평균(최대최소제외)</c:v>
          </c:tx>
          <c:spPr>
            <a:ln w="3175">
              <a:solidFill>
                <a:srgbClr val="800000"/>
              </a:solidFill>
              <a:prstDash val="sysDash"/>
            </a:ln>
          </c:spPr>
          <c:marker>
            <c:symbol val="circle"/>
            <c:size val="3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북삼동20년!$L$225:$AX$225</c:f>
              <c:numCache>
                <c:formatCode>General</c:formatCode>
                <c:ptCount val="39"/>
                <c:pt idx="0">
                  <c:v>1988</c:v>
                </c:pt>
                <c:pt idx="1">
                  <c:v>1989</c:v>
                </c:pt>
                <c:pt idx="2">
                  <c:v>1990</c:v>
                </c:pt>
                <c:pt idx="3">
                  <c:v>1991</c:v>
                </c:pt>
                <c:pt idx="4">
                  <c:v>1992</c:v>
                </c:pt>
                <c:pt idx="5">
                  <c:v>1993</c:v>
                </c:pt>
                <c:pt idx="6">
                  <c:v>1994</c:v>
                </c:pt>
                <c:pt idx="7">
                  <c:v>1995</c:v>
                </c:pt>
                <c:pt idx="8">
                  <c:v>1996</c:v>
                </c:pt>
                <c:pt idx="9">
                  <c:v>1997</c:v>
                </c:pt>
                <c:pt idx="10">
                  <c:v>1998</c:v>
                </c:pt>
                <c:pt idx="11">
                  <c:v>1999</c:v>
                </c:pt>
                <c:pt idx="12">
                  <c:v>2000</c:v>
                </c:pt>
                <c:pt idx="13">
                  <c:v>2001</c:v>
                </c:pt>
                <c:pt idx="14">
                  <c:v>2002</c:v>
                </c:pt>
                <c:pt idx="15">
                  <c:v>2003</c:v>
                </c:pt>
                <c:pt idx="16">
                  <c:v>2004</c:v>
                </c:pt>
                <c:pt idx="17">
                  <c:v>2005</c:v>
                </c:pt>
                <c:pt idx="18">
                  <c:v>2006</c:v>
                </c:pt>
                <c:pt idx="19">
                  <c:v>2007</c:v>
                </c:pt>
                <c:pt idx="20">
                  <c:v>2008</c:v>
                </c:pt>
                <c:pt idx="21">
                  <c:v>2009</c:v>
                </c:pt>
                <c:pt idx="22">
                  <c:v>2010</c:v>
                </c:pt>
                <c:pt idx="23">
                  <c:v>2011</c:v>
                </c:pt>
                <c:pt idx="24">
                  <c:v>2012</c:v>
                </c:pt>
                <c:pt idx="25">
                  <c:v>2013</c:v>
                </c:pt>
                <c:pt idx="26">
                  <c:v>2014</c:v>
                </c:pt>
                <c:pt idx="27">
                  <c:v>2015</c:v>
                </c:pt>
                <c:pt idx="28">
                  <c:v>2016</c:v>
                </c:pt>
                <c:pt idx="29">
                  <c:v>2017</c:v>
                </c:pt>
                <c:pt idx="30">
                  <c:v>2018</c:v>
                </c:pt>
                <c:pt idx="31">
                  <c:v>2019</c:v>
                </c:pt>
                <c:pt idx="32">
                  <c:v>2020</c:v>
                </c:pt>
                <c:pt idx="33">
                  <c:v>2021</c:v>
                </c:pt>
                <c:pt idx="34">
                  <c:v>2022</c:v>
                </c:pt>
                <c:pt idx="35">
                  <c:v>2023</c:v>
                </c:pt>
                <c:pt idx="36">
                  <c:v>2024</c:v>
                </c:pt>
                <c:pt idx="37">
                  <c:v>2025</c:v>
                </c:pt>
              </c:numCache>
            </c:numRef>
          </c:cat>
          <c:val>
            <c:numRef>
              <c:f>북삼동20년!$L$231:$AW$231</c:f>
              <c:numCache>
                <c:formatCode>General</c:formatCode>
                <c:ptCount val="38"/>
                <c:pt idx="19" formatCode="_-* #,##0_-;\-* #,##0_-;_-* &quot;-&quot;_-;_-@_-">
                  <c:v>21215</c:v>
                </c:pt>
                <c:pt idx="20" formatCode="#,##0_ ">
                  <c:v>22636.5</c:v>
                </c:pt>
                <c:pt idx="21" formatCode="#,##0_ ">
                  <c:v>23479.5</c:v>
                </c:pt>
                <c:pt idx="22" formatCode="#,##0_ ">
                  <c:v>24340.5</c:v>
                </c:pt>
                <c:pt idx="23" formatCode="#,##0_ ">
                  <c:v>25220</c:v>
                </c:pt>
                <c:pt idx="24" formatCode="#,##0_ ">
                  <c:v>26117.5</c:v>
                </c:pt>
                <c:pt idx="25" formatCode="#,##0_ ">
                  <c:v>27035</c:v>
                </c:pt>
                <c:pt idx="26" formatCode="#,##0_ ">
                  <c:v>27973.5</c:v>
                </c:pt>
                <c:pt idx="27" formatCode="#,##0_ ">
                  <c:v>28933.5</c:v>
                </c:pt>
                <c:pt idx="28" formatCode="#,##0_ ">
                  <c:v>29914.5</c:v>
                </c:pt>
                <c:pt idx="29" formatCode="#,##0_ ">
                  <c:v>30761.5</c:v>
                </c:pt>
                <c:pt idx="30" formatCode="#,##0_ ">
                  <c:v>31516</c:v>
                </c:pt>
                <c:pt idx="31" formatCode="#,##0_ ">
                  <c:v>32256</c:v>
                </c:pt>
                <c:pt idx="32" formatCode="#,##0_ ">
                  <c:v>32980.5</c:v>
                </c:pt>
                <c:pt idx="33" formatCode="#,##0_ ">
                  <c:v>33690.5</c:v>
                </c:pt>
                <c:pt idx="34" formatCode="#,##0_ ">
                  <c:v>34385.5</c:v>
                </c:pt>
                <c:pt idx="35" formatCode="#,##0_ ">
                  <c:v>35066</c:v>
                </c:pt>
                <c:pt idx="36" formatCode="#,##0_ ">
                  <c:v>35731</c:v>
                </c:pt>
                <c:pt idx="37" formatCode="#,##0_ ">
                  <c:v>36381.5</c:v>
                </c:pt>
              </c:numCache>
            </c:numRef>
          </c:val>
        </c:ser>
        <c:ser>
          <c:idx val="6"/>
          <c:order val="4"/>
          <c:tx>
            <c:v>과거</c:v>
          </c:tx>
          <c:spPr>
            <a:ln w="12700">
              <a:solidFill>
                <a:srgbClr val="008080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008080"/>
                </a:solidFill>
                <a:prstDash val="solid"/>
              </a:ln>
            </c:spPr>
          </c:marker>
          <c:cat>
            <c:numRef>
              <c:f>북삼동20년!$L$225:$AX$225</c:f>
              <c:numCache>
                <c:formatCode>General</c:formatCode>
                <c:ptCount val="39"/>
                <c:pt idx="0">
                  <c:v>1988</c:v>
                </c:pt>
                <c:pt idx="1">
                  <c:v>1989</c:v>
                </c:pt>
                <c:pt idx="2">
                  <c:v>1990</c:v>
                </c:pt>
                <c:pt idx="3">
                  <c:v>1991</c:v>
                </c:pt>
                <c:pt idx="4">
                  <c:v>1992</c:v>
                </c:pt>
                <c:pt idx="5">
                  <c:v>1993</c:v>
                </c:pt>
                <c:pt idx="6">
                  <c:v>1994</c:v>
                </c:pt>
                <c:pt idx="7">
                  <c:v>1995</c:v>
                </c:pt>
                <c:pt idx="8">
                  <c:v>1996</c:v>
                </c:pt>
                <c:pt idx="9">
                  <c:v>1997</c:v>
                </c:pt>
                <c:pt idx="10">
                  <c:v>1998</c:v>
                </c:pt>
                <c:pt idx="11">
                  <c:v>1999</c:v>
                </c:pt>
                <c:pt idx="12">
                  <c:v>2000</c:v>
                </c:pt>
                <c:pt idx="13">
                  <c:v>2001</c:v>
                </c:pt>
                <c:pt idx="14">
                  <c:v>2002</c:v>
                </c:pt>
                <c:pt idx="15">
                  <c:v>2003</c:v>
                </c:pt>
                <c:pt idx="16">
                  <c:v>2004</c:v>
                </c:pt>
                <c:pt idx="17">
                  <c:v>2005</c:v>
                </c:pt>
                <c:pt idx="18">
                  <c:v>2006</c:v>
                </c:pt>
                <c:pt idx="19">
                  <c:v>2007</c:v>
                </c:pt>
                <c:pt idx="20">
                  <c:v>2008</c:v>
                </c:pt>
                <c:pt idx="21">
                  <c:v>2009</c:v>
                </c:pt>
                <c:pt idx="22">
                  <c:v>2010</c:v>
                </c:pt>
                <c:pt idx="23">
                  <c:v>2011</c:v>
                </c:pt>
                <c:pt idx="24">
                  <c:v>2012</c:v>
                </c:pt>
                <c:pt idx="25">
                  <c:v>2013</c:v>
                </c:pt>
                <c:pt idx="26">
                  <c:v>2014</c:v>
                </c:pt>
                <c:pt idx="27">
                  <c:v>2015</c:v>
                </c:pt>
                <c:pt idx="28">
                  <c:v>2016</c:v>
                </c:pt>
                <c:pt idx="29">
                  <c:v>2017</c:v>
                </c:pt>
                <c:pt idx="30">
                  <c:v>2018</c:v>
                </c:pt>
                <c:pt idx="31">
                  <c:v>2019</c:v>
                </c:pt>
                <c:pt idx="32">
                  <c:v>2020</c:v>
                </c:pt>
                <c:pt idx="33">
                  <c:v>2021</c:v>
                </c:pt>
                <c:pt idx="34">
                  <c:v>2022</c:v>
                </c:pt>
                <c:pt idx="35">
                  <c:v>2023</c:v>
                </c:pt>
                <c:pt idx="36">
                  <c:v>2024</c:v>
                </c:pt>
                <c:pt idx="37">
                  <c:v>2025</c:v>
                </c:pt>
              </c:numCache>
            </c:numRef>
          </c:cat>
          <c:val>
            <c:numRef>
              <c:f>북삼동20년!$L$223:$AG$223</c:f>
              <c:numCache>
                <c:formatCode>_-* #,##0_-;\-* #,##0_-;_-* "-"_-;_-@_-</c:formatCode>
                <c:ptCount val="22"/>
                <c:pt idx="0" formatCode="General">
                  <c:v>10091</c:v>
                </c:pt>
                <c:pt idx="1">
                  <c:v>10204</c:v>
                </c:pt>
                <c:pt idx="2" formatCode="General">
                  <c:v>9169</c:v>
                </c:pt>
                <c:pt idx="3">
                  <c:v>9282</c:v>
                </c:pt>
                <c:pt idx="4" formatCode="General">
                  <c:v>9168</c:v>
                </c:pt>
                <c:pt idx="5">
                  <c:v>9159</c:v>
                </c:pt>
                <c:pt idx="6">
                  <c:v>9336</c:v>
                </c:pt>
                <c:pt idx="7">
                  <c:v>11008</c:v>
                </c:pt>
                <c:pt idx="8">
                  <c:v>12272</c:v>
                </c:pt>
                <c:pt idx="9">
                  <c:v>13056</c:v>
                </c:pt>
                <c:pt idx="10">
                  <c:v>14417</c:v>
                </c:pt>
                <c:pt idx="11">
                  <c:v>15218</c:v>
                </c:pt>
                <c:pt idx="12">
                  <c:v>16870</c:v>
                </c:pt>
                <c:pt idx="13">
                  <c:v>19029</c:v>
                </c:pt>
                <c:pt idx="14">
                  <c:v>20963</c:v>
                </c:pt>
                <c:pt idx="15">
                  <c:v>21131</c:v>
                </c:pt>
                <c:pt idx="16">
                  <c:v>21241</c:v>
                </c:pt>
                <c:pt idx="17">
                  <c:v>21184</c:v>
                </c:pt>
                <c:pt idx="18">
                  <c:v>20836</c:v>
                </c:pt>
                <c:pt idx="19">
                  <c:v>21215</c:v>
                </c:pt>
                <c:pt idx="20">
                  <c:v>23646</c:v>
                </c:pt>
              </c:numCache>
            </c:numRef>
          </c:val>
        </c:ser>
        <c:ser>
          <c:idx val="2"/>
          <c:order val="5"/>
          <c:tx>
            <c:v>등비</c:v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FF0000"/>
                </a:solidFill>
                <a:prstDash val="solid"/>
              </a:ln>
            </c:spPr>
          </c:marker>
          <c:val>
            <c:numRef>
              <c:f>북삼동20년!$L$228:$AW$228</c:f>
              <c:numCache>
                <c:formatCode>General</c:formatCode>
                <c:ptCount val="38"/>
                <c:pt idx="19" formatCode="_-* #,##0_-;\-* #,##0_-;_-* &quot;-&quot;_-;_-@_-">
                  <c:v>21215</c:v>
                </c:pt>
                <c:pt idx="20" formatCode="_-* #,##0_-;\-* #,##0_-;_-* &quot;-&quot;_-;_-@_-">
                  <c:v>22060</c:v>
                </c:pt>
                <c:pt idx="21" formatCode="_-* #,##0_-;\-* #,##0_-;_-* &quot;-&quot;_-;_-@_-">
                  <c:v>22939</c:v>
                </c:pt>
                <c:pt idx="22" formatCode="_-* #,##0_-;\-* #,##0_-;_-* &quot;-&quot;_-;_-@_-">
                  <c:v>23854</c:v>
                </c:pt>
                <c:pt idx="23" formatCode="_-* #,##0_-;\-* #,##0_-;_-* &quot;-&quot;_-;_-@_-">
                  <c:v>24806</c:v>
                </c:pt>
                <c:pt idx="24" formatCode="_-* #,##0_-;\-* #,##0_-;_-* &quot;-&quot;_-;_-@_-">
                  <c:v>25795</c:v>
                </c:pt>
                <c:pt idx="25" formatCode="_-* #,##0_-;\-* #,##0_-;_-* &quot;-&quot;_-;_-@_-">
                  <c:v>26823</c:v>
                </c:pt>
                <c:pt idx="26" formatCode="_-* #,##0_-;\-* #,##0_-;_-* &quot;-&quot;_-;_-@_-">
                  <c:v>27893</c:v>
                </c:pt>
                <c:pt idx="27" formatCode="_-* #,##0_-;\-* #,##0_-;_-* &quot;-&quot;_-;_-@_-">
                  <c:v>29006</c:v>
                </c:pt>
                <c:pt idx="28" formatCode="_-* #,##0_-;\-* #,##0_-;_-* &quot;-&quot;_-;_-@_-">
                  <c:v>30162</c:v>
                </c:pt>
                <c:pt idx="29" formatCode="_-* #,##0_-;\-* #,##0_-;_-* &quot;-&quot;_-;_-@_-">
                  <c:v>31365</c:v>
                </c:pt>
                <c:pt idx="30" formatCode="_-* #,##0_-;\-* #,##0_-;_-* &quot;-&quot;_-;_-@_-">
                  <c:v>32616</c:v>
                </c:pt>
                <c:pt idx="31" formatCode="_-* #,##0_-;\-* #,##0_-;_-* &quot;-&quot;_-;_-@_-">
                  <c:v>33917</c:v>
                </c:pt>
                <c:pt idx="32" formatCode="_-* #,##0_-;\-* #,##0_-;_-* &quot;-&quot;_-;_-@_-">
                  <c:v>35269</c:v>
                </c:pt>
                <c:pt idx="33" formatCode="_-* #,##0_-;\-* #,##0_-;_-* &quot;-&quot;_-;_-@_-">
                  <c:v>36676</c:v>
                </c:pt>
                <c:pt idx="34" formatCode="_-* #,##0_-;\-* #,##0_-;_-* &quot;-&quot;_-;_-@_-">
                  <c:v>38139</c:v>
                </c:pt>
                <c:pt idx="35" formatCode="_-* #,##0_-;\-* #,##0_-;_-* &quot;-&quot;_-;_-@_-">
                  <c:v>39659</c:v>
                </c:pt>
                <c:pt idx="36" formatCode="_-* #,##0_-;\-* #,##0_-;_-* &quot;-&quot;_-;_-@_-">
                  <c:v>41241</c:v>
                </c:pt>
                <c:pt idx="37" formatCode="_-* #,##0_-;\-* #,##0_-;_-* &quot;-&quot;_-;_-@_-">
                  <c:v>42886</c:v>
                </c:pt>
              </c:numCache>
            </c:numRef>
          </c:val>
        </c:ser>
        <c:marker val="1"/>
        <c:axId val="128647936"/>
        <c:axId val="128650240"/>
      </c:lineChart>
      <c:catAx>
        <c:axId val="128647936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875" b="0" i="0" u="none" strike="noStrike" baseline="0">
                    <a:solidFill>
                      <a:srgbClr val="000000"/>
                    </a:solidFill>
                    <a:latin typeface="돋움"/>
                    <a:ea typeface="돋움"/>
                    <a:cs typeface="돋움"/>
                  </a:defRPr>
                </a:pPr>
                <a:r>
                  <a:rPr altLang="en-US"/>
                  <a:t>연도</a:t>
                </a:r>
              </a:p>
            </c:rich>
          </c:tx>
          <c:layout>
            <c:manualLayout>
              <c:xMode val="edge"/>
              <c:yMode val="edge"/>
              <c:x val="0.50336346409613442"/>
              <c:y val="0.81939243336028011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maj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돋움"/>
                <a:ea typeface="돋움"/>
                <a:cs typeface="돋움"/>
              </a:defRPr>
            </a:pPr>
            <a:endParaRPr lang="ko-KR"/>
          </a:p>
        </c:txPr>
        <c:crossAx val="128650240"/>
        <c:crosses val="autoZero"/>
        <c:auto val="1"/>
        <c:lblAlgn val="ctr"/>
        <c:lblOffset val="100"/>
        <c:tickLblSkip val="2"/>
        <c:tickMarkSkip val="1"/>
      </c:catAx>
      <c:valAx>
        <c:axId val="128650240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맑은 고딕"/>
                    <a:ea typeface="맑은 고딕"/>
                    <a:cs typeface="맑은 고딕"/>
                  </a:defRPr>
                </a:pPr>
                <a:r>
                  <a:rPr lang="ko-KR" altLang="en-US" sz="875" b="0" i="0" strike="noStrike">
                    <a:solidFill>
                      <a:srgbClr val="000000"/>
                    </a:solidFill>
                    <a:latin typeface="돋움"/>
                    <a:ea typeface="돋움"/>
                  </a:rPr>
                  <a:t>인구</a:t>
                </a:r>
                <a:r>
                  <a:rPr lang="en-US" altLang="ko-KR" sz="875" b="0" i="0" strike="noStrike">
                    <a:solidFill>
                      <a:srgbClr val="000000"/>
                    </a:solidFill>
                    <a:latin typeface="돋움"/>
                    <a:ea typeface="돋움"/>
                  </a:rPr>
                  <a:t>(</a:t>
                </a:r>
                <a:r>
                  <a:rPr lang="ko-KR" altLang="en-US" sz="875" b="0" i="0" strike="noStrike">
                    <a:solidFill>
                      <a:srgbClr val="000000"/>
                    </a:solidFill>
                    <a:latin typeface="돋움"/>
                    <a:ea typeface="돋움"/>
                  </a:rPr>
                  <a:t>명</a:t>
                </a:r>
                <a:r>
                  <a:rPr lang="en-US" altLang="ko-KR" sz="875" b="0" i="0" strike="noStrike">
                    <a:solidFill>
                      <a:srgbClr val="000000"/>
                    </a:solidFill>
                    <a:latin typeface="돋움"/>
                    <a:ea typeface="돋움"/>
                  </a:rPr>
                  <a:t>)</a:t>
                </a:r>
              </a:p>
            </c:rich>
          </c:tx>
          <c:layout>
            <c:manualLayout>
              <c:xMode val="edge"/>
              <c:yMode val="edge"/>
              <c:x val="2.5784753363228687E-2"/>
              <c:y val="0.38212967675618492"/>
            </c:manualLayout>
          </c:layout>
          <c:spPr>
            <a:noFill/>
            <a:ln w="25400">
              <a:noFill/>
            </a:ln>
          </c:spPr>
        </c:title>
        <c:numFmt formatCode="#,##0_ " sourceLinked="0"/>
        <c:maj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돋움"/>
                <a:ea typeface="돋움"/>
                <a:cs typeface="돋움"/>
              </a:defRPr>
            </a:pPr>
            <a:endParaRPr lang="ko-KR"/>
          </a:p>
        </c:txPr>
        <c:crossAx val="128647936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wMode val="edge"/>
          <c:hMode val="edge"/>
          <c:x val="0.12668173204806787"/>
          <c:y val="0.89733920142111512"/>
          <c:w val="0.91479879476948922"/>
          <c:h val="0.95817570332225577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돋움"/>
              <a:ea typeface="돋움"/>
              <a:cs typeface="돋움"/>
            </a:defRPr>
          </a:pPr>
          <a:endParaRPr lang="ko-KR"/>
        </a:p>
      </c:txPr>
    </c:legend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75" b="0" i="0" u="none" strike="noStrike" baseline="0">
          <a:solidFill>
            <a:srgbClr val="000000"/>
          </a:solidFill>
          <a:latin typeface="돋움"/>
          <a:ea typeface="돋움"/>
          <a:cs typeface="돋움"/>
        </a:defRPr>
      </a:pPr>
      <a:endParaRPr lang="ko-KR"/>
    </a:p>
  </c:txPr>
  <c:printSettings>
    <c:headerFooter alignWithMargins="0"/>
    <c:pageMargins b="1" l="0.75000000000000144" r="0.75000000000000144" t="1" header="0.5" footer="0.5"/>
    <c:pageSetup paperSize="9" orientation="landscape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ko-KR"/>
  <c:chart>
    <c:title>
      <c:tx>
        <c:rich>
          <a:bodyPr/>
          <a:lstStyle/>
          <a:p>
            <a:pPr>
              <a:defRPr sz="1175" b="1" i="0" u="none" strike="noStrike" baseline="0">
                <a:solidFill>
                  <a:srgbClr val="000000"/>
                </a:solidFill>
                <a:latin typeface="돋움"/>
                <a:ea typeface="돋움"/>
                <a:cs typeface="돋움"/>
              </a:defRPr>
            </a:pPr>
            <a:r>
              <a:rPr altLang="en-US"/>
              <a:t>북삼동</a:t>
            </a:r>
          </a:p>
        </c:rich>
      </c:tx>
      <c:layout>
        <c:manualLayout>
          <c:xMode val="edge"/>
          <c:yMode val="edge"/>
          <c:x val="0.46861010086743682"/>
          <c:y val="2.8517110266159756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0426014675815599"/>
          <c:y val="9.3155980012012529E-2"/>
          <c:w val="0.830717943524659"/>
          <c:h val="0.67680671192400665"/>
        </c:manualLayout>
      </c:layout>
      <c:lineChart>
        <c:grouping val="standard"/>
        <c:ser>
          <c:idx val="0"/>
          <c:order val="0"/>
          <c:tx>
            <c:v>등차</c:v>
          </c:tx>
          <c:spPr>
            <a:ln w="3175">
              <a:solidFill>
                <a:srgbClr val="000080"/>
              </a:solidFill>
              <a:prstDash val="solid"/>
            </a:ln>
          </c:spPr>
          <c:marker>
            <c:symbol val="diamond"/>
            <c:size val="3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북삼동10!$L$181:$AO$181</c:f>
              <c:numCache>
                <c:formatCode>General</c:formatCode>
                <c:ptCount val="30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  <c:pt idx="22">
                  <c:v>2019</c:v>
                </c:pt>
                <c:pt idx="23">
                  <c:v>2020</c:v>
                </c:pt>
                <c:pt idx="24">
                  <c:v>2021</c:v>
                </c:pt>
                <c:pt idx="25">
                  <c:v>2022</c:v>
                </c:pt>
                <c:pt idx="26">
                  <c:v>2023</c:v>
                </c:pt>
                <c:pt idx="27">
                  <c:v>2024</c:v>
                </c:pt>
                <c:pt idx="28">
                  <c:v>2025</c:v>
                </c:pt>
                <c:pt idx="29">
                  <c:v>2026</c:v>
                </c:pt>
              </c:numCache>
            </c:numRef>
          </c:cat>
          <c:val>
            <c:numRef>
              <c:f>북삼동10!$L$182:$AN$182</c:f>
              <c:numCache>
                <c:formatCode>General</c:formatCode>
                <c:ptCount val="29"/>
                <c:pt idx="10" formatCode="_-* #,##0_-;\-* #,##0_-;_-* &quot;-&quot;_-;_-@_-">
                  <c:v>21215</c:v>
                </c:pt>
                <c:pt idx="11" formatCode="_-* #,##0_-;\-* #,##0_-;_-* &quot;-&quot;_-;_-@_-">
                  <c:v>22031</c:v>
                </c:pt>
                <c:pt idx="12" formatCode="_-* #,##0_-;\-* #,##0_-;_-* &quot;-&quot;_-;_-@_-">
                  <c:v>22847</c:v>
                </c:pt>
                <c:pt idx="13" formatCode="_-* #,##0_-;\-* #,##0_-;_-* &quot;-&quot;_-;_-@_-">
                  <c:v>23663</c:v>
                </c:pt>
                <c:pt idx="14" formatCode="_-* #,##0_-;\-* #,##0_-;_-* &quot;-&quot;_-;_-@_-">
                  <c:v>24479</c:v>
                </c:pt>
                <c:pt idx="15" formatCode="_-* #,##0_-;\-* #,##0_-;_-* &quot;-&quot;_-;_-@_-">
                  <c:v>25295</c:v>
                </c:pt>
                <c:pt idx="16" formatCode="_-* #,##0_-;\-* #,##0_-;_-* &quot;-&quot;_-;_-@_-">
                  <c:v>26110</c:v>
                </c:pt>
                <c:pt idx="17" formatCode="_-* #,##0_-;\-* #,##0_-;_-* &quot;-&quot;_-;_-@_-">
                  <c:v>26926</c:v>
                </c:pt>
                <c:pt idx="18" formatCode="_-* #,##0_-;\-* #,##0_-;_-* &quot;-&quot;_-;_-@_-">
                  <c:v>27742</c:v>
                </c:pt>
                <c:pt idx="19" formatCode="_-* #,##0_-;\-* #,##0_-;_-* &quot;-&quot;_-;_-@_-">
                  <c:v>28558</c:v>
                </c:pt>
                <c:pt idx="20" formatCode="_-* #,##0_-;\-* #,##0_-;_-* &quot;-&quot;_-;_-@_-">
                  <c:v>29374</c:v>
                </c:pt>
                <c:pt idx="21" formatCode="_-* #,##0_-;\-* #,##0_-;_-* &quot;-&quot;_-;_-@_-">
                  <c:v>30190</c:v>
                </c:pt>
                <c:pt idx="22" formatCode="_-* #,##0_-;\-* #,##0_-;_-* &quot;-&quot;_-;_-@_-">
                  <c:v>31006</c:v>
                </c:pt>
                <c:pt idx="23" formatCode="_-* #,##0_-;\-* #,##0_-;_-* &quot;-&quot;_-;_-@_-">
                  <c:v>31822</c:v>
                </c:pt>
                <c:pt idx="24" formatCode="_-* #,##0_-;\-* #,##0_-;_-* &quot;-&quot;_-;_-@_-">
                  <c:v>32638</c:v>
                </c:pt>
                <c:pt idx="25" formatCode="_-* #,##0_-;\-* #,##0_-;_-* &quot;-&quot;_-;_-@_-">
                  <c:v>33454</c:v>
                </c:pt>
                <c:pt idx="26" formatCode="_-* #,##0_-;\-* #,##0_-;_-* &quot;-&quot;_-;_-@_-">
                  <c:v>34269</c:v>
                </c:pt>
                <c:pt idx="27" formatCode="_-* #,##0_-;\-* #,##0_-;_-* &quot;-&quot;_-;_-@_-">
                  <c:v>35085</c:v>
                </c:pt>
                <c:pt idx="28" formatCode="_-* #,##0_-;\-* #,##0_-;_-* &quot;-&quot;_-;_-@_-">
                  <c:v>35901</c:v>
                </c:pt>
              </c:numCache>
            </c:numRef>
          </c:val>
        </c:ser>
        <c:ser>
          <c:idx val="1"/>
          <c:order val="1"/>
          <c:tx>
            <c:v>최소</c:v>
          </c:tx>
          <c:spPr>
            <a:ln w="3175">
              <a:solidFill>
                <a:srgbClr val="FF00FF"/>
              </a:solidFill>
              <a:prstDash val="solid"/>
            </a:ln>
          </c:spPr>
          <c:marker>
            <c:symbol val="square"/>
            <c:size val="3"/>
            <c:spPr>
              <a:noFill/>
              <a:ln>
                <a:solidFill>
                  <a:srgbClr val="FF00FF"/>
                </a:solidFill>
                <a:prstDash val="solid"/>
              </a:ln>
            </c:spPr>
          </c:marker>
          <c:cat>
            <c:numRef>
              <c:f>북삼동10!$L$181:$AO$181</c:f>
              <c:numCache>
                <c:formatCode>General</c:formatCode>
                <c:ptCount val="30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  <c:pt idx="22">
                  <c:v>2019</c:v>
                </c:pt>
                <c:pt idx="23">
                  <c:v>2020</c:v>
                </c:pt>
                <c:pt idx="24">
                  <c:v>2021</c:v>
                </c:pt>
                <c:pt idx="25">
                  <c:v>2022</c:v>
                </c:pt>
                <c:pt idx="26">
                  <c:v>2023</c:v>
                </c:pt>
                <c:pt idx="27">
                  <c:v>2024</c:v>
                </c:pt>
                <c:pt idx="28">
                  <c:v>2025</c:v>
                </c:pt>
                <c:pt idx="29">
                  <c:v>2026</c:v>
                </c:pt>
              </c:numCache>
            </c:numRef>
          </c:cat>
          <c:val>
            <c:numRef>
              <c:f>북삼동10!$L$183:$AN$183</c:f>
              <c:numCache>
                <c:formatCode>General</c:formatCode>
                <c:ptCount val="29"/>
                <c:pt idx="10" formatCode="_-* #,##0_-;\-* #,##0_-;_-* &quot;-&quot;_-;_-@_-">
                  <c:v>21215</c:v>
                </c:pt>
                <c:pt idx="11" formatCode="_-* #,##0_-;\-* #,##0_-;_-* &quot;-&quot;_-;_-@_-">
                  <c:v>23844</c:v>
                </c:pt>
                <c:pt idx="12" formatCode="_-* #,##0_-;\-* #,##0_-;_-* &quot;-&quot;_-;_-@_-">
                  <c:v>24710</c:v>
                </c:pt>
                <c:pt idx="13" formatCode="_-* #,##0_-;\-* #,##0_-;_-* &quot;-&quot;_-;_-@_-">
                  <c:v>25575</c:v>
                </c:pt>
                <c:pt idx="14" formatCode="_-* #,##0_-;\-* #,##0_-;_-* &quot;-&quot;_-;_-@_-">
                  <c:v>26441</c:v>
                </c:pt>
                <c:pt idx="15" formatCode="_-* #,##0_-;\-* #,##0_-;_-* &quot;-&quot;_-;_-@_-">
                  <c:v>27307</c:v>
                </c:pt>
                <c:pt idx="16" formatCode="_-* #,##0_-;\-* #,##0_-;_-* &quot;-&quot;_-;_-@_-">
                  <c:v>28172</c:v>
                </c:pt>
                <c:pt idx="17" formatCode="_-* #,##0_-;\-* #,##0_-;_-* &quot;-&quot;_-;_-@_-">
                  <c:v>29038</c:v>
                </c:pt>
                <c:pt idx="18" formatCode="_-* #,##0_-;\-* #,##0_-;_-* &quot;-&quot;_-;_-@_-">
                  <c:v>29903</c:v>
                </c:pt>
                <c:pt idx="19" formatCode="_-* #,##0_-;\-* #,##0_-;_-* &quot;-&quot;_-;_-@_-">
                  <c:v>30769</c:v>
                </c:pt>
                <c:pt idx="20" formatCode="_-* #,##0_-;\-* #,##0_-;_-* &quot;-&quot;_-;_-@_-">
                  <c:v>31635</c:v>
                </c:pt>
                <c:pt idx="21" formatCode="_-* #,##0_-;\-* #,##0_-;_-* &quot;-&quot;_-;_-@_-">
                  <c:v>32500</c:v>
                </c:pt>
                <c:pt idx="22" formatCode="_-* #,##0_-;\-* #,##0_-;_-* &quot;-&quot;_-;_-@_-">
                  <c:v>33366</c:v>
                </c:pt>
                <c:pt idx="23" formatCode="_-* #,##0_-;\-* #,##0_-;_-* &quot;-&quot;_-;_-@_-">
                  <c:v>34231</c:v>
                </c:pt>
                <c:pt idx="24" formatCode="_-* #,##0_-;\-* #,##0_-;_-* &quot;-&quot;_-;_-@_-">
                  <c:v>35097</c:v>
                </c:pt>
                <c:pt idx="25" formatCode="_-* #,##0_-;\-* #,##0_-;_-* &quot;-&quot;_-;_-@_-">
                  <c:v>35962</c:v>
                </c:pt>
                <c:pt idx="26" formatCode="_-* #,##0_-;\-* #,##0_-;_-* &quot;-&quot;_-;_-@_-">
                  <c:v>36828</c:v>
                </c:pt>
                <c:pt idx="27" formatCode="_-* #,##0_-;\-* #,##0_-;_-* &quot;-&quot;_-;_-@_-">
                  <c:v>37694</c:v>
                </c:pt>
                <c:pt idx="28" formatCode="_-* #,##0_-;\-* #,##0_-;_-* &quot;-&quot;_-;_-@_-">
                  <c:v>38559</c:v>
                </c:pt>
              </c:numCache>
            </c:numRef>
          </c:val>
        </c:ser>
        <c:ser>
          <c:idx val="4"/>
          <c:order val="2"/>
          <c:tx>
            <c:v>로지스틱</c:v>
          </c:tx>
          <c:spPr>
            <a:ln w="3175">
              <a:solidFill>
                <a:srgbClr val="800080"/>
              </a:solidFill>
              <a:prstDash val="solid"/>
            </a:ln>
          </c:spPr>
          <c:marker>
            <c:symbol val="circle"/>
            <c:size val="3"/>
            <c:spPr>
              <a:noFill/>
              <a:ln>
                <a:solidFill>
                  <a:srgbClr val="800080"/>
                </a:solidFill>
                <a:prstDash val="solid"/>
              </a:ln>
            </c:spPr>
          </c:marker>
          <c:cat>
            <c:numRef>
              <c:f>북삼동10!$L$181:$AO$181</c:f>
              <c:numCache>
                <c:formatCode>General</c:formatCode>
                <c:ptCount val="30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  <c:pt idx="22">
                  <c:v>2019</c:v>
                </c:pt>
                <c:pt idx="23">
                  <c:v>2020</c:v>
                </c:pt>
                <c:pt idx="24">
                  <c:v>2021</c:v>
                </c:pt>
                <c:pt idx="25">
                  <c:v>2022</c:v>
                </c:pt>
                <c:pt idx="26">
                  <c:v>2023</c:v>
                </c:pt>
                <c:pt idx="27">
                  <c:v>2024</c:v>
                </c:pt>
                <c:pt idx="28">
                  <c:v>2025</c:v>
                </c:pt>
                <c:pt idx="29">
                  <c:v>2026</c:v>
                </c:pt>
              </c:numCache>
            </c:numRef>
          </c:cat>
          <c:val>
            <c:numRef>
              <c:f>북삼동10!$L$186:$AN$186</c:f>
              <c:numCache>
                <c:formatCode>General</c:formatCode>
                <c:ptCount val="29"/>
                <c:pt idx="10" formatCode="_-* #,##0_-;\-* #,##0_-;_-* &quot;-&quot;_-;_-@_-">
                  <c:v>21215</c:v>
                </c:pt>
                <c:pt idx="11" formatCode="_-* #,##0_-;\-* #,##0_-;_-* &quot;-&quot;_-;_-@_-">
                  <c:v>23955</c:v>
                </c:pt>
                <c:pt idx="12" formatCode="_-* #,##0_-;\-* #,##0_-;_-* &quot;-&quot;_-;_-@_-">
                  <c:v>24836</c:v>
                </c:pt>
                <c:pt idx="13" formatCode="_-* #,##0_-;\-* #,##0_-;_-* &quot;-&quot;_-;_-@_-">
                  <c:v>25704</c:v>
                </c:pt>
                <c:pt idx="14" formatCode="_-* #,##0_-;\-* #,##0_-;_-* &quot;-&quot;_-;_-@_-">
                  <c:v>26557</c:v>
                </c:pt>
                <c:pt idx="15" formatCode="_-* #,##0_-;\-* #,##0_-;_-* &quot;-&quot;_-;_-@_-">
                  <c:v>27392</c:v>
                </c:pt>
                <c:pt idx="16" formatCode="_-* #,##0_-;\-* #,##0_-;_-* &quot;-&quot;_-;_-@_-">
                  <c:v>28207</c:v>
                </c:pt>
                <c:pt idx="17" formatCode="_-* #,##0_-;\-* #,##0_-;_-* &quot;-&quot;_-;_-@_-">
                  <c:v>29000</c:v>
                </c:pt>
                <c:pt idx="18" formatCode="_-* #,##0_-;\-* #,##0_-;_-* &quot;-&quot;_-;_-@_-">
                  <c:v>29768</c:v>
                </c:pt>
                <c:pt idx="19" formatCode="_-* #,##0_-;\-* #,##0_-;_-* &quot;-&quot;_-;_-@_-">
                  <c:v>30510</c:v>
                </c:pt>
                <c:pt idx="20" formatCode="_-* #,##0_-;\-* #,##0_-;_-* &quot;-&quot;_-;_-@_-">
                  <c:v>31226</c:v>
                </c:pt>
                <c:pt idx="21" formatCode="_-* #,##0_-;\-* #,##0_-;_-* &quot;-&quot;_-;_-@_-">
                  <c:v>31913</c:v>
                </c:pt>
                <c:pt idx="22" formatCode="_-* #,##0_-;\-* #,##0_-;_-* &quot;-&quot;_-;_-@_-">
                  <c:v>32572</c:v>
                </c:pt>
                <c:pt idx="23" formatCode="_-* #,##0_-;\-* #,##0_-;_-* &quot;-&quot;_-;_-@_-">
                  <c:v>33202</c:v>
                </c:pt>
                <c:pt idx="24" formatCode="_-* #,##0_-;\-* #,##0_-;_-* &quot;-&quot;_-;_-@_-">
                  <c:v>33803</c:v>
                </c:pt>
                <c:pt idx="25" formatCode="_-* #,##0_-;\-* #,##0_-;_-* &quot;-&quot;_-;_-@_-">
                  <c:v>34374</c:v>
                </c:pt>
                <c:pt idx="26" formatCode="_-* #,##0_-;\-* #,##0_-;_-* &quot;-&quot;_-;_-@_-">
                  <c:v>34916</c:v>
                </c:pt>
                <c:pt idx="27" formatCode="_-* #,##0_-;\-* #,##0_-;_-* &quot;-&quot;_-;_-@_-">
                  <c:v>35429</c:v>
                </c:pt>
                <c:pt idx="28" formatCode="_-* #,##0_-;\-* #,##0_-;_-* &quot;-&quot;_-;_-@_-">
                  <c:v>35914</c:v>
                </c:pt>
              </c:numCache>
            </c:numRef>
          </c:val>
        </c:ser>
        <c:ser>
          <c:idx val="5"/>
          <c:order val="3"/>
          <c:tx>
            <c:v>평균(최대최소제외)</c:v>
          </c:tx>
          <c:spPr>
            <a:ln w="3175">
              <a:solidFill>
                <a:srgbClr val="800000"/>
              </a:solidFill>
              <a:prstDash val="sysDash"/>
            </a:ln>
          </c:spPr>
          <c:marker>
            <c:symbol val="circle"/>
            <c:size val="3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북삼동10!$L$181:$AO$181</c:f>
              <c:numCache>
                <c:formatCode>General</c:formatCode>
                <c:ptCount val="30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  <c:pt idx="22">
                  <c:v>2019</c:v>
                </c:pt>
                <c:pt idx="23">
                  <c:v>2020</c:v>
                </c:pt>
                <c:pt idx="24">
                  <c:v>2021</c:v>
                </c:pt>
                <c:pt idx="25">
                  <c:v>2022</c:v>
                </c:pt>
                <c:pt idx="26">
                  <c:v>2023</c:v>
                </c:pt>
                <c:pt idx="27">
                  <c:v>2024</c:v>
                </c:pt>
                <c:pt idx="28">
                  <c:v>2025</c:v>
                </c:pt>
                <c:pt idx="29">
                  <c:v>2026</c:v>
                </c:pt>
              </c:numCache>
            </c:numRef>
          </c:cat>
          <c:val>
            <c:numRef>
              <c:f>북삼동10!$L$187:$AN$187</c:f>
              <c:numCache>
                <c:formatCode>General</c:formatCode>
                <c:ptCount val="29"/>
                <c:pt idx="10" formatCode="_-* #,##0_-;\-* #,##0_-;_-* &quot;-&quot;_-;_-@_-">
                  <c:v>21215</c:v>
                </c:pt>
                <c:pt idx="11" formatCode="_-* #,##0_-;\-* #,##0_-;_-* &quot;-&quot;_-;_-@_-">
                  <c:v>23289</c:v>
                </c:pt>
                <c:pt idx="12" formatCode="#,##0_ ">
                  <c:v>24196.2</c:v>
                </c:pt>
                <c:pt idx="13" formatCode="#,##0_ ">
                  <c:v>25109.4</c:v>
                </c:pt>
                <c:pt idx="14" formatCode="#,##0_ ">
                  <c:v>26557</c:v>
                </c:pt>
                <c:pt idx="15" formatCode="#,##0_ ">
                  <c:v>27392</c:v>
                </c:pt>
                <c:pt idx="16" formatCode="#,##0_ ">
                  <c:v>28207</c:v>
                </c:pt>
                <c:pt idx="17" formatCode="#,##0_ ">
                  <c:v>29000</c:v>
                </c:pt>
                <c:pt idx="18" formatCode="#,##0_ ">
                  <c:v>29768</c:v>
                </c:pt>
                <c:pt idx="19" formatCode="#,##0_ ">
                  <c:v>30510</c:v>
                </c:pt>
                <c:pt idx="20" formatCode="#,##0_ ">
                  <c:v>31226</c:v>
                </c:pt>
                <c:pt idx="21" formatCode="#,##0_ ">
                  <c:v>31913</c:v>
                </c:pt>
                <c:pt idx="22" formatCode="#,##0_ ">
                  <c:v>32572</c:v>
                </c:pt>
                <c:pt idx="23" formatCode="#,##0_ ">
                  <c:v>33202</c:v>
                </c:pt>
                <c:pt idx="24" formatCode="#,##0_ ">
                  <c:v>33803</c:v>
                </c:pt>
                <c:pt idx="25" formatCode="#,##0_ ">
                  <c:v>34374</c:v>
                </c:pt>
                <c:pt idx="26" formatCode="#,##0_ ">
                  <c:v>34916</c:v>
                </c:pt>
                <c:pt idx="27" formatCode="#,##0_ ">
                  <c:v>35429</c:v>
                </c:pt>
                <c:pt idx="28" formatCode="#,##0_ ">
                  <c:v>35914</c:v>
                </c:pt>
              </c:numCache>
            </c:numRef>
          </c:val>
        </c:ser>
        <c:ser>
          <c:idx val="6"/>
          <c:order val="4"/>
          <c:tx>
            <c:v>과거</c:v>
          </c:tx>
          <c:spPr>
            <a:ln w="12700">
              <a:solidFill>
                <a:srgbClr val="008080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008080"/>
                </a:solidFill>
                <a:prstDash val="solid"/>
              </a:ln>
            </c:spPr>
          </c:marker>
          <c:cat>
            <c:numRef>
              <c:f>북삼동10!$L$181:$AO$181</c:f>
              <c:numCache>
                <c:formatCode>General</c:formatCode>
                <c:ptCount val="30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  <c:pt idx="22">
                  <c:v>2019</c:v>
                </c:pt>
                <c:pt idx="23">
                  <c:v>2020</c:v>
                </c:pt>
                <c:pt idx="24">
                  <c:v>2021</c:v>
                </c:pt>
                <c:pt idx="25">
                  <c:v>2022</c:v>
                </c:pt>
                <c:pt idx="26">
                  <c:v>2023</c:v>
                </c:pt>
                <c:pt idx="27">
                  <c:v>2024</c:v>
                </c:pt>
                <c:pt idx="28">
                  <c:v>2025</c:v>
                </c:pt>
                <c:pt idx="29">
                  <c:v>2026</c:v>
                </c:pt>
              </c:numCache>
            </c:numRef>
          </c:cat>
          <c:val>
            <c:numRef>
              <c:f>북삼동10!$L$179:$X$179</c:f>
              <c:numCache>
                <c:formatCode>_-* #,##0_-;\-* #,##0_-;_-* "-"_-;_-@_-</c:formatCode>
                <c:ptCount val="13"/>
                <c:pt idx="0">
                  <c:v>13056</c:v>
                </c:pt>
                <c:pt idx="1">
                  <c:v>14417</c:v>
                </c:pt>
                <c:pt idx="2">
                  <c:v>15218</c:v>
                </c:pt>
                <c:pt idx="3" formatCode="General">
                  <c:v>16870</c:v>
                </c:pt>
                <c:pt idx="4">
                  <c:v>19029</c:v>
                </c:pt>
                <c:pt idx="5" formatCode="General">
                  <c:v>20963</c:v>
                </c:pt>
                <c:pt idx="6">
                  <c:v>21131</c:v>
                </c:pt>
                <c:pt idx="7">
                  <c:v>21241</c:v>
                </c:pt>
                <c:pt idx="8">
                  <c:v>21184</c:v>
                </c:pt>
                <c:pt idx="9">
                  <c:v>20836</c:v>
                </c:pt>
                <c:pt idx="10">
                  <c:v>21215</c:v>
                </c:pt>
                <c:pt idx="11">
                  <c:v>22031</c:v>
                </c:pt>
              </c:numCache>
            </c:numRef>
          </c:val>
        </c:ser>
        <c:ser>
          <c:idx val="2"/>
          <c:order val="5"/>
          <c:tx>
            <c:v>등비</c:v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FF0000"/>
                </a:solidFill>
                <a:prstDash val="solid"/>
              </a:ln>
            </c:spPr>
          </c:marker>
          <c:val>
            <c:numRef>
              <c:f>북삼동10!$L$184:$AN$184</c:f>
              <c:numCache>
                <c:formatCode>General</c:formatCode>
                <c:ptCount val="29"/>
                <c:pt idx="10" formatCode="_-* #,##0_-;\-* #,##0_-;_-* &quot;-&quot;_-;_-@_-">
                  <c:v>21215</c:v>
                </c:pt>
                <c:pt idx="11" formatCode="_-* #,##0_-;\-* #,##0_-;_-* &quot;-&quot;_-;_-@_-">
                  <c:v>22269</c:v>
                </c:pt>
                <c:pt idx="12" formatCode="_-* #,##0_-;\-* #,##0_-;_-* &quot;-&quot;_-;_-@_-">
                  <c:v>23377</c:v>
                </c:pt>
                <c:pt idx="13" formatCode="_-* #,##0_-;\-* #,##0_-;_-* &quot;-&quot;_-;_-@_-">
                  <c:v>24540</c:v>
                </c:pt>
                <c:pt idx="14" formatCode="_-* #,##0_-;\-* #,##0_-;_-* &quot;-&quot;_-;_-@_-">
                  <c:v>25761</c:v>
                </c:pt>
                <c:pt idx="15" formatCode="_-* #,##0_-;\-* #,##0_-;_-* &quot;-&quot;_-;_-@_-">
                  <c:v>27042</c:v>
                </c:pt>
                <c:pt idx="16" formatCode="_-* #,##0_-;\-* #,##0_-;_-* &quot;-&quot;_-;_-@_-">
                  <c:v>28387</c:v>
                </c:pt>
                <c:pt idx="17" formatCode="_-* #,##0_-;\-* #,##0_-;_-* &quot;-&quot;_-;_-@_-">
                  <c:v>29799</c:v>
                </c:pt>
                <c:pt idx="18" formatCode="_-* #,##0_-;\-* #,##0_-;_-* &quot;-&quot;_-;_-@_-">
                  <c:v>31281</c:v>
                </c:pt>
                <c:pt idx="19" formatCode="_-* #,##0_-;\-* #,##0_-;_-* &quot;-&quot;_-;_-@_-">
                  <c:v>32837</c:v>
                </c:pt>
                <c:pt idx="20" formatCode="_-* #,##0_-;\-* #,##0_-;_-* &quot;-&quot;_-;_-@_-">
                  <c:v>34470</c:v>
                </c:pt>
                <c:pt idx="21" formatCode="_-* #,##0_-;\-* #,##0_-;_-* &quot;-&quot;_-;_-@_-">
                  <c:v>36185</c:v>
                </c:pt>
                <c:pt idx="22" formatCode="_-* #,##0_-;\-* #,##0_-;_-* &quot;-&quot;_-;_-@_-">
                  <c:v>37985</c:v>
                </c:pt>
                <c:pt idx="23" formatCode="_-* #,##0_-;\-* #,##0_-;_-* &quot;-&quot;_-;_-@_-">
                  <c:v>39874</c:v>
                </c:pt>
                <c:pt idx="24" formatCode="_-* #,##0_-;\-* #,##0_-;_-* &quot;-&quot;_-;_-@_-">
                  <c:v>41857</c:v>
                </c:pt>
                <c:pt idx="25" formatCode="_-* #,##0_-;\-* #,##0_-;_-* &quot;-&quot;_-;_-@_-">
                  <c:v>43939</c:v>
                </c:pt>
                <c:pt idx="26" formatCode="_-* #,##0_-;\-* #,##0_-;_-* &quot;-&quot;_-;_-@_-">
                  <c:v>46125</c:v>
                </c:pt>
                <c:pt idx="27" formatCode="_-* #,##0_-;\-* #,##0_-;_-* &quot;-&quot;_-;_-@_-">
                  <c:v>48419</c:v>
                </c:pt>
                <c:pt idx="28" formatCode="_-* #,##0_-;\-* #,##0_-;_-* &quot;-&quot;_-;_-@_-">
                  <c:v>50828</c:v>
                </c:pt>
              </c:numCache>
            </c:numRef>
          </c:val>
        </c:ser>
        <c:marker val="1"/>
        <c:axId val="128928768"/>
        <c:axId val="128955904"/>
      </c:lineChart>
      <c:catAx>
        <c:axId val="128928768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875" b="0" i="0" u="none" strike="noStrike" baseline="0">
                    <a:solidFill>
                      <a:srgbClr val="000000"/>
                    </a:solidFill>
                    <a:latin typeface="돋움"/>
                    <a:ea typeface="돋움"/>
                    <a:cs typeface="돋움"/>
                  </a:defRPr>
                </a:pPr>
                <a:r>
                  <a:rPr altLang="en-US"/>
                  <a:t>연도</a:t>
                </a:r>
              </a:p>
            </c:rich>
          </c:tx>
          <c:layout>
            <c:manualLayout>
              <c:xMode val="edge"/>
              <c:yMode val="edge"/>
              <c:x val="0.50336346409613442"/>
              <c:y val="0.82129357404468961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maj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돋움"/>
                <a:ea typeface="돋움"/>
                <a:cs typeface="돋움"/>
              </a:defRPr>
            </a:pPr>
            <a:endParaRPr lang="ko-KR"/>
          </a:p>
        </c:txPr>
        <c:crossAx val="128955904"/>
        <c:crosses val="autoZero"/>
        <c:auto val="1"/>
        <c:lblAlgn val="ctr"/>
        <c:lblOffset val="100"/>
        <c:tickLblSkip val="2"/>
        <c:tickMarkSkip val="1"/>
      </c:catAx>
      <c:valAx>
        <c:axId val="128955904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맑은 고딕"/>
                    <a:ea typeface="맑은 고딕"/>
                    <a:cs typeface="맑은 고딕"/>
                  </a:defRPr>
                </a:pPr>
                <a:r>
                  <a:rPr lang="ko-KR" altLang="en-US" sz="875" b="0" i="0" strike="noStrike">
                    <a:solidFill>
                      <a:srgbClr val="000000"/>
                    </a:solidFill>
                    <a:latin typeface="돋움"/>
                    <a:ea typeface="돋움"/>
                  </a:rPr>
                  <a:t>인구</a:t>
                </a:r>
                <a:r>
                  <a:rPr lang="en-US" altLang="ko-KR" sz="875" b="0" i="0" strike="noStrike">
                    <a:solidFill>
                      <a:srgbClr val="000000"/>
                    </a:solidFill>
                    <a:latin typeface="돋움"/>
                    <a:ea typeface="돋움"/>
                  </a:rPr>
                  <a:t>(</a:t>
                </a:r>
                <a:r>
                  <a:rPr lang="ko-KR" altLang="en-US" sz="875" b="0" i="0" strike="noStrike">
                    <a:solidFill>
                      <a:srgbClr val="000000"/>
                    </a:solidFill>
                    <a:latin typeface="돋움"/>
                    <a:ea typeface="돋움"/>
                  </a:rPr>
                  <a:t>명</a:t>
                </a:r>
                <a:r>
                  <a:rPr lang="en-US" altLang="ko-KR" sz="875" b="0" i="0" strike="noStrike">
                    <a:solidFill>
                      <a:srgbClr val="000000"/>
                    </a:solidFill>
                    <a:latin typeface="돋움"/>
                    <a:ea typeface="돋움"/>
                  </a:rPr>
                  <a:t>)</a:t>
                </a:r>
              </a:p>
            </c:rich>
          </c:tx>
          <c:layout>
            <c:manualLayout>
              <c:xMode val="edge"/>
              <c:yMode val="edge"/>
              <c:x val="2.6905829596412592E-2"/>
              <c:y val="0.38403081744059558"/>
            </c:manualLayout>
          </c:layout>
          <c:spPr>
            <a:noFill/>
            <a:ln w="25400">
              <a:noFill/>
            </a:ln>
          </c:spPr>
        </c:title>
        <c:numFmt formatCode="#,##0_ " sourceLinked="0"/>
        <c:maj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돋움"/>
                <a:ea typeface="돋움"/>
                <a:cs typeface="돋움"/>
              </a:defRPr>
            </a:pPr>
            <a:endParaRPr lang="ko-KR"/>
          </a:p>
        </c:txPr>
        <c:crossAx val="128928768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wMode val="edge"/>
          <c:hMode val="edge"/>
          <c:x val="0.13004496074761954"/>
          <c:y val="0.90114148278993644"/>
          <c:w val="0.91816202346903941"/>
          <c:h val="0.96197798469107765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돋움"/>
              <a:ea typeface="돋움"/>
              <a:cs typeface="돋움"/>
            </a:defRPr>
          </a:pPr>
          <a:endParaRPr lang="ko-KR"/>
        </a:p>
      </c:txPr>
    </c:legend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75" b="0" i="0" u="none" strike="noStrike" baseline="0">
          <a:solidFill>
            <a:srgbClr val="000000"/>
          </a:solidFill>
          <a:latin typeface="돋움"/>
          <a:ea typeface="돋움"/>
          <a:cs typeface="돋움"/>
        </a:defRPr>
      </a:pPr>
      <a:endParaRPr lang="ko-KR"/>
    </a:p>
  </c:txPr>
  <c:printSettings>
    <c:headerFooter alignWithMargins="0"/>
    <c:pageMargins b="1" l="0.75000000000000144" r="0.75000000000000144" t="1" header="0.5" footer="0.5"/>
    <c:pageSetup paperSize="9" orientation="landscape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ko-KR"/>
  <c:chart>
    <c:title>
      <c:tx>
        <c:rich>
          <a:bodyPr/>
          <a:lstStyle/>
          <a:p>
            <a:pPr>
              <a:defRPr sz="1175" b="1" i="0" u="none" strike="noStrike" baseline="0">
                <a:solidFill>
                  <a:srgbClr val="000000"/>
                </a:solidFill>
                <a:latin typeface="돋움"/>
                <a:ea typeface="돋움"/>
                <a:cs typeface="돋움"/>
              </a:defRPr>
            </a:pPr>
            <a:r>
              <a:rPr altLang="en-US"/>
              <a:t>북삼동</a:t>
            </a:r>
          </a:p>
        </c:rich>
      </c:tx>
      <c:layout>
        <c:manualLayout>
          <c:xMode val="edge"/>
          <c:yMode val="edge"/>
          <c:x val="0.46861010086743682"/>
          <c:y val="2.8517110266159756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0426014675815599"/>
          <c:y val="9.1254837562787627E-2"/>
          <c:w val="0.830717943524659"/>
          <c:h val="0.67680671192400665"/>
        </c:manualLayout>
      </c:layout>
      <c:lineChart>
        <c:grouping val="standard"/>
        <c:ser>
          <c:idx val="0"/>
          <c:order val="0"/>
          <c:tx>
            <c:v>등차</c:v>
          </c:tx>
          <c:spPr>
            <a:ln w="3175">
              <a:solidFill>
                <a:srgbClr val="000080"/>
              </a:solidFill>
              <a:prstDash val="solid"/>
            </a:ln>
          </c:spPr>
          <c:marker>
            <c:symbol val="diamond"/>
            <c:size val="3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북삼동5!$L$156:$AI$156</c:f>
              <c:numCache>
                <c:formatCode>General</c:formatCode>
                <c:ptCount val="24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  <c:pt idx="14">
                  <c:v>2016</c:v>
                </c:pt>
                <c:pt idx="15">
                  <c:v>2017</c:v>
                </c:pt>
                <c:pt idx="16">
                  <c:v>2018</c:v>
                </c:pt>
                <c:pt idx="17">
                  <c:v>2019</c:v>
                </c:pt>
                <c:pt idx="18">
                  <c:v>2020</c:v>
                </c:pt>
                <c:pt idx="19">
                  <c:v>2021</c:v>
                </c:pt>
                <c:pt idx="20">
                  <c:v>2022</c:v>
                </c:pt>
                <c:pt idx="21">
                  <c:v>2023</c:v>
                </c:pt>
                <c:pt idx="22">
                  <c:v>2024</c:v>
                </c:pt>
                <c:pt idx="23">
                  <c:v>2025</c:v>
                </c:pt>
              </c:numCache>
            </c:numRef>
          </c:cat>
          <c:val>
            <c:numRef>
              <c:f>북삼동5!$L$157:$AN$157</c:f>
              <c:numCache>
                <c:formatCode>General</c:formatCode>
                <c:ptCount val="29"/>
                <c:pt idx="5">
                  <c:v>21215</c:v>
                </c:pt>
                <c:pt idx="6" formatCode="_-* #,##0_-;\-* #,##0_-;_-* &quot;-&quot;_-;_-@_-">
                  <c:v>21265</c:v>
                </c:pt>
                <c:pt idx="7" formatCode="_-* #,##0_-;\-* #,##0_-;_-* &quot;-&quot;_-;_-@_-">
                  <c:v>21316</c:v>
                </c:pt>
                <c:pt idx="8" formatCode="_-* #,##0_-;\-* #,##0_-;_-* &quot;-&quot;_-;_-@_-">
                  <c:v>21366</c:v>
                </c:pt>
                <c:pt idx="9" formatCode="_-* #,##0_-;\-* #,##0_-;_-* &quot;-&quot;_-;_-@_-">
                  <c:v>21417</c:v>
                </c:pt>
                <c:pt idx="10" formatCode="_-* #,##0_-;\-* #,##0_-;_-* &quot;-&quot;_-;_-@_-">
                  <c:v>21467</c:v>
                </c:pt>
                <c:pt idx="11" formatCode="_-* #,##0_-;\-* #,##0_-;_-* &quot;-&quot;_-;_-@_-">
                  <c:v>21517</c:v>
                </c:pt>
                <c:pt idx="12" formatCode="_-* #,##0_-;\-* #,##0_-;_-* &quot;-&quot;_-;_-@_-">
                  <c:v>21568</c:v>
                </c:pt>
                <c:pt idx="13" formatCode="_-* #,##0_-;\-* #,##0_-;_-* &quot;-&quot;_-;_-@_-">
                  <c:v>21618</c:v>
                </c:pt>
                <c:pt idx="14" formatCode="_-* #,##0_-;\-* #,##0_-;_-* &quot;-&quot;_-;_-@_-">
                  <c:v>21669</c:v>
                </c:pt>
                <c:pt idx="15" formatCode="_-* #,##0_-;\-* #,##0_-;_-* &quot;-&quot;_-;_-@_-">
                  <c:v>21719</c:v>
                </c:pt>
                <c:pt idx="16" formatCode="_-* #,##0_-;\-* #,##0_-;_-* &quot;-&quot;_-;_-@_-">
                  <c:v>21769</c:v>
                </c:pt>
                <c:pt idx="17" formatCode="_-* #,##0_-;\-* #,##0_-;_-* &quot;-&quot;_-;_-@_-">
                  <c:v>21820</c:v>
                </c:pt>
                <c:pt idx="18" formatCode="_-* #,##0_-;\-* #,##0_-;_-* &quot;-&quot;_-;_-@_-">
                  <c:v>21870</c:v>
                </c:pt>
                <c:pt idx="19" formatCode="_-* #,##0_-;\-* #,##0_-;_-* &quot;-&quot;_-;_-@_-">
                  <c:v>21921</c:v>
                </c:pt>
                <c:pt idx="20" formatCode="_-* #,##0_-;\-* #,##0_-;_-* &quot;-&quot;_-;_-@_-">
                  <c:v>21971</c:v>
                </c:pt>
                <c:pt idx="21" formatCode="_-* #,##0_-;\-* #,##0_-;_-* &quot;-&quot;_-;_-@_-">
                  <c:v>22021</c:v>
                </c:pt>
                <c:pt idx="22" formatCode="_-* #,##0_-;\-* #,##0_-;_-* &quot;-&quot;_-;_-@_-">
                  <c:v>22072</c:v>
                </c:pt>
                <c:pt idx="23" formatCode="_-* #,##0_-;\-* #,##0_-;_-* &quot;-&quot;_-;_-@_-">
                  <c:v>22122</c:v>
                </c:pt>
              </c:numCache>
            </c:numRef>
          </c:val>
        </c:ser>
        <c:ser>
          <c:idx val="1"/>
          <c:order val="1"/>
          <c:tx>
            <c:v>최소</c:v>
          </c:tx>
          <c:spPr>
            <a:ln w="3175">
              <a:solidFill>
                <a:srgbClr val="FF00FF"/>
              </a:solidFill>
              <a:prstDash val="solid"/>
            </a:ln>
          </c:spPr>
          <c:marker>
            <c:symbol val="square"/>
            <c:size val="3"/>
            <c:spPr>
              <a:noFill/>
              <a:ln>
                <a:solidFill>
                  <a:srgbClr val="FF00FF"/>
                </a:solidFill>
                <a:prstDash val="solid"/>
              </a:ln>
            </c:spPr>
          </c:marker>
          <c:cat>
            <c:numRef>
              <c:f>북삼동5!$L$156:$AI$156</c:f>
              <c:numCache>
                <c:formatCode>General</c:formatCode>
                <c:ptCount val="24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  <c:pt idx="14">
                  <c:v>2016</c:v>
                </c:pt>
                <c:pt idx="15">
                  <c:v>2017</c:v>
                </c:pt>
                <c:pt idx="16">
                  <c:v>2018</c:v>
                </c:pt>
                <c:pt idx="17">
                  <c:v>2019</c:v>
                </c:pt>
                <c:pt idx="18">
                  <c:v>2020</c:v>
                </c:pt>
                <c:pt idx="19">
                  <c:v>2021</c:v>
                </c:pt>
                <c:pt idx="20">
                  <c:v>2022</c:v>
                </c:pt>
                <c:pt idx="21">
                  <c:v>2023</c:v>
                </c:pt>
                <c:pt idx="22">
                  <c:v>2024</c:v>
                </c:pt>
                <c:pt idx="23">
                  <c:v>2025</c:v>
                </c:pt>
              </c:numCache>
            </c:numRef>
          </c:cat>
          <c:val>
            <c:numRef>
              <c:f>북삼동5!$L$158:$AN$158</c:f>
              <c:numCache>
                <c:formatCode>General</c:formatCode>
                <c:ptCount val="29"/>
                <c:pt idx="5">
                  <c:v>21215</c:v>
                </c:pt>
                <c:pt idx="6" formatCode="_-* #,##0_-;\-* #,##0_-;_-* &quot;-&quot;_-;_-@_-">
                  <c:v>21127</c:v>
                </c:pt>
                <c:pt idx="7" formatCode="_-* #,##0_-;\-* #,##0_-;_-* &quot;-&quot;_-;_-@_-">
                  <c:v>21136</c:v>
                </c:pt>
                <c:pt idx="8" formatCode="_-* #,##0_-;\-* #,##0_-;_-* &quot;-&quot;_-;_-@_-">
                  <c:v>21145</c:v>
                </c:pt>
                <c:pt idx="9" formatCode="_-* #,##0_-;\-* #,##0_-;_-* &quot;-&quot;_-;_-@_-">
                  <c:v>21154</c:v>
                </c:pt>
                <c:pt idx="10" formatCode="_-* #,##0_-;\-* #,##0_-;_-* &quot;-&quot;_-;_-@_-">
                  <c:v>21163</c:v>
                </c:pt>
                <c:pt idx="11" formatCode="_-* #,##0_-;\-* #,##0_-;_-* &quot;-&quot;_-;_-@_-">
                  <c:v>21172</c:v>
                </c:pt>
                <c:pt idx="12" formatCode="_-* #,##0_-;\-* #,##0_-;_-* &quot;-&quot;_-;_-@_-">
                  <c:v>21181</c:v>
                </c:pt>
                <c:pt idx="13" formatCode="_-* #,##0_-;\-* #,##0_-;_-* &quot;-&quot;_-;_-@_-">
                  <c:v>21190</c:v>
                </c:pt>
                <c:pt idx="14" formatCode="_-* #,##0_-;\-* #,##0_-;_-* &quot;-&quot;_-;_-@_-">
                  <c:v>21199</c:v>
                </c:pt>
                <c:pt idx="15" formatCode="_-* #,##0_-;\-* #,##0_-;_-* &quot;-&quot;_-;_-@_-">
                  <c:v>21209</c:v>
                </c:pt>
                <c:pt idx="16" formatCode="_-* #,##0_-;\-* #,##0_-;_-* &quot;-&quot;_-;_-@_-">
                  <c:v>21218</c:v>
                </c:pt>
                <c:pt idx="17" formatCode="_-* #,##0_-;\-* #,##0_-;_-* &quot;-&quot;_-;_-@_-">
                  <c:v>21227</c:v>
                </c:pt>
                <c:pt idx="18" formatCode="_-* #,##0_-;\-* #,##0_-;_-* &quot;-&quot;_-;_-@_-">
                  <c:v>21236</c:v>
                </c:pt>
                <c:pt idx="19" formatCode="_-* #,##0_-;\-* #,##0_-;_-* &quot;-&quot;_-;_-@_-">
                  <c:v>21245</c:v>
                </c:pt>
                <c:pt idx="20" formatCode="_-* #,##0_-;\-* #,##0_-;_-* &quot;-&quot;_-;_-@_-">
                  <c:v>21254</c:v>
                </c:pt>
                <c:pt idx="21" formatCode="_-* #,##0_-;\-* #,##0_-;_-* &quot;-&quot;_-;_-@_-">
                  <c:v>21263</c:v>
                </c:pt>
                <c:pt idx="22" formatCode="_-* #,##0_-;\-* #,##0_-;_-* &quot;-&quot;_-;_-@_-">
                  <c:v>21272</c:v>
                </c:pt>
                <c:pt idx="23" formatCode="_-* #,##0_-;\-* #,##0_-;_-* &quot;-&quot;_-;_-@_-">
                  <c:v>21281</c:v>
                </c:pt>
              </c:numCache>
            </c:numRef>
          </c:val>
        </c:ser>
        <c:ser>
          <c:idx val="4"/>
          <c:order val="2"/>
          <c:tx>
            <c:v>로지스틱</c:v>
          </c:tx>
          <c:spPr>
            <a:ln w="3175">
              <a:solidFill>
                <a:srgbClr val="800080"/>
              </a:solidFill>
              <a:prstDash val="solid"/>
            </a:ln>
          </c:spPr>
          <c:marker>
            <c:symbol val="circle"/>
            <c:size val="3"/>
            <c:spPr>
              <a:noFill/>
              <a:ln>
                <a:solidFill>
                  <a:srgbClr val="800080"/>
                </a:solidFill>
                <a:prstDash val="solid"/>
              </a:ln>
            </c:spPr>
          </c:marker>
          <c:cat>
            <c:numRef>
              <c:f>북삼동5!$L$156:$AI$156</c:f>
              <c:numCache>
                <c:formatCode>General</c:formatCode>
                <c:ptCount val="24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  <c:pt idx="14">
                  <c:v>2016</c:v>
                </c:pt>
                <c:pt idx="15">
                  <c:v>2017</c:v>
                </c:pt>
                <c:pt idx="16">
                  <c:v>2018</c:v>
                </c:pt>
                <c:pt idx="17">
                  <c:v>2019</c:v>
                </c:pt>
                <c:pt idx="18">
                  <c:v>2020</c:v>
                </c:pt>
                <c:pt idx="19">
                  <c:v>2021</c:v>
                </c:pt>
                <c:pt idx="20">
                  <c:v>2022</c:v>
                </c:pt>
                <c:pt idx="21">
                  <c:v>2023</c:v>
                </c:pt>
                <c:pt idx="22">
                  <c:v>2024</c:v>
                </c:pt>
                <c:pt idx="23">
                  <c:v>2025</c:v>
                </c:pt>
              </c:numCache>
            </c:numRef>
          </c:cat>
          <c:val>
            <c:numRef>
              <c:f>북삼동5!$L$161:$AN$161</c:f>
              <c:numCache>
                <c:formatCode>General</c:formatCode>
                <c:ptCount val="29"/>
                <c:pt idx="5">
                  <c:v>21215</c:v>
                </c:pt>
                <c:pt idx="6" formatCode="_-* #,##0_-;\-* #,##0_-;_-* &quot;-&quot;_-;_-@_-">
                  <c:v>21127</c:v>
                </c:pt>
                <c:pt idx="7" formatCode="_-* #,##0_-;\-* #,##0_-;_-* &quot;-&quot;_-;_-@_-">
                  <c:v>21136</c:v>
                </c:pt>
                <c:pt idx="8" formatCode="_-* #,##0_-;\-* #,##0_-;_-* &quot;-&quot;_-;_-@_-">
                  <c:v>21145</c:v>
                </c:pt>
                <c:pt idx="9" formatCode="_-* #,##0_-;\-* #,##0_-;_-* &quot;-&quot;_-;_-@_-">
                  <c:v>21154</c:v>
                </c:pt>
                <c:pt idx="10" formatCode="_-* #,##0_-;\-* #,##0_-;_-* &quot;-&quot;_-;_-@_-">
                  <c:v>21163</c:v>
                </c:pt>
                <c:pt idx="11" formatCode="_-* #,##0_-;\-* #,##0_-;_-* &quot;-&quot;_-;_-@_-">
                  <c:v>21172</c:v>
                </c:pt>
                <c:pt idx="12" formatCode="_-* #,##0_-;\-* #,##0_-;_-* &quot;-&quot;_-;_-@_-">
                  <c:v>21181</c:v>
                </c:pt>
                <c:pt idx="13" formatCode="_-* #,##0_-;\-* #,##0_-;_-* &quot;-&quot;_-;_-@_-">
                  <c:v>21190</c:v>
                </c:pt>
                <c:pt idx="14" formatCode="_-* #,##0_-;\-* #,##0_-;_-* &quot;-&quot;_-;_-@_-">
                  <c:v>21199</c:v>
                </c:pt>
                <c:pt idx="15" formatCode="_-* #,##0_-;\-* #,##0_-;_-* &quot;-&quot;_-;_-@_-">
                  <c:v>21209</c:v>
                </c:pt>
                <c:pt idx="16" formatCode="_-* #,##0_-;\-* #,##0_-;_-* &quot;-&quot;_-;_-@_-">
                  <c:v>21218</c:v>
                </c:pt>
                <c:pt idx="17" formatCode="_-* #,##0_-;\-* #,##0_-;_-* &quot;-&quot;_-;_-@_-">
                  <c:v>21227</c:v>
                </c:pt>
                <c:pt idx="18" formatCode="_-* #,##0_-;\-* #,##0_-;_-* &quot;-&quot;_-;_-@_-">
                  <c:v>21236</c:v>
                </c:pt>
                <c:pt idx="19" formatCode="_-* #,##0_-;\-* #,##0_-;_-* &quot;-&quot;_-;_-@_-">
                  <c:v>21245</c:v>
                </c:pt>
                <c:pt idx="20" formatCode="_-* #,##0_-;\-* #,##0_-;_-* &quot;-&quot;_-;_-@_-">
                  <c:v>21254</c:v>
                </c:pt>
                <c:pt idx="21" formatCode="_-* #,##0_-;\-* #,##0_-;_-* &quot;-&quot;_-;_-@_-">
                  <c:v>21263</c:v>
                </c:pt>
                <c:pt idx="22" formatCode="_-* #,##0_-;\-* #,##0_-;_-* &quot;-&quot;_-;_-@_-">
                  <c:v>21272</c:v>
                </c:pt>
                <c:pt idx="23" formatCode="_-* #,##0_-;\-* #,##0_-;_-* &quot;-&quot;_-;_-@_-">
                  <c:v>21281</c:v>
                </c:pt>
              </c:numCache>
            </c:numRef>
          </c:val>
        </c:ser>
        <c:ser>
          <c:idx val="5"/>
          <c:order val="3"/>
          <c:tx>
            <c:v>평균(최대최소제외)</c:v>
          </c:tx>
          <c:spPr>
            <a:ln w="3175">
              <a:solidFill>
                <a:srgbClr val="800000"/>
              </a:solidFill>
              <a:prstDash val="sysDash"/>
            </a:ln>
          </c:spPr>
          <c:marker>
            <c:symbol val="circle"/>
            <c:size val="3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북삼동5!$L$156:$AI$156</c:f>
              <c:numCache>
                <c:formatCode>General</c:formatCode>
                <c:ptCount val="24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  <c:pt idx="14">
                  <c:v>2016</c:v>
                </c:pt>
                <c:pt idx="15">
                  <c:v>2017</c:v>
                </c:pt>
                <c:pt idx="16">
                  <c:v>2018</c:v>
                </c:pt>
                <c:pt idx="17">
                  <c:v>2019</c:v>
                </c:pt>
                <c:pt idx="18">
                  <c:v>2020</c:v>
                </c:pt>
                <c:pt idx="19">
                  <c:v>2021</c:v>
                </c:pt>
                <c:pt idx="20">
                  <c:v>2022</c:v>
                </c:pt>
                <c:pt idx="21">
                  <c:v>2023</c:v>
                </c:pt>
                <c:pt idx="22">
                  <c:v>2024</c:v>
                </c:pt>
                <c:pt idx="23">
                  <c:v>2025</c:v>
                </c:pt>
              </c:numCache>
            </c:numRef>
          </c:cat>
          <c:val>
            <c:numRef>
              <c:f>북삼동5!$L$162:$AI$162</c:f>
              <c:numCache>
                <c:formatCode>General</c:formatCode>
                <c:ptCount val="24"/>
                <c:pt idx="5">
                  <c:v>21215</c:v>
                </c:pt>
                <c:pt idx="6" formatCode="#,##0_ ">
                  <c:v>21196</c:v>
                </c:pt>
                <c:pt idx="7" formatCode="#,##0_ ">
                  <c:v>21226</c:v>
                </c:pt>
                <c:pt idx="8" formatCode="#,##0_ ">
                  <c:v>21255.5</c:v>
                </c:pt>
                <c:pt idx="9" formatCode="#,##0_ ">
                  <c:v>21285.5</c:v>
                </c:pt>
                <c:pt idx="10" formatCode="#,##0_ ">
                  <c:v>21315</c:v>
                </c:pt>
                <c:pt idx="11" formatCode="_-* #,##0_-;\-* #,##0_-;_-* &quot;-&quot;_-;_-@_-">
                  <c:v>21344.5</c:v>
                </c:pt>
                <c:pt idx="12" formatCode="#,##0_ ">
                  <c:v>21374.5</c:v>
                </c:pt>
                <c:pt idx="13" formatCode="#,##0_ ">
                  <c:v>21404</c:v>
                </c:pt>
                <c:pt idx="14" formatCode="#,##0_ ">
                  <c:v>21434</c:v>
                </c:pt>
                <c:pt idx="15" formatCode="#,##0_ ">
                  <c:v>21464</c:v>
                </c:pt>
                <c:pt idx="16" formatCode="#,##0_ ">
                  <c:v>21493.5</c:v>
                </c:pt>
                <c:pt idx="17" formatCode="#,##0_ ">
                  <c:v>21523.5</c:v>
                </c:pt>
                <c:pt idx="18" formatCode="#,##0_ ">
                  <c:v>21553</c:v>
                </c:pt>
                <c:pt idx="19" formatCode="#,##0_ ">
                  <c:v>21583</c:v>
                </c:pt>
                <c:pt idx="20" formatCode="#,##0_ ">
                  <c:v>21612.5</c:v>
                </c:pt>
                <c:pt idx="21" formatCode="#,##0_ ">
                  <c:v>21642</c:v>
                </c:pt>
                <c:pt idx="22" formatCode="#,##0_ ">
                  <c:v>21672</c:v>
                </c:pt>
                <c:pt idx="23" formatCode="#,##0_ ">
                  <c:v>21701.5</c:v>
                </c:pt>
              </c:numCache>
            </c:numRef>
          </c:val>
        </c:ser>
        <c:ser>
          <c:idx val="6"/>
          <c:order val="4"/>
          <c:tx>
            <c:v>과거</c:v>
          </c:tx>
          <c:spPr>
            <a:ln w="12700">
              <a:solidFill>
                <a:srgbClr val="008080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008080"/>
                </a:solidFill>
                <a:prstDash val="solid"/>
              </a:ln>
            </c:spPr>
          </c:marker>
          <c:cat>
            <c:numRef>
              <c:f>북삼동5!$L$156:$AI$156</c:f>
              <c:numCache>
                <c:formatCode>General</c:formatCode>
                <c:ptCount val="24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  <c:pt idx="14">
                  <c:v>2016</c:v>
                </c:pt>
                <c:pt idx="15">
                  <c:v>2017</c:v>
                </c:pt>
                <c:pt idx="16">
                  <c:v>2018</c:v>
                </c:pt>
                <c:pt idx="17">
                  <c:v>2019</c:v>
                </c:pt>
                <c:pt idx="18">
                  <c:v>2020</c:v>
                </c:pt>
                <c:pt idx="19">
                  <c:v>2021</c:v>
                </c:pt>
                <c:pt idx="20">
                  <c:v>2022</c:v>
                </c:pt>
                <c:pt idx="21">
                  <c:v>2023</c:v>
                </c:pt>
                <c:pt idx="22">
                  <c:v>2024</c:v>
                </c:pt>
                <c:pt idx="23">
                  <c:v>2025</c:v>
                </c:pt>
              </c:numCache>
            </c:numRef>
          </c:cat>
          <c:val>
            <c:numRef>
              <c:f>북삼동5!$L$154:$X$154</c:f>
              <c:numCache>
                <c:formatCode>_-* #,##0_-;\-* #,##0_-;_-* "-"_-;_-@_-</c:formatCode>
                <c:ptCount val="13"/>
                <c:pt idx="0">
                  <c:v>20963</c:v>
                </c:pt>
                <c:pt idx="1">
                  <c:v>21131</c:v>
                </c:pt>
                <c:pt idx="2">
                  <c:v>21241</c:v>
                </c:pt>
                <c:pt idx="3" formatCode="General">
                  <c:v>21184</c:v>
                </c:pt>
                <c:pt idx="4">
                  <c:v>20836</c:v>
                </c:pt>
                <c:pt idx="5" formatCode="General">
                  <c:v>21215</c:v>
                </c:pt>
                <c:pt idx="6">
                  <c:v>21127</c:v>
                </c:pt>
              </c:numCache>
            </c:numRef>
          </c:val>
        </c:ser>
        <c:ser>
          <c:idx val="2"/>
          <c:order val="5"/>
          <c:tx>
            <c:v>등비</c:v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북삼동5!$L$156:$AI$156</c:f>
              <c:numCache>
                <c:formatCode>General</c:formatCode>
                <c:ptCount val="24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  <c:pt idx="14">
                  <c:v>2016</c:v>
                </c:pt>
                <c:pt idx="15">
                  <c:v>2017</c:v>
                </c:pt>
                <c:pt idx="16">
                  <c:v>2018</c:v>
                </c:pt>
                <c:pt idx="17">
                  <c:v>2019</c:v>
                </c:pt>
                <c:pt idx="18">
                  <c:v>2020</c:v>
                </c:pt>
                <c:pt idx="19">
                  <c:v>2021</c:v>
                </c:pt>
                <c:pt idx="20">
                  <c:v>2022</c:v>
                </c:pt>
                <c:pt idx="21">
                  <c:v>2023</c:v>
                </c:pt>
                <c:pt idx="22">
                  <c:v>2024</c:v>
                </c:pt>
                <c:pt idx="23">
                  <c:v>2025</c:v>
                </c:pt>
              </c:numCache>
            </c:numRef>
          </c:cat>
          <c:val>
            <c:numRef>
              <c:f>북삼동5!$L$159:$AN$159</c:f>
              <c:numCache>
                <c:formatCode>General</c:formatCode>
                <c:ptCount val="29"/>
                <c:pt idx="5">
                  <c:v>21215</c:v>
                </c:pt>
                <c:pt idx="6" formatCode="_-* #,##0_-;\-* #,##0_-;_-* &quot;-&quot;_-;_-@_-">
                  <c:v>21265</c:v>
                </c:pt>
                <c:pt idx="7" formatCode="_-* #,##0_-;\-* #,##0_-;_-* &quot;-&quot;_-;_-@_-">
                  <c:v>21316</c:v>
                </c:pt>
                <c:pt idx="8" formatCode="_-* #,##0_-;\-* #,##0_-;_-* &quot;-&quot;_-;_-@_-">
                  <c:v>21367</c:v>
                </c:pt>
                <c:pt idx="9" formatCode="_-* #,##0_-;\-* #,##0_-;_-* &quot;-&quot;_-;_-@_-">
                  <c:v>21418</c:v>
                </c:pt>
                <c:pt idx="10" formatCode="_-* #,##0_-;\-* #,##0_-;_-* &quot;-&quot;_-;_-@_-">
                  <c:v>21469</c:v>
                </c:pt>
                <c:pt idx="11" formatCode="_-* #,##0_-;\-* #,##0_-;_-* &quot;-&quot;_-;_-@_-">
                  <c:v>21521</c:v>
                </c:pt>
                <c:pt idx="12" formatCode="_-* #,##0_-;\-* #,##0_-;_-* &quot;-&quot;_-;_-@_-">
                  <c:v>21572</c:v>
                </c:pt>
                <c:pt idx="13" formatCode="_-* #,##0_-;\-* #,##0_-;_-* &quot;-&quot;_-;_-@_-">
                  <c:v>21624</c:v>
                </c:pt>
                <c:pt idx="14" formatCode="_-* #,##0_-;\-* #,##0_-;_-* &quot;-&quot;_-;_-@_-">
                  <c:v>21675</c:v>
                </c:pt>
                <c:pt idx="15" formatCode="_-* #,##0_-;\-* #,##0_-;_-* &quot;-&quot;_-;_-@_-">
                  <c:v>21727</c:v>
                </c:pt>
                <c:pt idx="16" formatCode="_-* #,##0_-;\-* #,##0_-;_-* &quot;-&quot;_-;_-@_-">
                  <c:v>21779</c:v>
                </c:pt>
                <c:pt idx="17" formatCode="_-* #,##0_-;\-* #,##0_-;_-* &quot;-&quot;_-;_-@_-">
                  <c:v>21831</c:v>
                </c:pt>
                <c:pt idx="18" formatCode="_-* #,##0_-;\-* #,##0_-;_-* &quot;-&quot;_-;_-@_-">
                  <c:v>21883</c:v>
                </c:pt>
                <c:pt idx="19" formatCode="_-* #,##0_-;\-* #,##0_-;_-* &quot;-&quot;_-;_-@_-">
                  <c:v>21936</c:v>
                </c:pt>
                <c:pt idx="20" formatCode="_-* #,##0_-;\-* #,##0_-;_-* &quot;-&quot;_-;_-@_-">
                  <c:v>21988</c:v>
                </c:pt>
                <c:pt idx="21" formatCode="_-* #,##0_-;\-* #,##0_-;_-* &quot;-&quot;_-;_-@_-">
                  <c:v>22041</c:v>
                </c:pt>
                <c:pt idx="22" formatCode="_-* #,##0_-;\-* #,##0_-;_-* &quot;-&quot;_-;_-@_-">
                  <c:v>22093</c:v>
                </c:pt>
                <c:pt idx="23" formatCode="_-* #,##0_-;\-* #,##0_-;_-* &quot;-&quot;_-;_-@_-">
                  <c:v>22146</c:v>
                </c:pt>
              </c:numCache>
            </c:numRef>
          </c:val>
        </c:ser>
        <c:marker val="1"/>
        <c:axId val="129074304"/>
        <c:axId val="129076608"/>
      </c:lineChart>
      <c:catAx>
        <c:axId val="129074304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875" b="0" i="0" u="none" strike="noStrike" baseline="0">
                    <a:solidFill>
                      <a:srgbClr val="000000"/>
                    </a:solidFill>
                    <a:latin typeface="돋움"/>
                    <a:ea typeface="돋움"/>
                    <a:cs typeface="돋움"/>
                  </a:defRPr>
                </a:pPr>
                <a:r>
                  <a:rPr altLang="en-US"/>
                  <a:t>연도</a:t>
                </a:r>
              </a:p>
            </c:rich>
          </c:tx>
          <c:layout>
            <c:manualLayout>
              <c:xMode val="edge"/>
              <c:yMode val="edge"/>
              <c:x val="0.50336346409613442"/>
              <c:y val="0.81939243336028011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maj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돋움"/>
                <a:ea typeface="돋움"/>
                <a:cs typeface="돋움"/>
              </a:defRPr>
            </a:pPr>
            <a:endParaRPr lang="ko-KR"/>
          </a:p>
        </c:txPr>
        <c:crossAx val="129076608"/>
        <c:crosses val="autoZero"/>
        <c:auto val="1"/>
        <c:lblAlgn val="ctr"/>
        <c:lblOffset val="100"/>
        <c:tickLblSkip val="2"/>
        <c:tickMarkSkip val="1"/>
      </c:catAx>
      <c:valAx>
        <c:axId val="129076608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맑은 고딕"/>
                    <a:ea typeface="맑은 고딕"/>
                    <a:cs typeface="맑은 고딕"/>
                  </a:defRPr>
                </a:pPr>
                <a:r>
                  <a:rPr lang="ko-KR" altLang="en-US" sz="875" b="0" i="0" strike="noStrike">
                    <a:solidFill>
                      <a:srgbClr val="000000"/>
                    </a:solidFill>
                    <a:latin typeface="돋움"/>
                    <a:ea typeface="돋움"/>
                  </a:rPr>
                  <a:t>인구</a:t>
                </a:r>
                <a:r>
                  <a:rPr lang="en-US" altLang="ko-KR" sz="875" b="0" i="0" strike="noStrike">
                    <a:solidFill>
                      <a:srgbClr val="000000"/>
                    </a:solidFill>
                    <a:latin typeface="돋움"/>
                    <a:ea typeface="돋움"/>
                  </a:rPr>
                  <a:t>(</a:t>
                </a:r>
                <a:r>
                  <a:rPr lang="ko-KR" altLang="en-US" sz="875" b="0" i="0" strike="noStrike">
                    <a:solidFill>
                      <a:srgbClr val="000000"/>
                    </a:solidFill>
                    <a:latin typeface="돋움"/>
                    <a:ea typeface="돋움"/>
                  </a:rPr>
                  <a:t>명</a:t>
                </a:r>
                <a:r>
                  <a:rPr lang="en-US" altLang="ko-KR" sz="875" b="0" i="0" strike="noStrike">
                    <a:solidFill>
                      <a:srgbClr val="000000"/>
                    </a:solidFill>
                    <a:latin typeface="돋움"/>
                    <a:ea typeface="돋움"/>
                  </a:rPr>
                  <a:t>)</a:t>
                </a:r>
              </a:p>
            </c:rich>
          </c:tx>
          <c:layout>
            <c:manualLayout>
              <c:xMode val="edge"/>
              <c:yMode val="edge"/>
              <c:x val="2.6905829596412592E-2"/>
              <c:y val="0.38212967675618492"/>
            </c:manualLayout>
          </c:layout>
          <c:spPr>
            <a:noFill/>
            <a:ln w="25400">
              <a:noFill/>
            </a:ln>
          </c:spPr>
        </c:title>
        <c:numFmt formatCode="#,##0_ " sourceLinked="0"/>
        <c:maj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돋움"/>
                <a:ea typeface="돋움"/>
                <a:cs typeface="돋움"/>
              </a:defRPr>
            </a:pPr>
            <a:endParaRPr lang="ko-KR"/>
          </a:p>
        </c:txPr>
        <c:crossAx val="129074304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wMode val="edge"/>
          <c:hMode val="edge"/>
          <c:x val="0.1311660369808034"/>
          <c:y val="0.90114148278993644"/>
          <c:w val="0.91928309970222066"/>
          <c:h val="0.96197798469107765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돋움"/>
              <a:ea typeface="돋움"/>
              <a:cs typeface="돋움"/>
            </a:defRPr>
          </a:pPr>
          <a:endParaRPr lang="ko-KR"/>
        </a:p>
      </c:txPr>
    </c:legend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75" b="0" i="0" u="none" strike="noStrike" baseline="0">
          <a:solidFill>
            <a:srgbClr val="000000"/>
          </a:solidFill>
          <a:latin typeface="돋움"/>
          <a:ea typeface="돋움"/>
          <a:cs typeface="돋움"/>
        </a:defRPr>
      </a:pPr>
      <a:endParaRPr lang="ko-KR"/>
    </a:p>
  </c:txPr>
  <c:printSettings>
    <c:headerFooter alignWithMargins="0"/>
    <c:pageMargins b="1" l="0.75000000000000144" r="0.75000000000000144" t="1" header="0.5" footer="0.5"/>
    <c:pageSetup paperSize="9" orientation="landscape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5.xml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6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7.xml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8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9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0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10</xdr:col>
      <xdr:colOff>361950</xdr:colOff>
      <xdr:row>36</xdr:row>
      <xdr:rowOff>400050</xdr:rowOff>
    </xdr:from>
    <xdr:to>
      <xdr:col>21</xdr:col>
      <xdr:colOff>381000</xdr:colOff>
      <xdr:row>53</xdr:row>
      <xdr:rowOff>238125</xdr:rowOff>
    </xdr:to>
    <xdr:graphicFrame macro="">
      <xdr:nvGraphicFramePr>
        <xdr:cNvPr id="70769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 fPrintsWithSheet="0"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295275</xdr:colOff>
      <xdr:row>226</xdr:row>
      <xdr:rowOff>95250</xdr:rowOff>
    </xdr:from>
    <xdr:to>
      <xdr:col>9</xdr:col>
      <xdr:colOff>476250</xdr:colOff>
      <xdr:row>246</xdr:row>
      <xdr:rowOff>152400</xdr:rowOff>
    </xdr:to>
    <xdr:graphicFrame macro="">
      <xdr:nvGraphicFramePr>
        <xdr:cNvPr id="2673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295275</xdr:colOff>
      <xdr:row>182</xdr:row>
      <xdr:rowOff>95250</xdr:rowOff>
    </xdr:from>
    <xdr:to>
      <xdr:col>9</xdr:col>
      <xdr:colOff>476250</xdr:colOff>
      <xdr:row>202</xdr:row>
      <xdr:rowOff>152400</xdr:rowOff>
    </xdr:to>
    <xdr:graphicFrame macro="">
      <xdr:nvGraphicFramePr>
        <xdr:cNvPr id="8510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295275</xdr:colOff>
      <xdr:row>157</xdr:row>
      <xdr:rowOff>95250</xdr:rowOff>
    </xdr:from>
    <xdr:to>
      <xdr:col>9</xdr:col>
      <xdr:colOff>476250</xdr:colOff>
      <xdr:row>177</xdr:row>
      <xdr:rowOff>152400</xdr:rowOff>
    </xdr:to>
    <xdr:graphicFrame macro="">
      <xdr:nvGraphicFramePr>
        <xdr:cNvPr id="10558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295275</xdr:colOff>
      <xdr:row>226</xdr:row>
      <xdr:rowOff>95250</xdr:rowOff>
    </xdr:from>
    <xdr:to>
      <xdr:col>9</xdr:col>
      <xdr:colOff>476250</xdr:colOff>
      <xdr:row>246</xdr:row>
      <xdr:rowOff>152400</xdr:rowOff>
    </xdr:to>
    <xdr:graphicFrame macro="">
      <xdr:nvGraphicFramePr>
        <xdr:cNvPr id="5131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295275</xdr:colOff>
      <xdr:row>182</xdr:row>
      <xdr:rowOff>95250</xdr:rowOff>
    </xdr:from>
    <xdr:to>
      <xdr:col>9</xdr:col>
      <xdr:colOff>476250</xdr:colOff>
      <xdr:row>202</xdr:row>
      <xdr:rowOff>152400</xdr:rowOff>
    </xdr:to>
    <xdr:graphicFrame macro="">
      <xdr:nvGraphicFramePr>
        <xdr:cNvPr id="8715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295275</xdr:colOff>
      <xdr:row>157</xdr:row>
      <xdr:rowOff>95250</xdr:rowOff>
    </xdr:from>
    <xdr:to>
      <xdr:col>9</xdr:col>
      <xdr:colOff>476250</xdr:colOff>
      <xdr:row>177</xdr:row>
      <xdr:rowOff>152400</xdr:rowOff>
    </xdr:to>
    <xdr:graphicFrame macro="">
      <xdr:nvGraphicFramePr>
        <xdr:cNvPr id="10763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295275</xdr:colOff>
      <xdr:row>226</xdr:row>
      <xdr:rowOff>95250</xdr:rowOff>
    </xdr:from>
    <xdr:to>
      <xdr:col>9</xdr:col>
      <xdr:colOff>476250</xdr:colOff>
      <xdr:row>246</xdr:row>
      <xdr:rowOff>152400</xdr:rowOff>
    </xdr:to>
    <xdr:graphicFrame macro="">
      <xdr:nvGraphicFramePr>
        <xdr:cNvPr id="2059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295275</xdr:colOff>
      <xdr:row>182</xdr:row>
      <xdr:rowOff>95250</xdr:rowOff>
    </xdr:from>
    <xdr:to>
      <xdr:col>9</xdr:col>
      <xdr:colOff>476250</xdr:colOff>
      <xdr:row>202</xdr:row>
      <xdr:rowOff>152400</xdr:rowOff>
    </xdr:to>
    <xdr:graphicFrame macro="">
      <xdr:nvGraphicFramePr>
        <xdr:cNvPr id="8919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295275</xdr:colOff>
      <xdr:row>157</xdr:row>
      <xdr:rowOff>95250</xdr:rowOff>
    </xdr:from>
    <xdr:to>
      <xdr:col>9</xdr:col>
      <xdr:colOff>476250</xdr:colOff>
      <xdr:row>177</xdr:row>
      <xdr:rowOff>152400</xdr:rowOff>
    </xdr:to>
    <xdr:graphicFrame macro="">
      <xdr:nvGraphicFramePr>
        <xdr:cNvPr id="10967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295275</xdr:colOff>
      <xdr:row>226</xdr:row>
      <xdr:rowOff>95250</xdr:rowOff>
    </xdr:from>
    <xdr:to>
      <xdr:col>9</xdr:col>
      <xdr:colOff>476250</xdr:colOff>
      <xdr:row>246</xdr:row>
      <xdr:rowOff>152400</xdr:rowOff>
    </xdr:to>
    <xdr:graphicFrame macro="">
      <xdr:nvGraphicFramePr>
        <xdr:cNvPr id="1444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295275</xdr:colOff>
      <xdr:row>226</xdr:row>
      <xdr:rowOff>95250</xdr:rowOff>
    </xdr:from>
    <xdr:to>
      <xdr:col>9</xdr:col>
      <xdr:colOff>476250</xdr:colOff>
      <xdr:row>246</xdr:row>
      <xdr:rowOff>152400</xdr:rowOff>
    </xdr:to>
    <xdr:graphicFrame macro="">
      <xdr:nvGraphicFramePr>
        <xdr:cNvPr id="3287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295275</xdr:colOff>
      <xdr:row>182</xdr:row>
      <xdr:rowOff>95250</xdr:rowOff>
    </xdr:from>
    <xdr:to>
      <xdr:col>9</xdr:col>
      <xdr:colOff>476250</xdr:colOff>
      <xdr:row>202</xdr:row>
      <xdr:rowOff>152400</xdr:rowOff>
    </xdr:to>
    <xdr:graphicFrame macro="">
      <xdr:nvGraphicFramePr>
        <xdr:cNvPr id="9124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295275</xdr:colOff>
      <xdr:row>157</xdr:row>
      <xdr:rowOff>95250</xdr:rowOff>
    </xdr:from>
    <xdr:to>
      <xdr:col>9</xdr:col>
      <xdr:colOff>476250</xdr:colOff>
      <xdr:row>177</xdr:row>
      <xdr:rowOff>152400</xdr:rowOff>
    </xdr:to>
    <xdr:graphicFrame macro="">
      <xdr:nvGraphicFramePr>
        <xdr:cNvPr id="11172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295275</xdr:colOff>
      <xdr:row>226</xdr:row>
      <xdr:rowOff>95250</xdr:rowOff>
    </xdr:from>
    <xdr:to>
      <xdr:col>9</xdr:col>
      <xdr:colOff>476250</xdr:colOff>
      <xdr:row>246</xdr:row>
      <xdr:rowOff>152400</xdr:rowOff>
    </xdr:to>
    <xdr:graphicFrame macro="">
      <xdr:nvGraphicFramePr>
        <xdr:cNvPr id="5745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295275</xdr:colOff>
      <xdr:row>182</xdr:row>
      <xdr:rowOff>95250</xdr:rowOff>
    </xdr:from>
    <xdr:to>
      <xdr:col>9</xdr:col>
      <xdr:colOff>476250</xdr:colOff>
      <xdr:row>202</xdr:row>
      <xdr:rowOff>152400</xdr:rowOff>
    </xdr:to>
    <xdr:graphicFrame macro="">
      <xdr:nvGraphicFramePr>
        <xdr:cNvPr id="9329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295275</xdr:colOff>
      <xdr:row>157</xdr:row>
      <xdr:rowOff>95250</xdr:rowOff>
    </xdr:from>
    <xdr:to>
      <xdr:col>9</xdr:col>
      <xdr:colOff>476250</xdr:colOff>
      <xdr:row>177</xdr:row>
      <xdr:rowOff>152400</xdr:rowOff>
    </xdr:to>
    <xdr:graphicFrame macro="">
      <xdr:nvGraphicFramePr>
        <xdr:cNvPr id="11377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295275</xdr:colOff>
      <xdr:row>226</xdr:row>
      <xdr:rowOff>95250</xdr:rowOff>
    </xdr:from>
    <xdr:to>
      <xdr:col>9</xdr:col>
      <xdr:colOff>476250</xdr:colOff>
      <xdr:row>246</xdr:row>
      <xdr:rowOff>152400</xdr:rowOff>
    </xdr:to>
    <xdr:graphicFrame macro="">
      <xdr:nvGraphicFramePr>
        <xdr:cNvPr id="830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295275</xdr:colOff>
      <xdr:row>182</xdr:row>
      <xdr:rowOff>95250</xdr:rowOff>
    </xdr:from>
    <xdr:to>
      <xdr:col>9</xdr:col>
      <xdr:colOff>476250</xdr:colOff>
      <xdr:row>202</xdr:row>
      <xdr:rowOff>152400</xdr:rowOff>
    </xdr:to>
    <xdr:graphicFrame macro="">
      <xdr:nvGraphicFramePr>
        <xdr:cNvPr id="9534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295275</xdr:colOff>
      <xdr:row>157</xdr:row>
      <xdr:rowOff>95250</xdr:rowOff>
    </xdr:from>
    <xdr:to>
      <xdr:col>9</xdr:col>
      <xdr:colOff>476250</xdr:colOff>
      <xdr:row>177</xdr:row>
      <xdr:rowOff>152400</xdr:rowOff>
    </xdr:to>
    <xdr:graphicFrame macro="">
      <xdr:nvGraphicFramePr>
        <xdr:cNvPr id="11582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295275</xdr:colOff>
      <xdr:row>226</xdr:row>
      <xdr:rowOff>95250</xdr:rowOff>
    </xdr:from>
    <xdr:to>
      <xdr:col>9</xdr:col>
      <xdr:colOff>476250</xdr:colOff>
      <xdr:row>246</xdr:row>
      <xdr:rowOff>152400</xdr:rowOff>
    </xdr:to>
    <xdr:graphicFrame macro="">
      <xdr:nvGraphicFramePr>
        <xdr:cNvPr id="6359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295275</xdr:colOff>
      <xdr:row>182</xdr:row>
      <xdr:rowOff>95250</xdr:rowOff>
    </xdr:from>
    <xdr:to>
      <xdr:col>9</xdr:col>
      <xdr:colOff>476250</xdr:colOff>
      <xdr:row>202</xdr:row>
      <xdr:rowOff>152400</xdr:rowOff>
    </xdr:to>
    <xdr:graphicFrame macro="">
      <xdr:nvGraphicFramePr>
        <xdr:cNvPr id="9739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295275</xdr:colOff>
      <xdr:row>182</xdr:row>
      <xdr:rowOff>95250</xdr:rowOff>
    </xdr:from>
    <xdr:to>
      <xdr:col>9</xdr:col>
      <xdr:colOff>476250</xdr:colOff>
      <xdr:row>202</xdr:row>
      <xdr:rowOff>152400</xdr:rowOff>
    </xdr:to>
    <xdr:graphicFrame macro="">
      <xdr:nvGraphicFramePr>
        <xdr:cNvPr id="7895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295275</xdr:colOff>
      <xdr:row>157</xdr:row>
      <xdr:rowOff>95250</xdr:rowOff>
    </xdr:from>
    <xdr:to>
      <xdr:col>9</xdr:col>
      <xdr:colOff>476250</xdr:colOff>
      <xdr:row>177</xdr:row>
      <xdr:rowOff>152400</xdr:rowOff>
    </xdr:to>
    <xdr:graphicFrame macro="">
      <xdr:nvGraphicFramePr>
        <xdr:cNvPr id="11787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295275</xdr:colOff>
      <xdr:row>226</xdr:row>
      <xdr:rowOff>95250</xdr:rowOff>
    </xdr:from>
    <xdr:to>
      <xdr:col>9</xdr:col>
      <xdr:colOff>476250</xdr:colOff>
      <xdr:row>246</xdr:row>
      <xdr:rowOff>152400</xdr:rowOff>
    </xdr:to>
    <xdr:graphicFrame macro="">
      <xdr:nvGraphicFramePr>
        <xdr:cNvPr id="3902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295275</xdr:colOff>
      <xdr:row>182</xdr:row>
      <xdr:rowOff>95250</xdr:rowOff>
    </xdr:from>
    <xdr:to>
      <xdr:col>9</xdr:col>
      <xdr:colOff>476250</xdr:colOff>
      <xdr:row>202</xdr:row>
      <xdr:rowOff>152400</xdr:rowOff>
    </xdr:to>
    <xdr:graphicFrame macro="">
      <xdr:nvGraphicFramePr>
        <xdr:cNvPr id="8101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295275</xdr:colOff>
      <xdr:row>157</xdr:row>
      <xdr:rowOff>95250</xdr:rowOff>
    </xdr:from>
    <xdr:to>
      <xdr:col>9</xdr:col>
      <xdr:colOff>476250</xdr:colOff>
      <xdr:row>177</xdr:row>
      <xdr:rowOff>152400</xdr:rowOff>
    </xdr:to>
    <xdr:graphicFrame macro="">
      <xdr:nvGraphicFramePr>
        <xdr:cNvPr id="10148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295275</xdr:colOff>
      <xdr:row>226</xdr:row>
      <xdr:rowOff>95250</xdr:rowOff>
    </xdr:from>
    <xdr:to>
      <xdr:col>9</xdr:col>
      <xdr:colOff>476250</xdr:colOff>
      <xdr:row>246</xdr:row>
      <xdr:rowOff>152400</xdr:rowOff>
    </xdr:to>
    <xdr:graphicFrame macro="">
      <xdr:nvGraphicFramePr>
        <xdr:cNvPr id="4516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295275</xdr:colOff>
      <xdr:row>182</xdr:row>
      <xdr:rowOff>95250</xdr:rowOff>
    </xdr:from>
    <xdr:to>
      <xdr:col>9</xdr:col>
      <xdr:colOff>476250</xdr:colOff>
      <xdr:row>202</xdr:row>
      <xdr:rowOff>152400</xdr:rowOff>
    </xdr:to>
    <xdr:graphicFrame macro="">
      <xdr:nvGraphicFramePr>
        <xdr:cNvPr id="8305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295275</xdr:colOff>
      <xdr:row>157</xdr:row>
      <xdr:rowOff>95250</xdr:rowOff>
    </xdr:from>
    <xdr:to>
      <xdr:col>9</xdr:col>
      <xdr:colOff>476250</xdr:colOff>
      <xdr:row>177</xdr:row>
      <xdr:rowOff>152400</xdr:rowOff>
    </xdr:to>
    <xdr:graphicFrame macro="">
      <xdr:nvGraphicFramePr>
        <xdr:cNvPr id="10353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7"/>
  <dimension ref="A1:W63"/>
  <sheetViews>
    <sheetView workbookViewId="0"/>
  </sheetViews>
  <sheetFormatPr defaultRowHeight="13.5"/>
  <cols>
    <col min="1" max="1" width="6.77734375" style="8" customWidth="1"/>
    <col min="2" max="2" width="8" style="8" customWidth="1"/>
    <col min="3" max="3" width="9" style="8" customWidth="1"/>
    <col min="4" max="23" width="6.44140625" style="8" customWidth="1"/>
    <col min="24" max="16384" width="8.88671875" style="8"/>
  </cols>
  <sheetData>
    <row r="1" spans="1:23" s="20" customFormat="1" ht="18" customHeight="1">
      <c r="A1" s="29" t="s">
        <v>223</v>
      </c>
      <c r="B1" s="19"/>
      <c r="C1" s="19"/>
    </row>
    <row r="2" spans="1:23" s="20" customFormat="1" ht="18" customHeight="1">
      <c r="A2" s="30" t="s">
        <v>224</v>
      </c>
      <c r="B2" s="21"/>
      <c r="C2" s="21"/>
    </row>
    <row r="3" spans="1:23" s="20" customFormat="1" ht="18" customHeight="1">
      <c r="A3" s="30" t="s">
        <v>225</v>
      </c>
      <c r="B3" s="21"/>
      <c r="C3" s="21"/>
    </row>
    <row r="4" spans="1:23" ht="18.95" customHeight="1">
      <c r="A4" s="569" t="s">
        <v>42</v>
      </c>
      <c r="B4" s="566" t="s">
        <v>49</v>
      </c>
      <c r="C4" s="571"/>
      <c r="D4" s="566" t="s">
        <v>62</v>
      </c>
      <c r="E4" s="571"/>
      <c r="F4" s="566" t="s">
        <v>54</v>
      </c>
      <c r="G4" s="571"/>
      <c r="H4" s="566" t="s">
        <v>55</v>
      </c>
      <c r="I4" s="571"/>
      <c r="J4" s="566" t="s">
        <v>53</v>
      </c>
      <c r="K4" s="571"/>
      <c r="L4" s="566" t="s">
        <v>56</v>
      </c>
      <c r="M4" s="571"/>
      <c r="N4" s="566" t="s">
        <v>52</v>
      </c>
      <c r="O4" s="571"/>
      <c r="P4" s="566" t="s">
        <v>51</v>
      </c>
      <c r="Q4" s="571"/>
      <c r="R4" s="566" t="s">
        <v>57</v>
      </c>
      <c r="S4" s="571"/>
      <c r="T4" s="566" t="s">
        <v>50</v>
      </c>
      <c r="U4" s="571"/>
      <c r="V4" s="566" t="s">
        <v>58</v>
      </c>
      <c r="W4" s="568"/>
    </row>
    <row r="5" spans="1:23" ht="18" customHeight="1" thickBot="1">
      <c r="A5" s="570"/>
      <c r="B5" s="46" t="s">
        <v>41</v>
      </c>
      <c r="C5" s="47" t="s">
        <v>44</v>
      </c>
      <c r="D5" s="46" t="s">
        <v>41</v>
      </c>
      <c r="E5" s="47" t="s">
        <v>44</v>
      </c>
      <c r="F5" s="46" t="s">
        <v>41</v>
      </c>
      <c r="G5" s="47" t="s">
        <v>44</v>
      </c>
      <c r="H5" s="46" t="s">
        <v>41</v>
      </c>
      <c r="I5" s="47" t="s">
        <v>44</v>
      </c>
      <c r="J5" s="46" t="s">
        <v>41</v>
      </c>
      <c r="K5" s="47" t="s">
        <v>44</v>
      </c>
      <c r="L5" s="46" t="s">
        <v>41</v>
      </c>
      <c r="M5" s="47" t="s">
        <v>44</v>
      </c>
      <c r="N5" s="46" t="s">
        <v>41</v>
      </c>
      <c r="O5" s="47" t="s">
        <v>44</v>
      </c>
      <c r="P5" s="46" t="s">
        <v>41</v>
      </c>
      <c r="Q5" s="47" t="s">
        <v>44</v>
      </c>
      <c r="R5" s="46" t="s">
        <v>41</v>
      </c>
      <c r="S5" s="47" t="s">
        <v>44</v>
      </c>
      <c r="T5" s="46" t="s">
        <v>41</v>
      </c>
      <c r="U5" s="47" t="s">
        <v>44</v>
      </c>
      <c r="V5" s="46" t="s">
        <v>41</v>
      </c>
      <c r="W5" s="48" t="s">
        <v>44</v>
      </c>
    </row>
    <row r="6" spans="1:23" ht="18.95" customHeight="1" thickTop="1">
      <c r="A6" s="42">
        <v>1988</v>
      </c>
      <c r="B6" s="43">
        <f t="shared" ref="B6:B25" si="0">SUM(T6,P6,N6,J6,D6,F6,H6,L6,R6,V6)</f>
        <v>94455</v>
      </c>
      <c r="C6" s="9"/>
      <c r="D6" s="43">
        <v>9341</v>
      </c>
      <c r="E6" s="44"/>
      <c r="F6" s="43">
        <v>9467</v>
      </c>
      <c r="G6" s="44"/>
      <c r="H6" s="43">
        <v>10091</v>
      </c>
      <c r="I6" s="44"/>
      <c r="J6" s="43">
        <v>6964</v>
      </c>
      <c r="K6" s="44"/>
      <c r="L6" s="43">
        <v>7207</v>
      </c>
      <c r="M6" s="44"/>
      <c r="N6" s="43">
        <v>12750</v>
      </c>
      <c r="O6" s="44"/>
      <c r="P6" s="43">
        <v>11745</v>
      </c>
      <c r="Q6" s="44"/>
      <c r="R6" s="43">
        <v>8945</v>
      </c>
      <c r="S6" s="44"/>
      <c r="T6" s="43">
        <v>8293</v>
      </c>
      <c r="U6" s="44"/>
      <c r="V6" s="43">
        <v>9652</v>
      </c>
      <c r="W6" s="45"/>
    </row>
    <row r="7" spans="1:23" ht="18.95" customHeight="1">
      <c r="A7" s="42">
        <v>1989</v>
      </c>
      <c r="B7" s="43">
        <f t="shared" si="0"/>
        <v>94855</v>
      </c>
      <c r="C7" s="9">
        <f>(B7-B6)/B6</f>
        <v>4.2348208141443017E-3</v>
      </c>
      <c r="D7" s="43">
        <v>9501</v>
      </c>
      <c r="E7" s="9">
        <f t="shared" ref="E7:E25" si="1">(D7-D6)/D6</f>
        <v>1.7128787067765765E-2</v>
      </c>
      <c r="F7" s="43">
        <v>10116</v>
      </c>
      <c r="G7" s="9">
        <f t="shared" ref="G7:G25" si="2">(F7-F6)/F6</f>
        <v>6.8553924157600088E-2</v>
      </c>
      <c r="H7" s="43">
        <v>10204</v>
      </c>
      <c r="I7" s="9">
        <f t="shared" ref="I7:I25" si="3">(H7-H6)/H6</f>
        <v>1.1198097314438609E-2</v>
      </c>
      <c r="J7" s="43">
        <v>7042</v>
      </c>
      <c r="K7" s="9">
        <f t="shared" ref="K7:K25" si="4">(J7-J6)/J6</f>
        <v>1.1200459506031017E-2</v>
      </c>
      <c r="L7" s="43">
        <v>7794</v>
      </c>
      <c r="M7" s="9">
        <f t="shared" ref="M7:M25" si="5">(L7-L6)/L6</f>
        <v>8.1448591647009849E-2</v>
      </c>
      <c r="N7" s="43">
        <v>11929</v>
      </c>
      <c r="O7" s="9">
        <f t="shared" ref="O7:O25" si="6">(N7-N6)/N6</f>
        <v>-6.4392156862745104E-2</v>
      </c>
      <c r="P7" s="43">
        <v>11162</v>
      </c>
      <c r="Q7" s="9">
        <f t="shared" ref="Q7:Q25" si="7">(P7-P6)/P6</f>
        <v>-4.9638143891017457E-2</v>
      </c>
      <c r="R7" s="43">
        <v>9401</v>
      </c>
      <c r="S7" s="9">
        <f t="shared" ref="S7:S25" si="8">(R7-R6)/R6</f>
        <v>5.0978200111794297E-2</v>
      </c>
      <c r="T7" s="43">
        <v>8370</v>
      </c>
      <c r="U7" s="9">
        <f t="shared" ref="U7:U25" si="9">(T7-T6)/T6</f>
        <v>9.2849391052695039E-3</v>
      </c>
      <c r="V7" s="43">
        <v>9336</v>
      </c>
      <c r="W7" s="10">
        <f t="shared" ref="W7:W25" si="10">(V7-V6)/V6</f>
        <v>-3.2739328636552011E-2</v>
      </c>
    </row>
    <row r="8" spans="1:23" ht="18.95" customHeight="1">
      <c r="A8" s="42">
        <v>1990</v>
      </c>
      <c r="B8" s="43">
        <f t="shared" si="0"/>
        <v>89162</v>
      </c>
      <c r="C8" s="9">
        <f t="shared" ref="C8:C25" si="11">(B8-B7)/B7</f>
        <v>-6.0017922091613517E-2</v>
      </c>
      <c r="D8" s="43">
        <v>11719</v>
      </c>
      <c r="E8" s="9">
        <f t="shared" si="1"/>
        <v>0.23344911061993473</v>
      </c>
      <c r="F8" s="43">
        <v>8540</v>
      </c>
      <c r="G8" s="9">
        <f t="shared" si="2"/>
        <v>-0.15579280347963623</v>
      </c>
      <c r="H8" s="43">
        <v>9169</v>
      </c>
      <c r="I8" s="9">
        <f t="shared" si="3"/>
        <v>-0.10143081144649158</v>
      </c>
      <c r="J8" s="43">
        <v>7161</v>
      </c>
      <c r="K8" s="9">
        <f t="shared" si="4"/>
        <v>1.6898608349900597E-2</v>
      </c>
      <c r="L8" s="43">
        <v>7610</v>
      </c>
      <c r="M8" s="9">
        <f t="shared" si="5"/>
        <v>-2.3607903515524761E-2</v>
      </c>
      <c r="N8" s="43">
        <v>10828</v>
      </c>
      <c r="O8" s="9">
        <f t="shared" si="6"/>
        <v>-9.2296085170592679E-2</v>
      </c>
      <c r="P8" s="43">
        <v>10195</v>
      </c>
      <c r="Q8" s="9">
        <f t="shared" si="7"/>
        <v>-8.6633219853072929E-2</v>
      </c>
      <c r="R8" s="43">
        <v>8706</v>
      </c>
      <c r="S8" s="9">
        <f t="shared" si="8"/>
        <v>-7.3928305499414954E-2</v>
      </c>
      <c r="T8" s="43">
        <v>7082</v>
      </c>
      <c r="U8" s="9">
        <f t="shared" si="9"/>
        <v>-0.15388291517323777</v>
      </c>
      <c r="V8" s="43">
        <v>8152</v>
      </c>
      <c r="W8" s="10">
        <f t="shared" si="10"/>
        <v>-0.1268209083119109</v>
      </c>
    </row>
    <row r="9" spans="1:23" ht="18.95" customHeight="1">
      <c r="A9" s="6">
        <v>1991</v>
      </c>
      <c r="B9" s="43">
        <f t="shared" si="0"/>
        <v>94445</v>
      </c>
      <c r="C9" s="9">
        <f t="shared" si="11"/>
        <v>5.9251699154348268E-2</v>
      </c>
      <c r="D9" s="43">
        <v>15093</v>
      </c>
      <c r="E9" s="9">
        <f t="shared" si="1"/>
        <v>0.28790852461814148</v>
      </c>
      <c r="F9" s="43">
        <v>8362</v>
      </c>
      <c r="G9" s="9">
        <f t="shared" si="2"/>
        <v>-2.0843091334894613E-2</v>
      </c>
      <c r="H9" s="43">
        <v>9282</v>
      </c>
      <c r="I9" s="9">
        <f t="shared" si="3"/>
        <v>1.2324135674555568E-2</v>
      </c>
      <c r="J9" s="43">
        <v>7805</v>
      </c>
      <c r="K9" s="9">
        <f t="shared" si="4"/>
        <v>8.9931573802541548E-2</v>
      </c>
      <c r="L9" s="43">
        <v>8555</v>
      </c>
      <c r="M9" s="9">
        <f t="shared" si="5"/>
        <v>0.12417871222076216</v>
      </c>
      <c r="N9" s="43">
        <v>10840</v>
      </c>
      <c r="O9" s="9">
        <f t="shared" si="6"/>
        <v>1.1082379017362395E-3</v>
      </c>
      <c r="P9" s="43">
        <v>10052</v>
      </c>
      <c r="Q9" s="9">
        <f t="shared" si="7"/>
        <v>-1.4026483570377637E-2</v>
      </c>
      <c r="R9" s="43">
        <v>9085</v>
      </c>
      <c r="S9" s="9">
        <f t="shared" si="8"/>
        <v>4.3533195497358144E-2</v>
      </c>
      <c r="T9" s="43">
        <v>7199</v>
      </c>
      <c r="U9" s="9">
        <f t="shared" si="9"/>
        <v>1.6520756848347924E-2</v>
      </c>
      <c r="V9" s="43">
        <v>8172</v>
      </c>
      <c r="W9" s="10">
        <f t="shared" si="10"/>
        <v>2.4533856722276743E-3</v>
      </c>
    </row>
    <row r="10" spans="1:23" ht="18.95" customHeight="1">
      <c r="A10" s="6">
        <v>1992</v>
      </c>
      <c r="B10" s="43">
        <f t="shared" si="0"/>
        <v>96336</v>
      </c>
      <c r="C10" s="9">
        <f t="shared" si="11"/>
        <v>2.002223516332257E-2</v>
      </c>
      <c r="D10" s="43">
        <v>19308</v>
      </c>
      <c r="E10" s="9">
        <f t="shared" si="1"/>
        <v>0.27926853508248856</v>
      </c>
      <c r="F10" s="43">
        <v>7873</v>
      </c>
      <c r="G10" s="9">
        <f t="shared" si="2"/>
        <v>-5.8478832815116004E-2</v>
      </c>
      <c r="H10" s="43">
        <v>9168</v>
      </c>
      <c r="I10" s="9">
        <f t="shared" si="3"/>
        <v>-1.2281835811247576E-2</v>
      </c>
      <c r="J10" s="43">
        <v>8124</v>
      </c>
      <c r="K10" s="9">
        <f t="shared" si="4"/>
        <v>4.0871236386931457E-2</v>
      </c>
      <c r="L10" s="43">
        <v>8489</v>
      </c>
      <c r="M10" s="9">
        <f t="shared" si="5"/>
        <v>-7.7147866744593802E-3</v>
      </c>
      <c r="N10" s="43">
        <v>10430</v>
      </c>
      <c r="O10" s="9">
        <f t="shared" si="6"/>
        <v>-3.7822878228782289E-2</v>
      </c>
      <c r="P10" s="43">
        <v>9545</v>
      </c>
      <c r="Q10" s="9">
        <f t="shared" si="7"/>
        <v>-5.043772383605253E-2</v>
      </c>
      <c r="R10" s="43">
        <v>8744</v>
      </c>
      <c r="S10" s="9">
        <f t="shared" si="8"/>
        <v>-3.7534397358282887E-2</v>
      </c>
      <c r="T10" s="43">
        <v>6932</v>
      </c>
      <c r="U10" s="9">
        <f t="shared" si="9"/>
        <v>-3.708848451173774E-2</v>
      </c>
      <c r="V10" s="43">
        <v>7723</v>
      </c>
      <c r="W10" s="10">
        <f t="shared" si="10"/>
        <v>-5.4943710230053844E-2</v>
      </c>
    </row>
    <row r="11" spans="1:23" ht="18.95" customHeight="1">
      <c r="A11" s="6">
        <v>1993</v>
      </c>
      <c r="B11" s="43">
        <f t="shared" si="0"/>
        <v>97799</v>
      </c>
      <c r="C11" s="9">
        <f t="shared" si="11"/>
        <v>1.5186430825444278E-2</v>
      </c>
      <c r="D11" s="43">
        <v>22194</v>
      </c>
      <c r="E11" s="9">
        <f t="shared" si="1"/>
        <v>0.14947172156619018</v>
      </c>
      <c r="F11" s="43">
        <v>7706</v>
      </c>
      <c r="G11" s="9">
        <f t="shared" si="2"/>
        <v>-2.1211736313984503E-2</v>
      </c>
      <c r="H11" s="43">
        <v>9159</v>
      </c>
      <c r="I11" s="9">
        <f t="shared" si="3"/>
        <v>-9.8167539267015702E-4</v>
      </c>
      <c r="J11" s="43">
        <v>8360</v>
      </c>
      <c r="K11" s="9">
        <f t="shared" si="4"/>
        <v>2.9049729197439686E-2</v>
      </c>
      <c r="L11" s="43">
        <v>8453</v>
      </c>
      <c r="M11" s="9">
        <f t="shared" si="5"/>
        <v>-4.240782188714807E-3</v>
      </c>
      <c r="N11" s="43">
        <v>10044</v>
      </c>
      <c r="O11" s="9">
        <f t="shared" si="6"/>
        <v>-3.7008628954937679E-2</v>
      </c>
      <c r="P11" s="43">
        <v>8957</v>
      </c>
      <c r="Q11" s="9">
        <f t="shared" si="7"/>
        <v>-6.1602933473022523E-2</v>
      </c>
      <c r="R11" s="43">
        <v>8817</v>
      </c>
      <c r="S11" s="9">
        <f t="shared" si="8"/>
        <v>8.3485818847209518E-3</v>
      </c>
      <c r="T11" s="43">
        <v>6684</v>
      </c>
      <c r="U11" s="9">
        <f t="shared" si="9"/>
        <v>-3.5776110790536643E-2</v>
      </c>
      <c r="V11" s="43">
        <v>7425</v>
      </c>
      <c r="W11" s="10">
        <f t="shared" si="10"/>
        <v>-3.8586041693642367E-2</v>
      </c>
    </row>
    <row r="12" spans="1:23" ht="18.95" customHeight="1">
      <c r="A12" s="6">
        <v>1994</v>
      </c>
      <c r="B12" s="43">
        <f t="shared" si="0"/>
        <v>99169</v>
      </c>
      <c r="C12" s="9">
        <f t="shared" si="11"/>
        <v>1.4008323193488686E-2</v>
      </c>
      <c r="D12" s="43">
        <v>24956</v>
      </c>
      <c r="E12" s="9">
        <f t="shared" si="1"/>
        <v>0.12444804902225827</v>
      </c>
      <c r="F12" s="43">
        <v>7428</v>
      </c>
      <c r="G12" s="9">
        <f t="shared" si="2"/>
        <v>-3.6075785102517521E-2</v>
      </c>
      <c r="H12" s="43">
        <v>9336</v>
      </c>
      <c r="I12" s="9">
        <f t="shared" si="3"/>
        <v>1.9325253848673438E-2</v>
      </c>
      <c r="J12" s="43">
        <v>8694</v>
      </c>
      <c r="K12" s="9">
        <f t="shared" si="4"/>
        <v>3.995215311004785E-2</v>
      </c>
      <c r="L12" s="43">
        <v>8351</v>
      </c>
      <c r="M12" s="9">
        <f t="shared" si="5"/>
        <v>-1.2066721873890926E-2</v>
      </c>
      <c r="N12" s="43">
        <v>9477</v>
      </c>
      <c r="O12" s="9">
        <f t="shared" si="6"/>
        <v>-5.6451612903225805E-2</v>
      </c>
      <c r="P12" s="43">
        <v>8517</v>
      </c>
      <c r="Q12" s="9">
        <f t="shared" si="7"/>
        <v>-4.9123590487886566E-2</v>
      </c>
      <c r="R12" s="43">
        <v>8907</v>
      </c>
      <c r="S12" s="9">
        <f t="shared" si="8"/>
        <v>1.0207553589656346E-2</v>
      </c>
      <c r="T12" s="43">
        <v>6207</v>
      </c>
      <c r="U12" s="9">
        <f t="shared" si="9"/>
        <v>-7.1364452423698391E-2</v>
      </c>
      <c r="V12" s="43">
        <v>7296</v>
      </c>
      <c r="W12" s="10">
        <f t="shared" si="10"/>
        <v>-1.7373737373737375E-2</v>
      </c>
    </row>
    <row r="13" spans="1:23" ht="18.95" customHeight="1">
      <c r="A13" s="6">
        <v>1995</v>
      </c>
      <c r="B13" s="43">
        <f t="shared" si="0"/>
        <v>100329</v>
      </c>
      <c r="C13" s="9">
        <f t="shared" si="11"/>
        <v>1.1697203763272797E-2</v>
      </c>
      <c r="D13" s="43">
        <v>25717</v>
      </c>
      <c r="E13" s="9">
        <f t="shared" si="1"/>
        <v>3.0493668857188651E-2</v>
      </c>
      <c r="F13" s="43">
        <v>7107</v>
      </c>
      <c r="G13" s="9">
        <f t="shared" si="2"/>
        <v>-4.3214862681744751E-2</v>
      </c>
      <c r="H13" s="43">
        <v>11008</v>
      </c>
      <c r="I13" s="9">
        <f t="shared" si="3"/>
        <v>0.17909168808911741</v>
      </c>
      <c r="J13" s="43">
        <v>9120</v>
      </c>
      <c r="K13" s="9">
        <f t="shared" si="4"/>
        <v>4.8999309868875088E-2</v>
      </c>
      <c r="L13" s="43">
        <v>8005</v>
      </c>
      <c r="M13" s="9">
        <f t="shared" si="5"/>
        <v>-4.1432163812717041E-2</v>
      </c>
      <c r="N13" s="43">
        <v>8906</v>
      </c>
      <c r="O13" s="9">
        <f t="shared" si="6"/>
        <v>-6.02511343252084E-2</v>
      </c>
      <c r="P13" s="43">
        <v>8096</v>
      </c>
      <c r="Q13" s="9">
        <f t="shared" si="7"/>
        <v>-4.9430550663379126E-2</v>
      </c>
      <c r="R13" s="43">
        <v>9561</v>
      </c>
      <c r="S13" s="9">
        <f t="shared" si="8"/>
        <v>7.3425395756146844E-2</v>
      </c>
      <c r="T13" s="43">
        <v>5816</v>
      </c>
      <c r="U13" s="9">
        <f t="shared" si="9"/>
        <v>-6.2993394554535204E-2</v>
      </c>
      <c r="V13" s="43">
        <v>6993</v>
      </c>
      <c r="W13" s="10">
        <f t="shared" si="10"/>
        <v>-4.1529605263157895E-2</v>
      </c>
    </row>
    <row r="14" spans="1:23" ht="18.95" customHeight="1">
      <c r="A14" s="6">
        <v>1996</v>
      </c>
      <c r="B14" s="43">
        <f t="shared" si="0"/>
        <v>101985</v>
      </c>
      <c r="C14" s="9">
        <f t="shared" si="11"/>
        <v>1.6505696259306882E-2</v>
      </c>
      <c r="D14" s="43">
        <v>27066</v>
      </c>
      <c r="E14" s="9">
        <f t="shared" si="1"/>
        <v>5.2455574133841429E-2</v>
      </c>
      <c r="F14" s="43">
        <v>7208</v>
      </c>
      <c r="G14" s="9">
        <f t="shared" si="2"/>
        <v>1.421134093147601E-2</v>
      </c>
      <c r="H14" s="43">
        <v>12272</v>
      </c>
      <c r="I14" s="9">
        <f t="shared" si="3"/>
        <v>0.11482558139534883</v>
      </c>
      <c r="J14" s="43">
        <v>9371</v>
      </c>
      <c r="K14" s="9">
        <f t="shared" si="4"/>
        <v>2.7521929824561402E-2</v>
      </c>
      <c r="L14" s="43">
        <v>7874</v>
      </c>
      <c r="M14" s="9">
        <f t="shared" si="5"/>
        <v>-1.6364772017489069E-2</v>
      </c>
      <c r="N14" s="43">
        <v>8278</v>
      </c>
      <c r="O14" s="9">
        <f t="shared" si="6"/>
        <v>-7.0514260049404892E-2</v>
      </c>
      <c r="P14" s="43">
        <v>7628</v>
      </c>
      <c r="Q14" s="9">
        <f t="shared" si="7"/>
        <v>-5.7806324110671936E-2</v>
      </c>
      <c r="R14" s="43">
        <v>10107</v>
      </c>
      <c r="S14" s="9">
        <f t="shared" si="8"/>
        <v>5.7106997176027609E-2</v>
      </c>
      <c r="T14" s="43">
        <v>5548</v>
      </c>
      <c r="U14" s="9">
        <f t="shared" si="9"/>
        <v>-4.6079779917469053E-2</v>
      </c>
      <c r="V14" s="43">
        <v>6633</v>
      </c>
      <c r="W14" s="10">
        <f t="shared" si="10"/>
        <v>-5.1480051480051477E-2</v>
      </c>
    </row>
    <row r="15" spans="1:23" ht="18.95" customHeight="1">
      <c r="A15" s="6">
        <v>1997</v>
      </c>
      <c r="B15" s="43">
        <f t="shared" si="0"/>
        <v>103201</v>
      </c>
      <c r="C15" s="9">
        <f t="shared" si="11"/>
        <v>1.1923322057165269E-2</v>
      </c>
      <c r="D15" s="43">
        <v>27986</v>
      </c>
      <c r="E15" s="9">
        <f t="shared" si="1"/>
        <v>3.3990984999630533E-2</v>
      </c>
      <c r="F15" s="43">
        <v>6952</v>
      </c>
      <c r="G15" s="9">
        <f t="shared" si="2"/>
        <v>-3.5516093229744729E-2</v>
      </c>
      <c r="H15" s="43">
        <v>13056</v>
      </c>
      <c r="I15" s="9">
        <f t="shared" si="3"/>
        <v>6.3885267275097787E-2</v>
      </c>
      <c r="J15" s="43">
        <v>9504</v>
      </c>
      <c r="K15" s="9">
        <f t="shared" si="4"/>
        <v>1.4192722228150677E-2</v>
      </c>
      <c r="L15" s="43">
        <v>7667</v>
      </c>
      <c r="M15" s="9">
        <f t="shared" si="5"/>
        <v>-2.6289052578105158E-2</v>
      </c>
      <c r="N15" s="43">
        <v>7979</v>
      </c>
      <c r="O15" s="9">
        <f t="shared" si="6"/>
        <v>-3.6119835709108483E-2</v>
      </c>
      <c r="P15" s="43">
        <v>7375</v>
      </c>
      <c r="Q15" s="9">
        <f t="shared" si="7"/>
        <v>-3.3167278447823807E-2</v>
      </c>
      <c r="R15" s="43">
        <v>10416</v>
      </c>
      <c r="S15" s="9">
        <f t="shared" si="8"/>
        <v>3.0572870287919263E-2</v>
      </c>
      <c r="T15" s="43">
        <v>5872</v>
      </c>
      <c r="U15" s="9">
        <f t="shared" si="9"/>
        <v>5.8399423215573176E-2</v>
      </c>
      <c r="V15" s="43">
        <v>6394</v>
      </c>
      <c r="W15" s="10">
        <f t="shared" si="10"/>
        <v>-3.6031961405095736E-2</v>
      </c>
    </row>
    <row r="16" spans="1:23" ht="18.95" customHeight="1">
      <c r="A16" s="6">
        <v>1998</v>
      </c>
      <c r="B16" s="43">
        <f t="shared" si="0"/>
        <v>103551</v>
      </c>
      <c r="C16" s="9">
        <f t="shared" si="11"/>
        <v>3.3914400054263038E-3</v>
      </c>
      <c r="D16" s="43">
        <v>28065</v>
      </c>
      <c r="E16" s="9">
        <f t="shared" si="1"/>
        <v>2.8228399914242835E-3</v>
      </c>
      <c r="F16" s="43">
        <v>6698</v>
      </c>
      <c r="G16" s="9">
        <f t="shared" si="2"/>
        <v>-3.6536248561565017E-2</v>
      </c>
      <c r="H16" s="43">
        <v>14417</v>
      </c>
      <c r="I16" s="9">
        <f t="shared" si="3"/>
        <v>0.10424325980392157</v>
      </c>
      <c r="J16" s="43">
        <v>9329</v>
      </c>
      <c r="K16" s="9">
        <f t="shared" si="4"/>
        <v>-1.8413299663299663E-2</v>
      </c>
      <c r="L16" s="43">
        <v>7586</v>
      </c>
      <c r="M16" s="9">
        <f t="shared" si="5"/>
        <v>-1.0564758053997652E-2</v>
      </c>
      <c r="N16" s="43">
        <v>7754</v>
      </c>
      <c r="O16" s="9">
        <f t="shared" si="6"/>
        <v>-2.819902243388896E-2</v>
      </c>
      <c r="P16" s="43">
        <v>7030</v>
      </c>
      <c r="Q16" s="9">
        <f t="shared" si="7"/>
        <v>-4.6779661016949151E-2</v>
      </c>
      <c r="R16" s="43">
        <v>10645</v>
      </c>
      <c r="S16" s="9">
        <f t="shared" si="8"/>
        <v>2.1985407066052228E-2</v>
      </c>
      <c r="T16" s="43">
        <v>5835</v>
      </c>
      <c r="U16" s="9">
        <f t="shared" si="9"/>
        <v>-6.301089918256131E-3</v>
      </c>
      <c r="V16" s="43">
        <v>6192</v>
      </c>
      <c r="W16" s="10">
        <f t="shared" si="10"/>
        <v>-3.1592117610259617E-2</v>
      </c>
    </row>
    <row r="17" spans="1:23" ht="18.95" customHeight="1">
      <c r="A17" s="6">
        <v>1999</v>
      </c>
      <c r="B17" s="43">
        <f t="shared" si="0"/>
        <v>103806</v>
      </c>
      <c r="C17" s="9">
        <f t="shared" si="11"/>
        <v>2.4625546831995829E-3</v>
      </c>
      <c r="D17" s="43">
        <v>27645</v>
      </c>
      <c r="E17" s="9">
        <f t="shared" si="1"/>
        <v>-1.4965259219668627E-2</v>
      </c>
      <c r="F17" s="43">
        <v>6610</v>
      </c>
      <c r="G17" s="9">
        <f t="shared" si="2"/>
        <v>-1.3138250223947446E-2</v>
      </c>
      <c r="H17" s="43">
        <v>15218</v>
      </c>
      <c r="I17" s="9">
        <f t="shared" si="3"/>
        <v>5.5559409031005064E-2</v>
      </c>
      <c r="J17" s="43">
        <v>9142</v>
      </c>
      <c r="K17" s="9">
        <f t="shared" si="4"/>
        <v>-2.0045020902561904E-2</v>
      </c>
      <c r="L17" s="43">
        <v>7436</v>
      </c>
      <c r="M17" s="9">
        <f t="shared" si="5"/>
        <v>-1.9773266543633008E-2</v>
      </c>
      <c r="N17" s="43">
        <v>7491</v>
      </c>
      <c r="O17" s="9">
        <f t="shared" si="6"/>
        <v>-3.3917977817900437E-2</v>
      </c>
      <c r="P17" s="43">
        <v>6695</v>
      </c>
      <c r="Q17" s="9">
        <f t="shared" si="7"/>
        <v>-4.7652916073968703E-2</v>
      </c>
      <c r="R17" s="43">
        <v>11923</v>
      </c>
      <c r="S17" s="9">
        <f t="shared" si="8"/>
        <v>0.12005636449037106</v>
      </c>
      <c r="T17" s="43">
        <v>5719</v>
      </c>
      <c r="U17" s="9">
        <f t="shared" si="9"/>
        <v>-1.9880034275921166E-2</v>
      </c>
      <c r="V17" s="43">
        <v>5927</v>
      </c>
      <c r="W17" s="10">
        <f t="shared" si="10"/>
        <v>-4.2797157622739015E-2</v>
      </c>
    </row>
    <row r="18" spans="1:23" s="18" customFormat="1" ht="18.95" customHeight="1">
      <c r="A18" s="17">
        <v>2000</v>
      </c>
      <c r="B18" s="43">
        <f t="shared" si="0"/>
        <v>104409</v>
      </c>
      <c r="C18" s="9">
        <f t="shared" si="11"/>
        <v>5.8089127796081153E-3</v>
      </c>
      <c r="D18" s="43">
        <v>27936</v>
      </c>
      <c r="E18" s="9">
        <f t="shared" si="1"/>
        <v>1.0526315789473684E-2</v>
      </c>
      <c r="F18" s="43">
        <v>6347</v>
      </c>
      <c r="G18" s="9">
        <f t="shared" si="2"/>
        <v>-3.9788199697428139E-2</v>
      </c>
      <c r="H18" s="43">
        <v>16870</v>
      </c>
      <c r="I18" s="9">
        <f t="shared" si="3"/>
        <v>0.10855565777368906</v>
      </c>
      <c r="J18" s="43">
        <v>8940</v>
      </c>
      <c r="K18" s="9">
        <f t="shared" si="4"/>
        <v>-2.2095821483264055E-2</v>
      </c>
      <c r="L18" s="43">
        <v>7135</v>
      </c>
      <c r="M18" s="9">
        <f t="shared" si="5"/>
        <v>-4.0478752017213557E-2</v>
      </c>
      <c r="N18" s="43">
        <v>7200</v>
      </c>
      <c r="O18" s="9">
        <f t="shared" si="6"/>
        <v>-3.8846615939126951E-2</v>
      </c>
      <c r="P18" s="43">
        <v>6281</v>
      </c>
      <c r="Q18" s="9">
        <f t="shared" si="7"/>
        <v>-6.1837191934279313E-2</v>
      </c>
      <c r="R18" s="43">
        <v>12487</v>
      </c>
      <c r="S18" s="9">
        <f t="shared" si="8"/>
        <v>4.7303530990522522E-2</v>
      </c>
      <c r="T18" s="43">
        <v>5594</v>
      </c>
      <c r="U18" s="9">
        <f t="shared" si="9"/>
        <v>-2.1856968001398847E-2</v>
      </c>
      <c r="V18" s="43">
        <v>5619</v>
      </c>
      <c r="W18" s="10">
        <f t="shared" si="10"/>
        <v>-5.1965581238400539E-2</v>
      </c>
    </row>
    <row r="19" spans="1:23" ht="18.95" customHeight="1">
      <c r="A19" s="6">
        <v>2001</v>
      </c>
      <c r="B19" s="43">
        <f t="shared" si="0"/>
        <v>103933</v>
      </c>
      <c r="C19" s="9">
        <f t="shared" si="11"/>
        <v>-4.5589939564596926E-3</v>
      </c>
      <c r="D19" s="43">
        <v>27280</v>
      </c>
      <c r="E19" s="9">
        <f t="shared" si="1"/>
        <v>-2.3482245131729668E-2</v>
      </c>
      <c r="F19" s="43">
        <v>6154</v>
      </c>
      <c r="G19" s="9">
        <f t="shared" si="2"/>
        <v>-3.0408066803214118E-2</v>
      </c>
      <c r="H19" s="43">
        <v>19029</v>
      </c>
      <c r="I19" s="9">
        <f t="shared" si="3"/>
        <v>0.12797866034380556</v>
      </c>
      <c r="J19" s="43">
        <v>8630</v>
      </c>
      <c r="K19" s="9">
        <f t="shared" si="4"/>
        <v>-3.4675615212527967E-2</v>
      </c>
      <c r="L19" s="43">
        <v>6834</v>
      </c>
      <c r="M19" s="9">
        <f t="shared" si="5"/>
        <v>-4.2186405045550109E-2</v>
      </c>
      <c r="N19" s="43">
        <v>7096</v>
      </c>
      <c r="O19" s="9">
        <f t="shared" si="6"/>
        <v>-1.4444444444444444E-2</v>
      </c>
      <c r="P19" s="43">
        <v>5959</v>
      </c>
      <c r="Q19" s="9">
        <f t="shared" si="7"/>
        <v>-5.1265722018786819E-2</v>
      </c>
      <c r="R19" s="43">
        <v>12310</v>
      </c>
      <c r="S19" s="9">
        <f t="shared" si="8"/>
        <v>-1.4174741731400656E-2</v>
      </c>
      <c r="T19" s="43">
        <v>5248</v>
      </c>
      <c r="U19" s="9">
        <f t="shared" si="9"/>
        <v>-6.1851984268859489E-2</v>
      </c>
      <c r="V19" s="43">
        <v>5393</v>
      </c>
      <c r="W19" s="10">
        <f t="shared" si="10"/>
        <v>-4.0220679836269799E-2</v>
      </c>
    </row>
    <row r="20" spans="1:23" ht="18.95" customHeight="1">
      <c r="A20" s="6">
        <v>2002</v>
      </c>
      <c r="B20" s="43">
        <f t="shared" si="0"/>
        <v>103039</v>
      </c>
      <c r="C20" s="9">
        <f t="shared" si="11"/>
        <v>-8.6016953229484383E-3</v>
      </c>
      <c r="D20" s="43">
        <v>26476</v>
      </c>
      <c r="E20" s="9">
        <f t="shared" si="1"/>
        <v>-2.9472140762463343E-2</v>
      </c>
      <c r="F20" s="43">
        <v>5940</v>
      </c>
      <c r="G20" s="9">
        <f t="shared" si="2"/>
        <v>-3.4774130646733833E-2</v>
      </c>
      <c r="H20" s="43">
        <v>20963</v>
      </c>
      <c r="I20" s="9">
        <f t="shared" si="3"/>
        <v>0.10163434757475433</v>
      </c>
      <c r="J20" s="43">
        <v>8501</v>
      </c>
      <c r="K20" s="9">
        <f t="shared" si="4"/>
        <v>-1.4947856315179605E-2</v>
      </c>
      <c r="L20" s="43">
        <v>6429</v>
      </c>
      <c r="M20" s="9">
        <f t="shared" si="5"/>
        <v>-5.9262510974539072E-2</v>
      </c>
      <c r="N20" s="43">
        <v>6966</v>
      </c>
      <c r="O20" s="9">
        <f t="shared" si="6"/>
        <v>-1.8320180383314542E-2</v>
      </c>
      <c r="P20" s="43">
        <v>5578</v>
      </c>
      <c r="Q20" s="9">
        <f t="shared" si="7"/>
        <v>-6.3936902164792753E-2</v>
      </c>
      <c r="R20" s="43">
        <v>12027</v>
      </c>
      <c r="S20" s="9">
        <f t="shared" si="8"/>
        <v>-2.2989439480097483E-2</v>
      </c>
      <c r="T20" s="43">
        <v>5034</v>
      </c>
      <c r="U20" s="9">
        <f t="shared" si="9"/>
        <v>-4.0777439024390245E-2</v>
      </c>
      <c r="V20" s="43">
        <v>5125</v>
      </c>
      <c r="W20" s="10">
        <f t="shared" si="10"/>
        <v>-4.9694047839792324E-2</v>
      </c>
    </row>
    <row r="21" spans="1:23" ht="18.95" customHeight="1">
      <c r="A21" s="6">
        <v>2003</v>
      </c>
      <c r="B21" s="43">
        <f t="shared" si="0"/>
        <v>102032</v>
      </c>
      <c r="C21" s="9">
        <f t="shared" si="11"/>
        <v>-9.7729985733557203E-3</v>
      </c>
      <c r="D21" s="43">
        <v>27113</v>
      </c>
      <c r="E21" s="9">
        <f t="shared" si="1"/>
        <v>2.40595256080979E-2</v>
      </c>
      <c r="F21" s="43">
        <v>5740</v>
      </c>
      <c r="G21" s="9">
        <f t="shared" si="2"/>
        <v>-3.3670033670033669E-2</v>
      </c>
      <c r="H21" s="43">
        <v>21131</v>
      </c>
      <c r="I21" s="9">
        <f t="shared" si="3"/>
        <v>8.0141201163955542E-3</v>
      </c>
      <c r="J21" s="43">
        <v>8223</v>
      </c>
      <c r="K21" s="9">
        <f t="shared" si="4"/>
        <v>-3.2702035054699444E-2</v>
      </c>
      <c r="L21" s="43">
        <v>6136</v>
      </c>
      <c r="M21" s="9">
        <f t="shared" si="5"/>
        <v>-4.557473946181366E-2</v>
      </c>
      <c r="N21" s="43">
        <v>6795</v>
      </c>
      <c r="O21" s="9">
        <f t="shared" si="6"/>
        <v>-2.454780361757106E-2</v>
      </c>
      <c r="P21" s="43">
        <v>5267</v>
      </c>
      <c r="Q21" s="9">
        <f t="shared" si="7"/>
        <v>-5.575475080674077E-2</v>
      </c>
      <c r="R21" s="43">
        <v>11848</v>
      </c>
      <c r="S21" s="9">
        <f t="shared" si="8"/>
        <v>-1.488317951276295E-2</v>
      </c>
      <c r="T21" s="43">
        <v>4835</v>
      </c>
      <c r="U21" s="9">
        <f t="shared" si="9"/>
        <v>-3.9531187922129521E-2</v>
      </c>
      <c r="V21" s="43">
        <v>4944</v>
      </c>
      <c r="W21" s="10">
        <f t="shared" si="10"/>
        <v>-3.5317073170731704E-2</v>
      </c>
    </row>
    <row r="22" spans="1:23" ht="18.95" customHeight="1">
      <c r="A22" s="6">
        <v>2004</v>
      </c>
      <c r="B22" s="43">
        <f t="shared" si="0"/>
        <v>101048</v>
      </c>
      <c r="C22" s="9">
        <f t="shared" si="11"/>
        <v>-9.6440332444723224E-3</v>
      </c>
      <c r="D22" s="43">
        <v>27168</v>
      </c>
      <c r="E22" s="9">
        <f t="shared" si="1"/>
        <v>2.028547191384207E-3</v>
      </c>
      <c r="F22" s="43">
        <v>5718</v>
      </c>
      <c r="G22" s="9">
        <f t="shared" si="2"/>
        <v>-3.8327526132404181E-3</v>
      </c>
      <c r="H22" s="43">
        <v>21241</v>
      </c>
      <c r="I22" s="9">
        <f t="shared" si="3"/>
        <v>5.2056220718375845E-3</v>
      </c>
      <c r="J22" s="43">
        <v>8067</v>
      </c>
      <c r="K22" s="9">
        <f t="shared" si="4"/>
        <v>-1.897117840204305E-2</v>
      </c>
      <c r="L22" s="43">
        <v>6182</v>
      </c>
      <c r="M22" s="9">
        <f t="shared" si="5"/>
        <v>7.4967405475880053E-3</v>
      </c>
      <c r="N22" s="43">
        <v>6582</v>
      </c>
      <c r="O22" s="9">
        <f t="shared" si="6"/>
        <v>-3.1346578366445915E-2</v>
      </c>
      <c r="P22" s="43">
        <v>5105</v>
      </c>
      <c r="Q22" s="9">
        <f t="shared" si="7"/>
        <v>-3.0757546990696792E-2</v>
      </c>
      <c r="R22" s="43">
        <v>11403</v>
      </c>
      <c r="S22" s="9">
        <f t="shared" si="8"/>
        <v>-3.7559081701553004E-2</v>
      </c>
      <c r="T22" s="43">
        <v>4742</v>
      </c>
      <c r="U22" s="9">
        <f t="shared" si="9"/>
        <v>-1.9234746639089969E-2</v>
      </c>
      <c r="V22" s="43">
        <v>4840</v>
      </c>
      <c r="W22" s="10">
        <f t="shared" si="10"/>
        <v>-2.1035598705501618E-2</v>
      </c>
    </row>
    <row r="23" spans="1:23" ht="18.95" customHeight="1">
      <c r="A23" s="6">
        <v>2005</v>
      </c>
      <c r="B23" s="43">
        <f t="shared" si="0"/>
        <v>99547</v>
      </c>
      <c r="C23" s="9">
        <f t="shared" si="11"/>
        <v>-1.4854326656638429E-2</v>
      </c>
      <c r="D23" s="43">
        <v>27044</v>
      </c>
      <c r="E23" s="9">
        <f t="shared" si="1"/>
        <v>-4.5641931684334515E-3</v>
      </c>
      <c r="F23" s="43">
        <v>5709</v>
      </c>
      <c r="G23" s="9">
        <f t="shared" si="2"/>
        <v>-1.5739769150052466E-3</v>
      </c>
      <c r="H23" s="43">
        <v>21184</v>
      </c>
      <c r="I23" s="9">
        <f t="shared" si="3"/>
        <v>-2.6834894778965208E-3</v>
      </c>
      <c r="J23" s="43">
        <v>7803</v>
      </c>
      <c r="K23" s="9">
        <f t="shared" si="4"/>
        <v>-3.2725920416511713E-2</v>
      </c>
      <c r="L23" s="43">
        <v>6155</v>
      </c>
      <c r="M23" s="9">
        <f t="shared" si="5"/>
        <v>-4.3675186023940469E-3</v>
      </c>
      <c r="N23" s="43">
        <v>6343</v>
      </c>
      <c r="O23" s="9">
        <f t="shared" si="6"/>
        <v>-3.6311151625645702E-2</v>
      </c>
      <c r="P23" s="43">
        <v>4844</v>
      </c>
      <c r="Q23" s="9">
        <f t="shared" si="7"/>
        <v>-5.1126346718903037E-2</v>
      </c>
      <c r="R23" s="43">
        <v>11136</v>
      </c>
      <c r="S23" s="9">
        <f t="shared" si="8"/>
        <v>-2.3414890818205737E-2</v>
      </c>
      <c r="T23" s="43">
        <v>4623</v>
      </c>
      <c r="U23" s="9">
        <f t="shared" si="9"/>
        <v>-2.5094896668072544E-2</v>
      </c>
      <c r="V23" s="43">
        <v>4706</v>
      </c>
      <c r="W23" s="10">
        <f t="shared" si="10"/>
        <v>-2.7685950413223141E-2</v>
      </c>
    </row>
    <row r="24" spans="1:23" ht="18.95" customHeight="1">
      <c r="A24" s="24">
        <v>2006</v>
      </c>
      <c r="B24" s="43">
        <f t="shared" si="0"/>
        <v>97935</v>
      </c>
      <c r="C24" s="9">
        <f t="shared" si="11"/>
        <v>-1.6193355902237135E-2</v>
      </c>
      <c r="D24" s="43">
        <v>27340</v>
      </c>
      <c r="E24" s="9">
        <f t="shared" si="1"/>
        <v>1.0945126460582754E-2</v>
      </c>
      <c r="F24" s="43">
        <v>5399</v>
      </c>
      <c r="G24" s="9">
        <f t="shared" si="2"/>
        <v>-5.4300227710632337E-2</v>
      </c>
      <c r="H24" s="43">
        <v>20836</v>
      </c>
      <c r="I24" s="9">
        <f t="shared" si="3"/>
        <v>-1.6427492447129908E-2</v>
      </c>
      <c r="J24" s="43">
        <v>7699</v>
      </c>
      <c r="K24" s="9">
        <f t="shared" si="4"/>
        <v>-1.3328207099833397E-2</v>
      </c>
      <c r="L24" s="43">
        <v>5800</v>
      </c>
      <c r="M24" s="9">
        <f t="shared" si="5"/>
        <v>-5.7676685621445976E-2</v>
      </c>
      <c r="N24" s="43">
        <v>5994</v>
      </c>
      <c r="O24" s="9">
        <f t="shared" si="6"/>
        <v>-5.5021283304430083E-2</v>
      </c>
      <c r="P24" s="43">
        <v>4774</v>
      </c>
      <c r="Q24" s="9">
        <f t="shared" si="7"/>
        <v>-1.4450867052023121E-2</v>
      </c>
      <c r="R24" s="43">
        <v>11152</v>
      </c>
      <c r="S24" s="9">
        <f t="shared" si="8"/>
        <v>1.4367816091954023E-3</v>
      </c>
      <c r="T24" s="43">
        <v>4474</v>
      </c>
      <c r="U24" s="9">
        <f t="shared" si="9"/>
        <v>-3.2230153579926452E-2</v>
      </c>
      <c r="V24" s="43">
        <v>4467</v>
      </c>
      <c r="W24" s="10">
        <f t="shared" si="10"/>
        <v>-5.0786230344241394E-2</v>
      </c>
    </row>
    <row r="25" spans="1:23" ht="18.95" customHeight="1">
      <c r="A25" s="6">
        <v>2007</v>
      </c>
      <c r="B25" s="43">
        <f t="shared" si="0"/>
        <v>97199</v>
      </c>
      <c r="C25" s="9">
        <f t="shared" si="11"/>
        <v>-7.5151886455301986E-3</v>
      </c>
      <c r="D25" s="43">
        <v>27323</v>
      </c>
      <c r="E25" s="9">
        <f t="shared" si="1"/>
        <v>-6.2179956108266278E-4</v>
      </c>
      <c r="F25" s="43">
        <v>5183</v>
      </c>
      <c r="G25" s="9">
        <f t="shared" si="2"/>
        <v>-4.0007408779403592E-2</v>
      </c>
      <c r="H25" s="43">
        <v>21215</v>
      </c>
      <c r="I25" s="9">
        <f t="shared" si="3"/>
        <v>1.8189671722019581E-2</v>
      </c>
      <c r="J25" s="43">
        <v>7609</v>
      </c>
      <c r="K25" s="9">
        <f t="shared" si="4"/>
        <v>-1.1689829848032213E-2</v>
      </c>
      <c r="L25" s="43">
        <v>5531</v>
      </c>
      <c r="M25" s="9">
        <f t="shared" si="5"/>
        <v>-4.6379310344827583E-2</v>
      </c>
      <c r="N25" s="43">
        <v>5846</v>
      </c>
      <c r="O25" s="9">
        <f t="shared" si="6"/>
        <v>-2.4691358024691357E-2</v>
      </c>
      <c r="P25" s="43">
        <v>4826</v>
      </c>
      <c r="Q25" s="9">
        <f t="shared" si="7"/>
        <v>1.0892333472978634E-2</v>
      </c>
      <c r="R25" s="43">
        <v>11080</v>
      </c>
      <c r="S25" s="9">
        <f t="shared" si="8"/>
        <v>-6.4562410329985654E-3</v>
      </c>
      <c r="T25" s="43">
        <v>4374</v>
      </c>
      <c r="U25" s="9">
        <f t="shared" si="9"/>
        <v>-2.2351363433169423E-2</v>
      </c>
      <c r="V25" s="43">
        <v>4212</v>
      </c>
      <c r="W25" s="10">
        <f t="shared" si="10"/>
        <v>-5.7085292142377432E-2</v>
      </c>
    </row>
    <row r="26" spans="1:23" ht="18.95" customHeight="1">
      <c r="A26" s="24"/>
      <c r="B26" s="43"/>
      <c r="C26" s="9"/>
      <c r="D26" s="43"/>
      <c r="E26" s="9"/>
      <c r="F26" s="43"/>
      <c r="G26" s="9"/>
      <c r="H26" s="43"/>
      <c r="I26" s="9"/>
      <c r="J26" s="43"/>
      <c r="K26" s="9"/>
      <c r="L26" s="43"/>
      <c r="M26" s="9"/>
      <c r="N26" s="43"/>
      <c r="O26" s="9"/>
      <c r="P26" s="43"/>
      <c r="Q26" s="9"/>
      <c r="R26" s="43"/>
      <c r="S26" s="9"/>
      <c r="T26" s="43"/>
      <c r="U26" s="9"/>
      <c r="V26" s="43"/>
      <c r="W26" s="10"/>
    </row>
    <row r="27" spans="1:23" ht="26.1" customHeight="1">
      <c r="A27" s="11" t="s">
        <v>48</v>
      </c>
      <c r="B27" s="7"/>
      <c r="C27" s="9">
        <f>ROUND(SUM(C7:C26)/19,4)</f>
        <v>1.8E-3</v>
      </c>
      <c r="D27" s="7"/>
      <c r="E27" s="9">
        <f>ROUND(SUM(E7:E26)/19,4)</f>
        <v>6.2399999999999997E-2</v>
      </c>
      <c r="F27" s="7"/>
      <c r="G27" s="9">
        <f>ROUND(SUM(G7:G26)/19,4)</f>
        <v>-3.0300000000000001E-2</v>
      </c>
      <c r="H27" s="7"/>
      <c r="I27" s="9">
        <f>ROUND(SUM(I7:I26)/19,4)</f>
        <v>4.19E-2</v>
      </c>
      <c r="J27" s="7"/>
      <c r="K27" s="9">
        <f>ROUND(SUM(K7:K26)/19,4)</f>
        <v>5.1999999999999998E-3</v>
      </c>
      <c r="L27" s="7"/>
      <c r="M27" s="9">
        <f>ROUND(SUM(M7:M26)/19,4)</f>
        <v>-1.29E-2</v>
      </c>
      <c r="N27" s="7"/>
      <c r="O27" s="9">
        <f>ROUND(SUM(O7:O26)/19,4)</f>
        <v>-0.04</v>
      </c>
      <c r="P27" s="7"/>
      <c r="Q27" s="9">
        <f>ROUND(SUM(Q7:Q26)/19,4)</f>
        <v>-4.5499999999999999E-2</v>
      </c>
      <c r="R27" s="7"/>
      <c r="S27" s="9">
        <f>ROUND(SUM(S7:S26)/19,4)</f>
        <v>1.23E-2</v>
      </c>
      <c r="T27" s="7"/>
      <c r="U27" s="9">
        <f>ROUND(SUM(U7:U26)/19,4)</f>
        <v>-3.2199999999999999E-2</v>
      </c>
      <c r="V27" s="12"/>
      <c r="W27" s="9">
        <f>ROUND(SUM(W7:W26)/19,4)</f>
        <v>-4.24E-2</v>
      </c>
    </row>
    <row r="28" spans="1:23" ht="26.1" customHeight="1">
      <c r="A28" s="11" t="s">
        <v>45</v>
      </c>
      <c r="B28" s="7"/>
      <c r="C28" s="9">
        <f>ROUND(SUM(C16:C25)/10,4)</f>
        <v>-5.8999999999999999E-3</v>
      </c>
      <c r="D28" s="7"/>
      <c r="E28" s="9">
        <f>ROUND(SUM(E16:E25)/10,4)</f>
        <v>-2.3E-3</v>
      </c>
      <c r="F28" s="7"/>
      <c r="G28" s="9">
        <f>ROUND(SUM(G16:G25)/10,4)</f>
        <v>-2.8799999999999999E-2</v>
      </c>
      <c r="H28" s="7"/>
      <c r="I28" s="9">
        <f>ROUND(SUM(I16:I25)/10,4)</f>
        <v>5.0999999999999997E-2</v>
      </c>
      <c r="J28" s="7"/>
      <c r="K28" s="9">
        <f>ROUND(SUM(K16:K25)/10,4)</f>
        <v>-2.1999999999999999E-2</v>
      </c>
      <c r="L28" s="7"/>
      <c r="M28" s="9">
        <f>ROUND(SUM(M16:M25)/10,4)</f>
        <v>-3.1899999999999998E-2</v>
      </c>
      <c r="N28" s="7"/>
      <c r="O28" s="9">
        <f>ROUND(SUM(O16:O25)/10,4)</f>
        <v>-3.0599999999999999E-2</v>
      </c>
      <c r="P28" s="7"/>
      <c r="Q28" s="9">
        <f>ROUND(SUM(Q16:Q25)/10,4)</f>
        <v>-4.1300000000000003E-2</v>
      </c>
      <c r="R28" s="7"/>
      <c r="S28" s="9">
        <f>ROUND(SUM(S16:S25)/10,4)</f>
        <v>7.1000000000000004E-3</v>
      </c>
      <c r="T28" s="7"/>
      <c r="U28" s="9">
        <f>ROUND(SUM(U16:U25)/10,4)</f>
        <v>-2.8899999999999999E-2</v>
      </c>
      <c r="V28" s="12"/>
      <c r="W28" s="9">
        <f>ROUND(SUM(W16:W25)/10,4)</f>
        <v>-4.0800000000000003E-2</v>
      </c>
    </row>
    <row r="29" spans="1:23" ht="26.1" customHeight="1">
      <c r="A29" s="13" t="s">
        <v>46</v>
      </c>
      <c r="B29" s="14"/>
      <c r="C29" s="15">
        <f>+ROUND(SUM(C21:C25)/5,4)</f>
        <v>-1.1599999999999999E-2</v>
      </c>
      <c r="D29" s="14"/>
      <c r="E29" s="15">
        <f>+ROUND(SUM(E21:E25)/5,4)</f>
        <v>6.4000000000000003E-3</v>
      </c>
      <c r="F29" s="14"/>
      <c r="G29" s="15">
        <f>+ROUND(SUM(G21:G25)/5,4)</f>
        <v>-2.6700000000000002E-2</v>
      </c>
      <c r="H29" s="14"/>
      <c r="I29" s="15">
        <f>+ROUND(SUM(I21:I25)/5,4)</f>
        <v>2.5000000000000001E-3</v>
      </c>
      <c r="J29" s="14"/>
      <c r="K29" s="15">
        <f>+ROUND(SUM(K21:K25)/5,4)</f>
        <v>-2.1899999999999999E-2</v>
      </c>
      <c r="L29" s="14"/>
      <c r="M29" s="15">
        <f>+ROUND(SUM(M21:M25)/5,4)</f>
        <v>-2.93E-2</v>
      </c>
      <c r="N29" s="14"/>
      <c r="O29" s="15">
        <f>+ROUND(SUM(O21:O25)/5,4)</f>
        <v>-3.44E-2</v>
      </c>
      <c r="P29" s="14"/>
      <c r="Q29" s="15">
        <f>+ROUND(SUM(Q21:Q25)/5,4)</f>
        <v>-2.8199999999999999E-2</v>
      </c>
      <c r="R29" s="14"/>
      <c r="S29" s="15">
        <f>+ROUND(SUM(S21:S25)/5,4)</f>
        <v>-1.6199999999999999E-2</v>
      </c>
      <c r="T29" s="14"/>
      <c r="U29" s="15">
        <f>+ROUND(SUM(U21:U25)/5,4)</f>
        <v>-2.7699999999999999E-2</v>
      </c>
      <c r="V29" s="16"/>
      <c r="W29" s="15">
        <f>+ROUND(SUM(W21:W25)/5,4)</f>
        <v>-3.8399999999999997E-2</v>
      </c>
    </row>
    <row r="30" spans="1:23" ht="20.100000000000001" customHeight="1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</row>
    <row r="34" spans="2:10" ht="13.5" customHeight="1">
      <c r="B34" s="8" t="s">
        <v>238</v>
      </c>
    </row>
    <row r="36" spans="2:10">
      <c r="B36" s="564" t="s">
        <v>227</v>
      </c>
      <c r="C36" s="566" t="s">
        <v>228</v>
      </c>
      <c r="D36" s="567"/>
      <c r="E36" s="567"/>
      <c r="F36" s="566" t="s">
        <v>237</v>
      </c>
      <c r="G36" s="567"/>
      <c r="H36" s="567"/>
      <c r="I36" s="574"/>
      <c r="J36" s="572" t="s">
        <v>229</v>
      </c>
    </row>
    <row r="37" spans="2:10" ht="32.25" thickBot="1">
      <c r="B37" s="565"/>
      <c r="C37" s="249" t="s">
        <v>230</v>
      </c>
      <c r="D37" s="250" t="s">
        <v>231</v>
      </c>
      <c r="E37" s="248" t="s">
        <v>44</v>
      </c>
      <c r="F37" s="248" t="s">
        <v>232</v>
      </c>
      <c r="G37" s="248" t="s">
        <v>233</v>
      </c>
      <c r="H37" s="248" t="s">
        <v>234</v>
      </c>
      <c r="I37" s="248" t="s">
        <v>235</v>
      </c>
      <c r="J37" s="573"/>
    </row>
    <row r="38" spans="2:10" ht="20.100000000000001" customHeight="1" thickTop="1">
      <c r="B38" s="241">
        <v>1988</v>
      </c>
      <c r="C38" s="242">
        <v>94455</v>
      </c>
      <c r="D38" s="242"/>
      <c r="E38" s="251"/>
      <c r="F38" s="251"/>
      <c r="G38" s="251"/>
      <c r="H38" s="251"/>
      <c r="I38" s="251" t="s">
        <v>236</v>
      </c>
      <c r="J38" s="246"/>
    </row>
    <row r="39" spans="2:10" ht="20.100000000000001" customHeight="1">
      <c r="B39" s="243">
        <v>1989</v>
      </c>
      <c r="C39" s="244">
        <v>94855</v>
      </c>
      <c r="D39" s="244">
        <f>+C39-C38</f>
        <v>400</v>
      </c>
      <c r="E39" s="52">
        <f>(C39-C38)/C38</f>
        <v>4.2348208141443017E-3</v>
      </c>
      <c r="F39" s="52"/>
      <c r="G39" s="52"/>
      <c r="H39" s="52"/>
      <c r="I39" s="52">
        <f>+E39</f>
        <v>4.2348208141443017E-3</v>
      </c>
      <c r="J39" s="247"/>
    </row>
    <row r="40" spans="2:10" ht="20.100000000000001" customHeight="1">
      <c r="B40" s="243">
        <v>1990</v>
      </c>
      <c r="C40" s="244">
        <v>89162</v>
      </c>
      <c r="D40" s="244">
        <f t="shared" ref="D40:D57" si="12">+C40-C39</f>
        <v>-5693</v>
      </c>
      <c r="E40" s="52">
        <f t="shared" ref="E40:E57" si="13">(C40-C39)/C39</f>
        <v>-6.0017922091613517E-2</v>
      </c>
      <c r="F40" s="52"/>
      <c r="G40" s="52"/>
      <c r="H40" s="52"/>
      <c r="I40" s="52">
        <f t="shared" ref="I40:I57" si="14">+E40</f>
        <v>-6.0017922091613517E-2</v>
      </c>
      <c r="J40" s="247"/>
    </row>
    <row r="41" spans="2:10" ht="20.100000000000001" customHeight="1">
      <c r="B41" s="243">
        <v>1991</v>
      </c>
      <c r="C41" s="244">
        <v>94445</v>
      </c>
      <c r="D41" s="244">
        <f t="shared" si="12"/>
        <v>5283</v>
      </c>
      <c r="E41" s="52">
        <f t="shared" si="13"/>
        <v>5.9251699154348268E-2</v>
      </c>
      <c r="F41" s="52"/>
      <c r="G41" s="52"/>
      <c r="H41" s="52"/>
      <c r="I41" s="52">
        <f t="shared" si="14"/>
        <v>5.9251699154348268E-2</v>
      </c>
      <c r="J41" s="247"/>
    </row>
    <row r="42" spans="2:10" ht="20.100000000000001" customHeight="1">
      <c r="B42" s="243">
        <v>1992</v>
      </c>
      <c r="C42" s="244">
        <v>96336</v>
      </c>
      <c r="D42" s="244">
        <f t="shared" si="12"/>
        <v>1891</v>
      </c>
      <c r="E42" s="52">
        <f t="shared" si="13"/>
        <v>2.002223516332257E-2</v>
      </c>
      <c r="F42" s="52"/>
      <c r="G42" s="52"/>
      <c r="H42" s="52"/>
      <c r="I42" s="52">
        <f t="shared" si="14"/>
        <v>2.002223516332257E-2</v>
      </c>
      <c r="J42" s="247"/>
    </row>
    <row r="43" spans="2:10" ht="20.100000000000001" customHeight="1">
      <c r="B43" s="243">
        <v>1993</v>
      </c>
      <c r="C43" s="244">
        <v>97799</v>
      </c>
      <c r="D43" s="244">
        <f t="shared" si="12"/>
        <v>1463</v>
      </c>
      <c r="E43" s="52">
        <f t="shared" si="13"/>
        <v>1.5186430825444278E-2</v>
      </c>
      <c r="F43" s="52"/>
      <c r="G43" s="52"/>
      <c r="H43" s="52"/>
      <c r="I43" s="52">
        <f t="shared" si="14"/>
        <v>1.5186430825444278E-2</v>
      </c>
      <c r="J43" s="247"/>
    </row>
    <row r="44" spans="2:10" ht="20.100000000000001" customHeight="1">
      <c r="B44" s="243">
        <v>1994</v>
      </c>
      <c r="C44" s="244">
        <v>99169</v>
      </c>
      <c r="D44" s="244">
        <f t="shared" si="12"/>
        <v>1370</v>
      </c>
      <c r="E44" s="52">
        <f t="shared" si="13"/>
        <v>1.4008323193488686E-2</v>
      </c>
      <c r="F44" s="52"/>
      <c r="G44" s="52"/>
      <c r="H44" s="52">
        <f>+E44</f>
        <v>1.4008323193488686E-2</v>
      </c>
      <c r="I44" s="52">
        <f t="shared" si="14"/>
        <v>1.4008323193488686E-2</v>
      </c>
      <c r="J44" s="247"/>
    </row>
    <row r="45" spans="2:10" ht="20.100000000000001" customHeight="1">
      <c r="B45" s="243">
        <v>1995</v>
      </c>
      <c r="C45" s="244">
        <v>100329</v>
      </c>
      <c r="D45" s="244">
        <f t="shared" si="12"/>
        <v>1160</v>
      </c>
      <c r="E45" s="52">
        <f t="shared" si="13"/>
        <v>1.1697203763272797E-2</v>
      </c>
      <c r="F45" s="52"/>
      <c r="G45" s="52"/>
      <c r="H45" s="52">
        <f t="shared" ref="H45:H57" si="15">+E45</f>
        <v>1.1697203763272797E-2</v>
      </c>
      <c r="I45" s="52">
        <f t="shared" si="14"/>
        <v>1.1697203763272797E-2</v>
      </c>
      <c r="J45" s="247"/>
    </row>
    <row r="46" spans="2:10" ht="20.100000000000001" customHeight="1">
      <c r="B46" s="243">
        <v>1996</v>
      </c>
      <c r="C46" s="244">
        <v>101985</v>
      </c>
      <c r="D46" s="244">
        <f t="shared" si="12"/>
        <v>1656</v>
      </c>
      <c r="E46" s="52">
        <f t="shared" si="13"/>
        <v>1.6505696259306882E-2</v>
      </c>
      <c r="F46" s="52"/>
      <c r="G46" s="52"/>
      <c r="H46" s="52">
        <f t="shared" si="15"/>
        <v>1.6505696259306882E-2</v>
      </c>
      <c r="I46" s="52">
        <f t="shared" si="14"/>
        <v>1.6505696259306882E-2</v>
      </c>
      <c r="J46" s="247"/>
    </row>
    <row r="47" spans="2:10" ht="20.100000000000001" customHeight="1">
      <c r="B47" s="243">
        <v>1997</v>
      </c>
      <c r="C47" s="244">
        <v>103201</v>
      </c>
      <c r="D47" s="244">
        <f t="shared" si="12"/>
        <v>1216</v>
      </c>
      <c r="E47" s="52">
        <f t="shared" si="13"/>
        <v>1.1923322057165269E-2</v>
      </c>
      <c r="F47" s="52"/>
      <c r="G47" s="52"/>
      <c r="H47" s="52">
        <f t="shared" si="15"/>
        <v>1.1923322057165269E-2</v>
      </c>
      <c r="I47" s="52">
        <f t="shared" si="14"/>
        <v>1.1923322057165269E-2</v>
      </c>
      <c r="J47" s="247"/>
    </row>
    <row r="48" spans="2:10" ht="20.100000000000001" customHeight="1">
      <c r="B48" s="243">
        <v>1998</v>
      </c>
      <c r="C48" s="244">
        <v>103551</v>
      </c>
      <c r="D48" s="244">
        <f t="shared" si="12"/>
        <v>350</v>
      </c>
      <c r="E48" s="52">
        <f t="shared" si="13"/>
        <v>3.3914400054263038E-3</v>
      </c>
      <c r="F48" s="52"/>
      <c r="G48" s="52"/>
      <c r="H48" s="52">
        <f t="shared" si="15"/>
        <v>3.3914400054263038E-3</v>
      </c>
      <c r="I48" s="52">
        <f t="shared" si="14"/>
        <v>3.3914400054263038E-3</v>
      </c>
      <c r="J48" s="247"/>
    </row>
    <row r="49" spans="2:10" ht="20.100000000000001" customHeight="1">
      <c r="B49" s="243">
        <v>1999</v>
      </c>
      <c r="C49" s="244">
        <v>103806</v>
      </c>
      <c r="D49" s="244">
        <f t="shared" si="12"/>
        <v>255</v>
      </c>
      <c r="E49" s="52">
        <f t="shared" si="13"/>
        <v>2.4625546831995829E-3</v>
      </c>
      <c r="F49" s="52"/>
      <c r="G49" s="52">
        <f>+E49</f>
        <v>2.4625546831995829E-3</v>
      </c>
      <c r="H49" s="52">
        <f t="shared" si="15"/>
        <v>2.4625546831995829E-3</v>
      </c>
      <c r="I49" s="52">
        <f t="shared" si="14"/>
        <v>2.4625546831995829E-3</v>
      </c>
      <c r="J49" s="247"/>
    </row>
    <row r="50" spans="2:10" ht="20.100000000000001" customHeight="1">
      <c r="B50" s="245">
        <v>2000</v>
      </c>
      <c r="C50" s="244">
        <v>104409</v>
      </c>
      <c r="D50" s="244">
        <f t="shared" si="12"/>
        <v>603</v>
      </c>
      <c r="E50" s="52">
        <f t="shared" si="13"/>
        <v>5.8089127796081153E-3</v>
      </c>
      <c r="F50" s="52"/>
      <c r="G50" s="52">
        <f>+E50</f>
        <v>5.8089127796081153E-3</v>
      </c>
      <c r="H50" s="52">
        <f t="shared" si="15"/>
        <v>5.8089127796081153E-3</v>
      </c>
      <c r="I50" s="52">
        <f t="shared" si="14"/>
        <v>5.8089127796081153E-3</v>
      </c>
      <c r="J50" s="247"/>
    </row>
    <row r="51" spans="2:10" ht="20.100000000000001" customHeight="1">
      <c r="B51" s="243">
        <v>2001</v>
      </c>
      <c r="C51" s="244">
        <v>103933</v>
      </c>
      <c r="D51" s="244">
        <f t="shared" si="12"/>
        <v>-476</v>
      </c>
      <c r="E51" s="52">
        <f t="shared" si="13"/>
        <v>-4.5589939564596926E-3</v>
      </c>
      <c r="F51" s="52"/>
      <c r="G51" s="52">
        <f t="shared" ref="G51:G57" si="16">+E51</f>
        <v>-4.5589939564596926E-3</v>
      </c>
      <c r="H51" s="52">
        <f t="shared" si="15"/>
        <v>-4.5589939564596926E-3</v>
      </c>
      <c r="I51" s="52">
        <f t="shared" si="14"/>
        <v>-4.5589939564596926E-3</v>
      </c>
      <c r="J51" s="247"/>
    </row>
    <row r="52" spans="2:10" ht="20.100000000000001" customHeight="1">
      <c r="B52" s="243">
        <v>2002</v>
      </c>
      <c r="C52" s="244">
        <v>103039</v>
      </c>
      <c r="D52" s="244">
        <f t="shared" si="12"/>
        <v>-894</v>
      </c>
      <c r="E52" s="52">
        <f t="shared" si="13"/>
        <v>-8.6016953229484383E-3</v>
      </c>
      <c r="F52" s="52"/>
      <c r="G52" s="52">
        <f t="shared" si="16"/>
        <v>-8.6016953229484383E-3</v>
      </c>
      <c r="H52" s="52">
        <f t="shared" si="15"/>
        <v>-8.6016953229484383E-3</v>
      </c>
      <c r="I52" s="52">
        <f t="shared" si="14"/>
        <v>-8.6016953229484383E-3</v>
      </c>
      <c r="J52" s="247"/>
    </row>
    <row r="53" spans="2:10" ht="20.100000000000001" customHeight="1">
      <c r="B53" s="243">
        <v>2003</v>
      </c>
      <c r="C53" s="244">
        <v>102032</v>
      </c>
      <c r="D53" s="244">
        <f t="shared" si="12"/>
        <v>-1007</v>
      </c>
      <c r="E53" s="52">
        <f t="shared" si="13"/>
        <v>-9.7729985733557203E-3</v>
      </c>
      <c r="F53" s="52">
        <f>+E53</f>
        <v>-9.7729985733557203E-3</v>
      </c>
      <c r="G53" s="52">
        <f t="shared" si="16"/>
        <v>-9.7729985733557203E-3</v>
      </c>
      <c r="H53" s="52">
        <f t="shared" si="15"/>
        <v>-9.7729985733557203E-3</v>
      </c>
      <c r="I53" s="52">
        <f t="shared" si="14"/>
        <v>-9.7729985733557203E-3</v>
      </c>
      <c r="J53" s="247"/>
    </row>
    <row r="54" spans="2:10" ht="20.100000000000001" customHeight="1">
      <c r="B54" s="243">
        <v>2004</v>
      </c>
      <c r="C54" s="244">
        <v>101048</v>
      </c>
      <c r="D54" s="244">
        <f t="shared" si="12"/>
        <v>-984</v>
      </c>
      <c r="E54" s="52">
        <f t="shared" si="13"/>
        <v>-9.6440332444723224E-3</v>
      </c>
      <c r="F54" s="52">
        <f>+E54</f>
        <v>-9.6440332444723224E-3</v>
      </c>
      <c r="G54" s="52">
        <f t="shared" si="16"/>
        <v>-9.6440332444723224E-3</v>
      </c>
      <c r="H54" s="52">
        <f t="shared" si="15"/>
        <v>-9.6440332444723224E-3</v>
      </c>
      <c r="I54" s="52">
        <f t="shared" si="14"/>
        <v>-9.6440332444723224E-3</v>
      </c>
      <c r="J54" s="247"/>
    </row>
    <row r="55" spans="2:10" ht="20.100000000000001" customHeight="1">
      <c r="B55" s="243">
        <v>2005</v>
      </c>
      <c r="C55" s="244">
        <v>99547</v>
      </c>
      <c r="D55" s="244">
        <f t="shared" si="12"/>
        <v>-1501</v>
      </c>
      <c r="E55" s="52">
        <f t="shared" si="13"/>
        <v>-1.4854326656638429E-2</v>
      </c>
      <c r="F55" s="52">
        <f>+E55</f>
        <v>-1.4854326656638429E-2</v>
      </c>
      <c r="G55" s="52">
        <f t="shared" si="16"/>
        <v>-1.4854326656638429E-2</v>
      </c>
      <c r="H55" s="52">
        <f t="shared" si="15"/>
        <v>-1.4854326656638429E-2</v>
      </c>
      <c r="I55" s="52">
        <f t="shared" si="14"/>
        <v>-1.4854326656638429E-2</v>
      </c>
      <c r="J55" s="247"/>
    </row>
    <row r="56" spans="2:10" ht="20.100000000000001" customHeight="1">
      <c r="B56" s="243">
        <v>2006</v>
      </c>
      <c r="C56" s="244">
        <v>97935</v>
      </c>
      <c r="D56" s="244">
        <f t="shared" si="12"/>
        <v>-1612</v>
      </c>
      <c r="E56" s="52">
        <f t="shared" si="13"/>
        <v>-1.6193355902237135E-2</v>
      </c>
      <c r="F56" s="52">
        <f>+E56</f>
        <v>-1.6193355902237135E-2</v>
      </c>
      <c r="G56" s="52">
        <f t="shared" si="16"/>
        <v>-1.6193355902237135E-2</v>
      </c>
      <c r="H56" s="52">
        <f t="shared" si="15"/>
        <v>-1.6193355902237135E-2</v>
      </c>
      <c r="I56" s="52">
        <f t="shared" si="14"/>
        <v>-1.6193355902237135E-2</v>
      </c>
      <c r="J56" s="247"/>
    </row>
    <row r="57" spans="2:10" ht="20.100000000000001" customHeight="1">
      <c r="B57" s="243">
        <v>2007</v>
      </c>
      <c r="C57" s="244">
        <v>97199</v>
      </c>
      <c r="D57" s="244">
        <f t="shared" si="12"/>
        <v>-736</v>
      </c>
      <c r="E57" s="52">
        <f t="shared" si="13"/>
        <v>-7.5151886455301986E-3</v>
      </c>
      <c r="F57" s="52">
        <f>+E57</f>
        <v>-7.5151886455301986E-3</v>
      </c>
      <c r="G57" s="52">
        <f t="shared" si="16"/>
        <v>-7.5151886455301986E-3</v>
      </c>
      <c r="H57" s="52">
        <f t="shared" si="15"/>
        <v>-7.5151886455301986E-3</v>
      </c>
      <c r="I57" s="52">
        <f t="shared" si="14"/>
        <v>-7.5151886455301986E-3</v>
      </c>
      <c r="J57" s="247"/>
    </row>
    <row r="58" spans="2:10" ht="20.100000000000001" customHeight="1">
      <c r="B58" s="243"/>
      <c r="C58" s="244"/>
      <c r="D58" s="244"/>
      <c r="E58" s="52"/>
      <c r="F58" s="52"/>
      <c r="G58" s="52"/>
      <c r="H58" s="52"/>
      <c r="I58" s="52"/>
      <c r="J58" s="247"/>
    </row>
    <row r="59" spans="2:10" ht="20.100000000000001" customHeight="1">
      <c r="B59" s="252" t="s">
        <v>226</v>
      </c>
      <c r="C59" s="253">
        <f>ROUND(SUM(C38:C58)/21,0)</f>
        <v>94678</v>
      </c>
      <c r="D59" s="253">
        <f>ROUND(SUM(D39:D57)/19,0)</f>
        <v>144</v>
      </c>
      <c r="E59" s="254">
        <f>+AVERAGE(E38:E57)</f>
        <v>1.7544275950248222E-3</v>
      </c>
      <c r="F59" s="254">
        <f>+ROUND(SUM(E53:E57)/5,4)</f>
        <v>-1.1599999999999999E-2</v>
      </c>
      <c r="G59" s="254">
        <f>ROUND(SUM(E48:E57)/10,4)</f>
        <v>-5.8999999999999999E-3</v>
      </c>
      <c r="H59" s="254">
        <f>ROUND(SUM(E43:E57)/15,4)</f>
        <v>6.9999999999999999E-4</v>
      </c>
      <c r="I59" s="254">
        <f>ROUND(SUM(E38:E57)/19,4)</f>
        <v>1.8E-3</v>
      </c>
      <c r="J59" s="281">
        <f>+AVERAGE(F59:I59)</f>
        <v>-3.7499999999999999E-3</v>
      </c>
    </row>
    <row r="60" spans="2:10" ht="20.100000000000001" customHeight="1">
      <c r="B60" s="240"/>
    </row>
    <row r="61" spans="2:10" ht="20.100000000000001" customHeight="1"/>
    <row r="62" spans="2:10" ht="20.100000000000001" customHeight="1"/>
    <row r="63" spans="2:10" ht="20.100000000000001" customHeight="1"/>
  </sheetData>
  <mergeCells count="16">
    <mergeCell ref="B36:B37"/>
    <mergeCell ref="C36:E36"/>
    <mergeCell ref="V4:W4"/>
    <mergeCell ref="A4:A5"/>
    <mergeCell ref="B4:C4"/>
    <mergeCell ref="T4:U4"/>
    <mergeCell ref="P4:Q4"/>
    <mergeCell ref="N4:O4"/>
    <mergeCell ref="H4:I4"/>
    <mergeCell ref="L4:M4"/>
    <mergeCell ref="J36:J37"/>
    <mergeCell ref="F36:I36"/>
    <mergeCell ref="D4:E4"/>
    <mergeCell ref="F4:G4"/>
    <mergeCell ref="R4:S4"/>
    <mergeCell ref="J4:K4"/>
  </mergeCells>
  <phoneticPr fontId="10" type="noConversion"/>
  <pageMargins left="0.47" right="0.47" top="1" bottom="1" header="0.5" footer="0.5"/>
  <pageSetup paperSize="9" scale="80" orientation="landscape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>
  <sheetPr codeName="Sheet39">
    <tabColor indexed="41"/>
  </sheetPr>
  <dimension ref="A1:AX248"/>
  <sheetViews>
    <sheetView workbookViewId="0"/>
  </sheetViews>
  <sheetFormatPr defaultRowHeight="15" customHeight="1"/>
  <cols>
    <col min="1" max="1" width="8.88671875" style="55"/>
    <col min="2" max="2" width="9.21875" style="55" customWidth="1"/>
    <col min="3" max="3" width="9.5546875" style="55" customWidth="1"/>
    <col min="4" max="4" width="9" style="55" customWidth="1"/>
    <col min="5" max="5" width="11.33203125" style="55" customWidth="1"/>
    <col min="6" max="6" width="9.44140625" style="55" customWidth="1"/>
    <col min="7" max="7" width="15.109375" style="55" bestFit="1" customWidth="1"/>
    <col min="8" max="8" width="12.88671875" style="55" bestFit="1" customWidth="1"/>
    <col min="9" max="9" width="11.5546875" style="55" bestFit="1" customWidth="1"/>
    <col min="10" max="16384" width="8.88671875" style="55"/>
  </cols>
  <sheetData>
    <row r="1" spans="1:12" ht="15" customHeight="1">
      <c r="A1" s="54" t="s">
        <v>111</v>
      </c>
    </row>
    <row r="2" spans="1:12" ht="15" customHeight="1">
      <c r="A2" s="54"/>
    </row>
    <row r="3" spans="1:12" ht="15" customHeight="1">
      <c r="A3" s="56" t="s">
        <v>74</v>
      </c>
      <c r="B3" s="57"/>
    </row>
    <row r="4" spans="1:12" ht="15" customHeight="1">
      <c r="A4" s="58" t="s">
        <v>32</v>
      </c>
      <c r="B4" s="59" t="s">
        <v>40</v>
      </c>
      <c r="C4" s="59" t="s">
        <v>33</v>
      </c>
      <c r="D4" s="60"/>
      <c r="E4" s="60"/>
      <c r="F4" s="61"/>
      <c r="G4" s="62"/>
      <c r="H4" s="63" t="s">
        <v>104</v>
      </c>
      <c r="I4" s="64">
        <f>RSQ(I5:I24,B5:B24)</f>
        <v>4.2548627237992083E-2</v>
      </c>
    </row>
    <row r="5" spans="1:12" ht="15" customHeight="1">
      <c r="A5" s="65">
        <f>과거인구현황!A6</f>
        <v>1988</v>
      </c>
      <c r="B5" s="66">
        <f>+VLOOKUP(A5,과거인구현황!$A$6:$W$26,10,FALSE)</f>
        <v>6964</v>
      </c>
      <c r="C5" s="67">
        <v>0</v>
      </c>
      <c r="D5" s="53" t="s">
        <v>75</v>
      </c>
      <c r="E5" s="68">
        <f>(B24-B5)/C24</f>
        <v>33.94736842105263</v>
      </c>
      <c r="F5" s="69"/>
      <c r="G5" s="53"/>
      <c r="H5" s="69"/>
      <c r="I5" s="70">
        <f t="shared" ref="I5:I42" si="0">$E$5*C5+$E$6</f>
        <v>6964</v>
      </c>
      <c r="J5" s="71">
        <v>570570</v>
      </c>
      <c r="K5" s="55">
        <v>570570</v>
      </c>
      <c r="L5" s="55">
        <v>766</v>
      </c>
    </row>
    <row r="6" spans="1:12" ht="15" customHeight="1">
      <c r="A6" s="65">
        <f>과거인구현황!A7</f>
        <v>1989</v>
      </c>
      <c r="B6" s="66">
        <f>+VLOOKUP(A6,과거인구현황!$A$6:$W$26,10,FALSE)</f>
        <v>7042</v>
      </c>
      <c r="C6" s="67">
        <f t="shared" ref="C6:C42" si="1">C5+1</f>
        <v>1</v>
      </c>
      <c r="D6" s="53" t="s">
        <v>76</v>
      </c>
      <c r="E6" s="72">
        <f>B5</f>
        <v>6964</v>
      </c>
      <c r="F6" s="69"/>
      <c r="G6" s="53"/>
      <c r="H6" s="69"/>
      <c r="I6" s="70">
        <f t="shared" si="0"/>
        <v>6997.9473684210525</v>
      </c>
      <c r="J6" s="71">
        <v>583230</v>
      </c>
      <c r="K6" s="55">
        <v>583230</v>
      </c>
      <c r="L6" s="55">
        <v>1094</v>
      </c>
    </row>
    <row r="7" spans="1:12" ht="15" customHeight="1">
      <c r="A7" s="65">
        <f>과거인구현황!A8</f>
        <v>1990</v>
      </c>
      <c r="B7" s="66">
        <f>+VLOOKUP(A7,과거인구현황!$A$6:$W$26,10,FALSE)</f>
        <v>7161</v>
      </c>
      <c r="C7" s="67">
        <f t="shared" si="1"/>
        <v>2</v>
      </c>
      <c r="D7" s="53" t="s">
        <v>77</v>
      </c>
      <c r="E7" s="73">
        <f>I4</f>
        <v>4.2548627237992083E-2</v>
      </c>
      <c r="F7" s="69"/>
      <c r="G7" s="53"/>
      <c r="H7" s="69"/>
      <c r="I7" s="70">
        <f t="shared" si="0"/>
        <v>7031.894736842105</v>
      </c>
      <c r="J7" s="71">
        <v>590162</v>
      </c>
      <c r="K7" s="55">
        <v>590162</v>
      </c>
      <c r="L7" s="55">
        <v>1277</v>
      </c>
    </row>
    <row r="8" spans="1:12" ht="15" customHeight="1">
      <c r="A8" s="65">
        <f>과거인구현황!A9</f>
        <v>1991</v>
      </c>
      <c r="B8" s="66">
        <f>+VLOOKUP(A8,과거인구현황!$A$6:$W$26,10,FALSE)</f>
        <v>7805</v>
      </c>
      <c r="C8" s="67">
        <f t="shared" si="1"/>
        <v>3</v>
      </c>
      <c r="D8" s="53"/>
      <c r="E8" s="53"/>
      <c r="F8" s="69"/>
      <c r="G8" s="53"/>
      <c r="H8" s="69"/>
      <c r="I8" s="70">
        <f t="shared" si="0"/>
        <v>7065.8421052631575</v>
      </c>
      <c r="J8" s="71">
        <v>600343</v>
      </c>
      <c r="K8" s="55">
        <v>600343</v>
      </c>
      <c r="L8" s="55">
        <v>1147</v>
      </c>
    </row>
    <row r="9" spans="1:12" ht="15" customHeight="1">
      <c r="A9" s="65">
        <f>과거인구현황!A10</f>
        <v>1992</v>
      </c>
      <c r="B9" s="66">
        <f>+VLOOKUP(A9,과거인구현황!$A$6:$W$26,10,FALSE)</f>
        <v>8124</v>
      </c>
      <c r="C9" s="67">
        <f t="shared" si="1"/>
        <v>4</v>
      </c>
      <c r="D9" s="53"/>
      <c r="E9" s="53"/>
      <c r="F9" s="69"/>
      <c r="G9" s="53"/>
      <c r="H9" s="69"/>
      <c r="I9" s="70">
        <f t="shared" si="0"/>
        <v>7099.7894736842109</v>
      </c>
      <c r="J9" s="71">
        <v>611921</v>
      </c>
      <c r="K9" s="55">
        <v>611921</v>
      </c>
      <c r="L9" s="55">
        <v>1355</v>
      </c>
    </row>
    <row r="10" spans="1:12" ht="15" customHeight="1">
      <c r="A10" s="65">
        <f>과거인구현황!A11</f>
        <v>1993</v>
      </c>
      <c r="B10" s="66">
        <f>+VLOOKUP(A10,과거인구현황!$A$6:$W$26,10,FALSE)</f>
        <v>8360</v>
      </c>
      <c r="C10" s="67">
        <f t="shared" si="1"/>
        <v>5</v>
      </c>
      <c r="D10" s="53"/>
      <c r="E10" s="53"/>
      <c r="F10" s="69"/>
      <c r="G10" s="53"/>
      <c r="H10" s="69"/>
      <c r="I10" s="70">
        <f t="shared" si="0"/>
        <v>7133.7368421052633</v>
      </c>
      <c r="J10" s="74">
        <v>622238</v>
      </c>
      <c r="K10" s="55">
        <v>622238</v>
      </c>
      <c r="L10" s="55">
        <v>1717</v>
      </c>
    </row>
    <row r="11" spans="1:12" ht="15" customHeight="1">
      <c r="A11" s="65">
        <f>과거인구현황!A12</f>
        <v>1994</v>
      </c>
      <c r="B11" s="66">
        <f>+VLOOKUP(A11,과거인구현황!$A$6:$W$26,10,FALSE)</f>
        <v>8694</v>
      </c>
      <c r="C11" s="67">
        <f t="shared" si="1"/>
        <v>6</v>
      </c>
      <c r="D11" s="53" t="s">
        <v>73</v>
      </c>
      <c r="E11" s="53"/>
      <c r="F11" s="69"/>
      <c r="G11" s="53"/>
      <c r="H11" s="69"/>
      <c r="I11" s="70">
        <f t="shared" si="0"/>
        <v>7167.6842105263158</v>
      </c>
      <c r="J11" s="74">
        <v>623897</v>
      </c>
      <c r="K11" s="55">
        <v>623897</v>
      </c>
      <c r="L11" s="55">
        <v>1614</v>
      </c>
    </row>
    <row r="12" spans="1:12" ht="15" customHeight="1">
      <c r="A12" s="65">
        <f>과거인구현황!A13</f>
        <v>1995</v>
      </c>
      <c r="B12" s="66">
        <f>+VLOOKUP(A12,과거인구현황!$A$6:$W$26,10,FALSE)</f>
        <v>9120</v>
      </c>
      <c r="C12" s="67">
        <f t="shared" si="1"/>
        <v>7</v>
      </c>
      <c r="D12" s="53"/>
      <c r="E12" s="53"/>
      <c r="F12" s="69"/>
      <c r="G12" s="53"/>
      <c r="H12" s="69"/>
      <c r="I12" s="70">
        <f t="shared" si="0"/>
        <v>7201.6315789473683</v>
      </c>
      <c r="J12" s="74">
        <v>626069</v>
      </c>
      <c r="K12" s="55">
        <v>626069</v>
      </c>
      <c r="L12" s="55">
        <v>1584</v>
      </c>
    </row>
    <row r="13" spans="1:12" ht="15" customHeight="1">
      <c r="A13" s="65">
        <f>과거인구현황!A14</f>
        <v>1996</v>
      </c>
      <c r="B13" s="66">
        <f>+VLOOKUP(A13,과거인구현황!$A$6:$W$26,10,FALSE)</f>
        <v>9371</v>
      </c>
      <c r="C13" s="67">
        <f t="shared" si="1"/>
        <v>8</v>
      </c>
      <c r="D13" s="53"/>
      <c r="E13" s="53"/>
      <c r="F13" s="69"/>
      <c r="G13" s="53"/>
      <c r="H13" s="69"/>
      <c r="I13" s="70">
        <f t="shared" si="0"/>
        <v>7235.5789473684208</v>
      </c>
      <c r="J13" s="74">
        <v>618816</v>
      </c>
      <c r="K13" s="55">
        <v>620374</v>
      </c>
      <c r="L13" s="75">
        <v>1555</v>
      </c>
    </row>
    <row r="14" spans="1:12" ht="15" customHeight="1">
      <c r="A14" s="65">
        <f>과거인구현황!A15</f>
        <v>1997</v>
      </c>
      <c r="B14" s="66">
        <f>+VLOOKUP(A14,과거인구현황!$A$6:$W$26,10,FALSE)</f>
        <v>9504</v>
      </c>
      <c r="C14" s="67">
        <f t="shared" si="1"/>
        <v>9</v>
      </c>
      <c r="D14" s="53"/>
      <c r="E14" s="53"/>
      <c r="F14" s="69"/>
      <c r="G14" s="53"/>
      <c r="H14" s="69"/>
      <c r="I14" s="70">
        <f t="shared" si="0"/>
        <v>7269.5263157894733</v>
      </c>
      <c r="J14" s="74">
        <v>622472</v>
      </c>
      <c r="K14" s="55">
        <v>624260</v>
      </c>
      <c r="L14" s="75">
        <v>1788</v>
      </c>
    </row>
    <row r="15" spans="1:12" ht="15" customHeight="1">
      <c r="A15" s="65">
        <f>과거인구현황!A16</f>
        <v>1998</v>
      </c>
      <c r="B15" s="66">
        <f>+VLOOKUP(A15,과거인구현황!$A$6:$W$26,10,FALSE)</f>
        <v>9329</v>
      </c>
      <c r="C15" s="67">
        <f t="shared" si="1"/>
        <v>10</v>
      </c>
      <c r="D15" s="53"/>
      <c r="E15" s="53"/>
      <c r="F15" s="69"/>
      <c r="G15" s="53"/>
      <c r="H15" s="69"/>
      <c r="I15" s="70">
        <f t="shared" si="0"/>
        <v>7303.4736842105267</v>
      </c>
      <c r="K15" s="55">
        <v>623804</v>
      </c>
      <c r="L15" s="75">
        <f>+J15-K15</f>
        <v>-623804</v>
      </c>
    </row>
    <row r="16" spans="1:12" ht="15" customHeight="1">
      <c r="A16" s="65">
        <f>과거인구현황!A17</f>
        <v>1999</v>
      </c>
      <c r="B16" s="66">
        <f>+VLOOKUP(A16,과거인구현황!$A$6:$W$26,10,FALSE)</f>
        <v>9142</v>
      </c>
      <c r="C16" s="67">
        <f t="shared" si="1"/>
        <v>11</v>
      </c>
      <c r="D16" s="53"/>
      <c r="E16" s="53"/>
      <c r="F16" s="69"/>
      <c r="G16" s="53"/>
      <c r="H16" s="69"/>
      <c r="I16" s="70">
        <f t="shared" si="0"/>
        <v>7337.4210526315792</v>
      </c>
      <c r="L16" s="75"/>
    </row>
    <row r="17" spans="1:12" ht="15" customHeight="1">
      <c r="A17" s="65">
        <f>과거인구현황!A18</f>
        <v>2000</v>
      </c>
      <c r="B17" s="66">
        <f>+VLOOKUP(A17,과거인구현황!$A$6:$W$26,10,FALSE)</f>
        <v>8940</v>
      </c>
      <c r="C17" s="67">
        <f t="shared" si="1"/>
        <v>12</v>
      </c>
      <c r="D17" s="53"/>
      <c r="E17" s="53"/>
      <c r="F17" s="69"/>
      <c r="G17" s="53"/>
      <c r="H17" s="69"/>
      <c r="I17" s="70">
        <f t="shared" si="0"/>
        <v>7371.3684210526317</v>
      </c>
      <c r="L17" s="75"/>
    </row>
    <row r="18" spans="1:12" ht="15" customHeight="1">
      <c r="A18" s="65">
        <f>과거인구현황!A19</f>
        <v>2001</v>
      </c>
      <c r="B18" s="66">
        <f>+VLOOKUP(A18,과거인구현황!$A$6:$W$26,10,FALSE)</f>
        <v>8630</v>
      </c>
      <c r="C18" s="67">
        <f t="shared" si="1"/>
        <v>13</v>
      </c>
      <c r="D18" s="53"/>
      <c r="E18" s="53"/>
      <c r="F18" s="69"/>
      <c r="G18" s="53"/>
      <c r="H18" s="69"/>
      <c r="I18" s="70">
        <f t="shared" si="0"/>
        <v>7405.3157894736842</v>
      </c>
      <c r="L18" s="75"/>
    </row>
    <row r="19" spans="1:12" ht="15" customHeight="1">
      <c r="A19" s="65">
        <f>과거인구현황!A20</f>
        <v>2002</v>
      </c>
      <c r="B19" s="66">
        <f>+VLOOKUP(A19,과거인구현황!$A$6:$W$26,10,FALSE)</f>
        <v>8501</v>
      </c>
      <c r="C19" s="67">
        <f t="shared" si="1"/>
        <v>14</v>
      </c>
      <c r="D19" s="53"/>
      <c r="E19" s="53"/>
      <c r="F19" s="69"/>
      <c r="G19" s="53"/>
      <c r="H19" s="69"/>
      <c r="I19" s="70">
        <f t="shared" si="0"/>
        <v>7439.2631578947367</v>
      </c>
      <c r="L19" s="75"/>
    </row>
    <row r="20" spans="1:12" ht="15" customHeight="1">
      <c r="A20" s="65">
        <f>과거인구현황!A21</f>
        <v>2003</v>
      </c>
      <c r="B20" s="66">
        <f>+VLOOKUP(A20,과거인구현황!$A$6:$W$26,10,FALSE)</f>
        <v>8223</v>
      </c>
      <c r="C20" s="67">
        <f t="shared" si="1"/>
        <v>15</v>
      </c>
      <c r="D20" s="53"/>
      <c r="E20" s="53"/>
      <c r="F20" s="69"/>
      <c r="G20" s="53"/>
      <c r="H20" s="69"/>
      <c r="I20" s="70">
        <f t="shared" si="0"/>
        <v>7473.2105263157891</v>
      </c>
      <c r="L20" s="75"/>
    </row>
    <row r="21" spans="1:12" ht="15" customHeight="1">
      <c r="A21" s="65">
        <f>과거인구현황!A22</f>
        <v>2004</v>
      </c>
      <c r="B21" s="66">
        <f>+VLOOKUP(A21,과거인구현황!$A$6:$W$26,10,FALSE)</f>
        <v>8067</v>
      </c>
      <c r="C21" s="67">
        <f t="shared" si="1"/>
        <v>16</v>
      </c>
      <c r="D21" s="53"/>
      <c r="E21" s="53"/>
      <c r="F21" s="69"/>
      <c r="G21" s="53"/>
      <c r="H21" s="69"/>
      <c r="I21" s="70">
        <f t="shared" si="0"/>
        <v>7507.1578947368416</v>
      </c>
      <c r="L21" s="75"/>
    </row>
    <row r="22" spans="1:12" ht="15" customHeight="1">
      <c r="A22" s="65">
        <f>과거인구현황!A23</f>
        <v>2005</v>
      </c>
      <c r="B22" s="66">
        <f>+VLOOKUP(A22,과거인구현황!$A$6:$W$26,10,FALSE)</f>
        <v>7803</v>
      </c>
      <c r="C22" s="67">
        <f t="shared" si="1"/>
        <v>17</v>
      </c>
      <c r="D22" s="53"/>
      <c r="E22" s="53"/>
      <c r="F22" s="69"/>
      <c r="G22" s="53"/>
      <c r="H22" s="69"/>
      <c r="I22" s="70">
        <f t="shared" si="0"/>
        <v>7541.105263157895</v>
      </c>
      <c r="L22" s="75"/>
    </row>
    <row r="23" spans="1:12" ht="15" customHeight="1">
      <c r="A23" s="65">
        <f>과거인구현황!A24</f>
        <v>2006</v>
      </c>
      <c r="B23" s="66">
        <f>+VLOOKUP(A23,과거인구현황!$A$6:$W$26,10,FALSE)</f>
        <v>7699</v>
      </c>
      <c r="C23" s="67">
        <f t="shared" si="1"/>
        <v>18</v>
      </c>
      <c r="D23" s="53"/>
      <c r="E23" s="53"/>
      <c r="F23" s="69"/>
      <c r="G23" s="53"/>
      <c r="H23" s="69"/>
      <c r="I23" s="70">
        <f t="shared" si="0"/>
        <v>7575.0526315789475</v>
      </c>
      <c r="L23" s="75"/>
    </row>
    <row r="24" spans="1:12" ht="15" customHeight="1" thickBot="1">
      <c r="A24" s="97">
        <f>과거인구현황!A25</f>
        <v>2007</v>
      </c>
      <c r="B24" s="185">
        <f>+VLOOKUP(A24,과거인구현황!$A$6:$W$26,10,FALSE)</f>
        <v>7609</v>
      </c>
      <c r="C24" s="99">
        <f t="shared" si="1"/>
        <v>19</v>
      </c>
      <c r="D24" s="101"/>
      <c r="E24" s="101"/>
      <c r="F24" s="100"/>
      <c r="G24" s="101"/>
      <c r="H24" s="100"/>
      <c r="I24" s="102">
        <f t="shared" si="0"/>
        <v>7609</v>
      </c>
      <c r="L24" s="75"/>
    </row>
    <row r="25" spans="1:12" ht="15" customHeight="1" thickTop="1">
      <c r="A25" s="255">
        <v>2008</v>
      </c>
      <c r="B25" s="81">
        <f t="shared" ref="B25:B42" si="2">ROUND($E$5*C25+$E$6,0)</f>
        <v>7643</v>
      </c>
      <c r="C25" s="77">
        <f t="shared" si="1"/>
        <v>20</v>
      </c>
      <c r="D25" s="256"/>
      <c r="E25" s="256"/>
      <c r="F25" s="78"/>
      <c r="G25" s="256"/>
      <c r="H25" s="78"/>
      <c r="I25" s="79">
        <f t="shared" si="0"/>
        <v>7642.9473684210525</v>
      </c>
      <c r="L25" s="75"/>
    </row>
    <row r="26" spans="1:12" ht="15" customHeight="1">
      <c r="A26" s="80">
        <v>2009</v>
      </c>
      <c r="B26" s="81">
        <f t="shared" si="2"/>
        <v>7677</v>
      </c>
      <c r="C26" s="67">
        <f>C25+1</f>
        <v>21</v>
      </c>
      <c r="D26" s="69"/>
      <c r="E26" s="69"/>
      <c r="F26" s="69"/>
      <c r="G26" s="69"/>
      <c r="H26" s="69"/>
      <c r="I26" s="70">
        <f t="shared" si="0"/>
        <v>7676.894736842105</v>
      </c>
    </row>
    <row r="27" spans="1:12" ht="15" customHeight="1">
      <c r="A27" s="80">
        <v>2010</v>
      </c>
      <c r="B27" s="81">
        <f t="shared" si="2"/>
        <v>7711</v>
      </c>
      <c r="C27" s="82">
        <f t="shared" si="1"/>
        <v>22</v>
      </c>
      <c r="D27" s="69"/>
      <c r="E27" s="69"/>
      <c r="F27" s="69"/>
      <c r="G27" s="69"/>
      <c r="H27" s="69"/>
      <c r="I27" s="70">
        <f t="shared" si="0"/>
        <v>7710.8421052631584</v>
      </c>
    </row>
    <row r="28" spans="1:12" ht="15" customHeight="1">
      <c r="A28" s="80">
        <v>2011</v>
      </c>
      <c r="B28" s="81">
        <f t="shared" si="2"/>
        <v>7745</v>
      </c>
      <c r="C28" s="82">
        <f t="shared" si="1"/>
        <v>23</v>
      </c>
      <c r="D28" s="69"/>
      <c r="E28" s="69"/>
      <c r="F28" s="69"/>
      <c r="G28" s="69"/>
      <c r="H28" s="69"/>
      <c r="I28" s="70">
        <f t="shared" si="0"/>
        <v>7744.7894736842109</v>
      </c>
    </row>
    <row r="29" spans="1:12" ht="15" customHeight="1">
      <c r="A29" s="80">
        <v>2012</v>
      </c>
      <c r="B29" s="81">
        <f t="shared" si="2"/>
        <v>7779</v>
      </c>
      <c r="C29" s="82">
        <f t="shared" si="1"/>
        <v>24</v>
      </c>
      <c r="D29" s="69"/>
      <c r="E29" s="69"/>
      <c r="F29" s="69"/>
      <c r="G29" s="69"/>
      <c r="H29" s="69"/>
      <c r="I29" s="70">
        <f t="shared" si="0"/>
        <v>7778.7368421052633</v>
      </c>
    </row>
    <row r="30" spans="1:12" ht="15" customHeight="1">
      <c r="A30" s="80">
        <v>2013</v>
      </c>
      <c r="B30" s="81">
        <f t="shared" si="2"/>
        <v>7813</v>
      </c>
      <c r="C30" s="82">
        <f t="shared" si="1"/>
        <v>25</v>
      </c>
      <c r="D30" s="69"/>
      <c r="E30" s="69"/>
      <c r="F30" s="69"/>
      <c r="G30" s="69"/>
      <c r="H30" s="69"/>
      <c r="I30" s="70">
        <f t="shared" si="0"/>
        <v>7812.6842105263158</v>
      </c>
    </row>
    <row r="31" spans="1:12" ht="15" customHeight="1">
      <c r="A31" s="80">
        <v>2014</v>
      </c>
      <c r="B31" s="81">
        <f t="shared" si="2"/>
        <v>7847</v>
      </c>
      <c r="C31" s="82">
        <f t="shared" si="1"/>
        <v>26</v>
      </c>
      <c r="D31" s="69"/>
      <c r="E31" s="69"/>
      <c r="F31" s="69"/>
      <c r="G31" s="69"/>
      <c r="H31" s="69"/>
      <c r="I31" s="70">
        <f t="shared" si="0"/>
        <v>7846.6315789473683</v>
      </c>
    </row>
    <row r="32" spans="1:12" ht="15" customHeight="1">
      <c r="A32" s="80">
        <v>2015</v>
      </c>
      <c r="B32" s="81">
        <f t="shared" si="2"/>
        <v>7881</v>
      </c>
      <c r="C32" s="82">
        <f t="shared" si="1"/>
        <v>27</v>
      </c>
      <c r="D32" s="69"/>
      <c r="E32" s="69"/>
      <c r="F32" s="69"/>
      <c r="G32" s="69"/>
      <c r="H32" s="69"/>
      <c r="I32" s="70">
        <f t="shared" si="0"/>
        <v>7880.5789473684208</v>
      </c>
    </row>
    <row r="33" spans="1:9" ht="15" customHeight="1">
      <c r="A33" s="80">
        <v>2016</v>
      </c>
      <c r="B33" s="81">
        <f t="shared" si="2"/>
        <v>7915</v>
      </c>
      <c r="C33" s="82">
        <f t="shared" si="1"/>
        <v>28</v>
      </c>
      <c r="D33" s="69"/>
      <c r="E33" s="69"/>
      <c r="F33" s="69"/>
      <c r="G33" s="69"/>
      <c r="H33" s="69"/>
      <c r="I33" s="70">
        <f t="shared" si="0"/>
        <v>7914.5263157894733</v>
      </c>
    </row>
    <row r="34" spans="1:9" ht="15" customHeight="1">
      <c r="A34" s="80">
        <v>2017</v>
      </c>
      <c r="B34" s="81">
        <f t="shared" si="2"/>
        <v>7948</v>
      </c>
      <c r="C34" s="82">
        <f t="shared" si="1"/>
        <v>29</v>
      </c>
      <c r="D34" s="69"/>
      <c r="E34" s="69"/>
      <c r="F34" s="69"/>
      <c r="G34" s="69"/>
      <c r="H34" s="69"/>
      <c r="I34" s="70">
        <f t="shared" si="0"/>
        <v>7948.4736842105267</v>
      </c>
    </row>
    <row r="35" spans="1:9" ht="15" customHeight="1">
      <c r="A35" s="80">
        <v>2018</v>
      </c>
      <c r="B35" s="81">
        <f t="shared" si="2"/>
        <v>7982</v>
      </c>
      <c r="C35" s="82">
        <f t="shared" si="1"/>
        <v>30</v>
      </c>
      <c r="D35" s="69"/>
      <c r="E35" s="69"/>
      <c r="F35" s="69"/>
      <c r="G35" s="69"/>
      <c r="H35" s="69"/>
      <c r="I35" s="70">
        <f t="shared" si="0"/>
        <v>7982.4210526315792</v>
      </c>
    </row>
    <row r="36" spans="1:9" ht="15" customHeight="1">
      <c r="A36" s="80">
        <v>2019</v>
      </c>
      <c r="B36" s="81">
        <f t="shared" si="2"/>
        <v>8016</v>
      </c>
      <c r="C36" s="82">
        <f t="shared" si="1"/>
        <v>31</v>
      </c>
      <c r="D36" s="69"/>
      <c r="E36" s="69"/>
      <c r="F36" s="69"/>
      <c r="G36" s="69"/>
      <c r="H36" s="69"/>
      <c r="I36" s="70">
        <f t="shared" si="0"/>
        <v>8016.3684210526317</v>
      </c>
    </row>
    <row r="37" spans="1:9" ht="15" customHeight="1">
      <c r="A37" s="80">
        <v>2020</v>
      </c>
      <c r="B37" s="81">
        <f t="shared" si="2"/>
        <v>8050</v>
      </c>
      <c r="C37" s="82">
        <f t="shared" si="1"/>
        <v>32</v>
      </c>
      <c r="D37" s="69"/>
      <c r="E37" s="69"/>
      <c r="F37" s="69"/>
      <c r="G37" s="69"/>
      <c r="H37" s="69"/>
      <c r="I37" s="70">
        <f t="shared" si="0"/>
        <v>8050.3157894736842</v>
      </c>
    </row>
    <row r="38" spans="1:9" ht="15" customHeight="1">
      <c r="A38" s="80">
        <v>2021</v>
      </c>
      <c r="B38" s="81">
        <f t="shared" si="2"/>
        <v>8084</v>
      </c>
      <c r="C38" s="82">
        <f t="shared" si="1"/>
        <v>33</v>
      </c>
      <c r="D38" s="69"/>
      <c r="E38" s="69"/>
      <c r="F38" s="69"/>
      <c r="G38" s="69"/>
      <c r="H38" s="69"/>
      <c r="I38" s="70">
        <f t="shared" si="0"/>
        <v>8084.2631578947367</v>
      </c>
    </row>
    <row r="39" spans="1:9" ht="15" customHeight="1">
      <c r="A39" s="80">
        <v>2022</v>
      </c>
      <c r="B39" s="81">
        <f t="shared" si="2"/>
        <v>8118</v>
      </c>
      <c r="C39" s="82">
        <f t="shared" si="1"/>
        <v>34</v>
      </c>
      <c r="D39" s="69"/>
      <c r="E39" s="69"/>
      <c r="F39" s="69"/>
      <c r="G39" s="69"/>
      <c r="H39" s="69"/>
      <c r="I39" s="70">
        <f t="shared" si="0"/>
        <v>8118.2105263157891</v>
      </c>
    </row>
    <row r="40" spans="1:9" ht="15" customHeight="1">
      <c r="A40" s="80">
        <v>2023</v>
      </c>
      <c r="B40" s="81">
        <f t="shared" si="2"/>
        <v>8152</v>
      </c>
      <c r="C40" s="82">
        <f t="shared" si="1"/>
        <v>35</v>
      </c>
      <c r="D40" s="69"/>
      <c r="E40" s="69"/>
      <c r="F40" s="69"/>
      <c r="G40" s="69"/>
      <c r="H40" s="69"/>
      <c r="I40" s="70">
        <f t="shared" si="0"/>
        <v>8152.1578947368416</v>
      </c>
    </row>
    <row r="41" spans="1:9" ht="15" customHeight="1">
      <c r="A41" s="80">
        <v>2024</v>
      </c>
      <c r="B41" s="81">
        <f t="shared" si="2"/>
        <v>8186</v>
      </c>
      <c r="C41" s="67">
        <f t="shared" si="1"/>
        <v>36</v>
      </c>
      <c r="D41" s="83"/>
      <c r="E41" s="69"/>
      <c r="F41" s="69"/>
      <c r="G41" s="69"/>
      <c r="H41" s="84"/>
      <c r="I41" s="70">
        <f t="shared" si="0"/>
        <v>8186.105263157895</v>
      </c>
    </row>
    <row r="42" spans="1:9" ht="15" customHeight="1">
      <c r="A42" s="85">
        <v>2025</v>
      </c>
      <c r="B42" s="86">
        <f t="shared" si="2"/>
        <v>8220</v>
      </c>
      <c r="C42" s="87">
        <f t="shared" si="1"/>
        <v>37</v>
      </c>
      <c r="D42" s="88"/>
      <c r="E42" s="89"/>
      <c r="F42" s="89"/>
      <c r="G42" s="89"/>
      <c r="H42" s="90"/>
      <c r="I42" s="91">
        <f t="shared" si="0"/>
        <v>8220.0526315789466</v>
      </c>
    </row>
    <row r="43" spans="1:9" ht="15" customHeight="1">
      <c r="A43" s="56" t="s">
        <v>78</v>
      </c>
      <c r="B43" s="92"/>
      <c r="I43" s="89"/>
    </row>
    <row r="44" spans="1:9" ht="15" customHeight="1">
      <c r="A44" s="58" t="s">
        <v>32</v>
      </c>
      <c r="B44" s="59" t="s">
        <v>40</v>
      </c>
      <c r="C44" s="59" t="s">
        <v>33</v>
      </c>
      <c r="D44" s="60"/>
      <c r="E44" s="60"/>
      <c r="F44" s="61"/>
      <c r="G44" s="62"/>
      <c r="H44" s="63" t="s">
        <v>104</v>
      </c>
      <c r="I44" s="64">
        <f>RSQ(I45:I65,B45:B65)</f>
        <v>4.8920025866413246E-2</v>
      </c>
    </row>
    <row r="45" spans="1:9" ht="15" customHeight="1">
      <c r="A45" s="65">
        <f t="shared" ref="A45:B60" si="3">A5</f>
        <v>1988</v>
      </c>
      <c r="B45" s="93">
        <f t="shared" si="3"/>
        <v>6964</v>
      </c>
      <c r="C45" s="67">
        <v>0</v>
      </c>
      <c r="D45" s="53" t="s">
        <v>75</v>
      </c>
      <c r="E45" s="68">
        <f>INDEX(LINEST(B45:B64,C45:C64),1)</f>
        <v>27.524812030075196</v>
      </c>
      <c r="F45" s="69"/>
      <c r="G45" s="53"/>
      <c r="H45" s="69"/>
      <c r="I45" s="94">
        <f t="shared" ref="I45:I82" si="4">$E$45*C45+$E$46</f>
        <v>8042.9142857142851</v>
      </c>
    </row>
    <row r="46" spans="1:9" ht="15" customHeight="1">
      <c r="A46" s="65">
        <f t="shared" si="3"/>
        <v>1989</v>
      </c>
      <c r="B46" s="93">
        <f t="shared" si="3"/>
        <v>7042</v>
      </c>
      <c r="C46" s="67">
        <f t="shared" ref="C46:C82" si="5">C45+1</f>
        <v>1</v>
      </c>
      <c r="D46" s="53" t="s">
        <v>76</v>
      </c>
      <c r="E46" s="72">
        <f>INDEX(LINEST(B45:B64,C45:C64),2)</f>
        <v>8042.9142857142851</v>
      </c>
      <c r="F46" s="69"/>
      <c r="G46" s="53"/>
      <c r="H46" s="69"/>
      <c r="I46" s="70">
        <f t="shared" si="4"/>
        <v>8070.43909774436</v>
      </c>
    </row>
    <row r="47" spans="1:9" ht="15" customHeight="1">
      <c r="A47" s="65">
        <f t="shared" si="3"/>
        <v>1990</v>
      </c>
      <c r="B47" s="93">
        <f t="shared" si="3"/>
        <v>7161</v>
      </c>
      <c r="C47" s="67">
        <f t="shared" si="5"/>
        <v>2</v>
      </c>
      <c r="D47" s="53" t="s">
        <v>77</v>
      </c>
      <c r="E47" s="73">
        <f>I44</f>
        <v>4.8920025866413246E-2</v>
      </c>
      <c r="F47" s="69"/>
      <c r="G47" s="53"/>
      <c r="H47" s="69"/>
      <c r="I47" s="70">
        <f t="shared" si="4"/>
        <v>8097.9639097744357</v>
      </c>
    </row>
    <row r="48" spans="1:9" ht="15" customHeight="1">
      <c r="A48" s="65">
        <f t="shared" si="3"/>
        <v>1991</v>
      </c>
      <c r="B48" s="93">
        <f t="shared" si="3"/>
        <v>7805</v>
      </c>
      <c r="C48" s="67">
        <f t="shared" si="5"/>
        <v>3</v>
      </c>
      <c r="D48" s="53"/>
      <c r="E48" s="53"/>
      <c r="F48" s="69"/>
      <c r="G48" s="53"/>
      <c r="H48" s="69"/>
      <c r="I48" s="70">
        <f t="shared" si="4"/>
        <v>8125.4887218045105</v>
      </c>
    </row>
    <row r="49" spans="1:9" ht="15" customHeight="1">
      <c r="A49" s="65">
        <f t="shared" si="3"/>
        <v>1992</v>
      </c>
      <c r="B49" s="93">
        <f t="shared" si="3"/>
        <v>8124</v>
      </c>
      <c r="C49" s="67">
        <f t="shared" si="5"/>
        <v>4</v>
      </c>
      <c r="D49" s="53"/>
      <c r="E49" s="53"/>
      <c r="F49" s="69"/>
      <c r="G49" s="95"/>
      <c r="H49" s="69"/>
      <c r="I49" s="70">
        <f t="shared" si="4"/>
        <v>8153.0135338345863</v>
      </c>
    </row>
    <row r="50" spans="1:9" ht="15" customHeight="1">
      <c r="A50" s="65">
        <f t="shared" si="3"/>
        <v>1993</v>
      </c>
      <c r="B50" s="93">
        <f t="shared" si="3"/>
        <v>8360</v>
      </c>
      <c r="C50" s="67">
        <f t="shared" si="5"/>
        <v>5</v>
      </c>
      <c r="D50" s="53"/>
      <c r="E50" s="53"/>
      <c r="F50" s="69"/>
      <c r="G50" s="53"/>
      <c r="H50" s="69"/>
      <c r="I50" s="70">
        <f t="shared" si="4"/>
        <v>8180.5383458646611</v>
      </c>
    </row>
    <row r="51" spans="1:9" ht="15" customHeight="1">
      <c r="A51" s="65">
        <f t="shared" si="3"/>
        <v>1994</v>
      </c>
      <c r="B51" s="93">
        <f t="shared" si="3"/>
        <v>8694</v>
      </c>
      <c r="C51" s="67">
        <f t="shared" si="5"/>
        <v>6</v>
      </c>
      <c r="D51" s="53" t="s">
        <v>73</v>
      </c>
      <c r="E51" s="53"/>
      <c r="F51" s="69"/>
      <c r="G51" s="53"/>
      <c r="H51" s="69"/>
      <c r="I51" s="70">
        <f t="shared" si="4"/>
        <v>8208.0631578947359</v>
      </c>
    </row>
    <row r="52" spans="1:9" ht="15" customHeight="1">
      <c r="A52" s="65">
        <f t="shared" si="3"/>
        <v>1995</v>
      </c>
      <c r="B52" s="93">
        <f t="shared" si="3"/>
        <v>9120</v>
      </c>
      <c r="C52" s="67">
        <f t="shared" si="5"/>
        <v>7</v>
      </c>
      <c r="D52" s="53"/>
      <c r="E52" s="53"/>
      <c r="F52" s="69"/>
      <c r="G52" s="53"/>
      <c r="H52" s="69"/>
      <c r="I52" s="70">
        <f t="shared" si="4"/>
        <v>8235.5879699248107</v>
      </c>
    </row>
    <row r="53" spans="1:9" ht="15" customHeight="1">
      <c r="A53" s="65">
        <f t="shared" si="3"/>
        <v>1996</v>
      </c>
      <c r="B53" s="93">
        <f t="shared" si="3"/>
        <v>9371</v>
      </c>
      <c r="C53" s="67">
        <f t="shared" si="5"/>
        <v>8</v>
      </c>
      <c r="D53" s="53"/>
      <c r="E53" s="53"/>
      <c r="F53" s="69"/>
      <c r="G53" s="53"/>
      <c r="H53" s="69"/>
      <c r="I53" s="70">
        <f t="shared" si="4"/>
        <v>8263.1127819548874</v>
      </c>
    </row>
    <row r="54" spans="1:9" ht="15" customHeight="1">
      <c r="A54" s="65">
        <f t="shared" si="3"/>
        <v>1997</v>
      </c>
      <c r="B54" s="93">
        <f t="shared" si="3"/>
        <v>9504</v>
      </c>
      <c r="C54" s="67">
        <f t="shared" si="5"/>
        <v>9</v>
      </c>
      <c r="D54" s="69"/>
      <c r="E54" s="69"/>
      <c r="F54" s="69"/>
      <c r="G54" s="53"/>
      <c r="H54" s="53"/>
      <c r="I54" s="70">
        <f t="shared" si="4"/>
        <v>8290.6375939849622</v>
      </c>
    </row>
    <row r="55" spans="1:9" ht="15" customHeight="1">
      <c r="A55" s="65">
        <f t="shared" si="3"/>
        <v>1998</v>
      </c>
      <c r="B55" s="93">
        <f t="shared" si="3"/>
        <v>9329</v>
      </c>
      <c r="C55" s="67">
        <f t="shared" si="5"/>
        <v>10</v>
      </c>
      <c r="D55" s="69"/>
      <c r="E55" s="69"/>
      <c r="F55" s="69"/>
      <c r="G55" s="53"/>
      <c r="H55" s="53"/>
      <c r="I55" s="70">
        <f t="shared" si="4"/>
        <v>8318.162406015037</v>
      </c>
    </row>
    <row r="56" spans="1:9" ht="15" customHeight="1">
      <c r="A56" s="65">
        <f t="shared" si="3"/>
        <v>1999</v>
      </c>
      <c r="B56" s="93">
        <f t="shared" si="3"/>
        <v>9142</v>
      </c>
      <c r="C56" s="67">
        <f t="shared" si="5"/>
        <v>11</v>
      </c>
      <c r="D56" s="69"/>
      <c r="E56" s="69"/>
      <c r="F56" s="69"/>
      <c r="G56" s="53"/>
      <c r="H56" s="53"/>
      <c r="I56" s="70">
        <f t="shared" si="4"/>
        <v>8345.6872180451119</v>
      </c>
    </row>
    <row r="57" spans="1:9" ht="15" customHeight="1">
      <c r="A57" s="65">
        <f t="shared" si="3"/>
        <v>2000</v>
      </c>
      <c r="B57" s="93">
        <f t="shared" si="3"/>
        <v>8940</v>
      </c>
      <c r="C57" s="67">
        <f t="shared" si="5"/>
        <v>12</v>
      </c>
      <c r="D57" s="69"/>
      <c r="E57" s="69"/>
      <c r="F57" s="69"/>
      <c r="G57" s="53"/>
      <c r="H57" s="53"/>
      <c r="I57" s="70">
        <f t="shared" si="4"/>
        <v>8373.2120300751867</v>
      </c>
    </row>
    <row r="58" spans="1:9" ht="15" customHeight="1">
      <c r="A58" s="65">
        <f t="shared" si="3"/>
        <v>2001</v>
      </c>
      <c r="B58" s="93">
        <f t="shared" si="3"/>
        <v>8630</v>
      </c>
      <c r="C58" s="67">
        <f t="shared" si="5"/>
        <v>13</v>
      </c>
      <c r="D58" s="69"/>
      <c r="E58" s="96"/>
      <c r="F58" s="69"/>
      <c r="G58" s="53"/>
      <c r="H58" s="53"/>
      <c r="I58" s="70">
        <f t="shared" si="4"/>
        <v>8400.7368421052633</v>
      </c>
    </row>
    <row r="59" spans="1:9" ht="15" customHeight="1">
      <c r="A59" s="65">
        <f t="shared" si="3"/>
        <v>2002</v>
      </c>
      <c r="B59" s="93">
        <f t="shared" si="3"/>
        <v>8501</v>
      </c>
      <c r="C59" s="67">
        <f t="shared" si="5"/>
        <v>14</v>
      </c>
      <c r="D59" s="69"/>
      <c r="E59" s="69"/>
      <c r="F59" s="69"/>
      <c r="G59" s="53"/>
      <c r="H59" s="53"/>
      <c r="I59" s="70">
        <f t="shared" si="4"/>
        <v>8428.2616541353382</v>
      </c>
    </row>
    <row r="60" spans="1:9" ht="15" customHeight="1">
      <c r="A60" s="65">
        <f t="shared" si="3"/>
        <v>2003</v>
      </c>
      <c r="B60" s="93">
        <f t="shared" si="3"/>
        <v>8223</v>
      </c>
      <c r="C60" s="67">
        <f t="shared" si="5"/>
        <v>15</v>
      </c>
      <c r="D60" s="69"/>
      <c r="E60" s="69"/>
      <c r="F60" s="69"/>
      <c r="G60" s="53"/>
      <c r="H60" s="53"/>
      <c r="I60" s="70">
        <f t="shared" si="4"/>
        <v>8455.786466165413</v>
      </c>
    </row>
    <row r="61" spans="1:9" ht="15" customHeight="1">
      <c r="A61" s="65">
        <f t="shared" ref="A61:B65" si="6">A21</f>
        <v>2004</v>
      </c>
      <c r="B61" s="93">
        <f t="shared" si="6"/>
        <v>8067</v>
      </c>
      <c r="C61" s="67">
        <f t="shared" si="5"/>
        <v>16</v>
      </c>
      <c r="D61" s="69"/>
      <c r="E61" s="69"/>
      <c r="F61" s="69"/>
      <c r="G61" s="53"/>
      <c r="H61" s="53"/>
      <c r="I61" s="70">
        <f t="shared" si="4"/>
        <v>8483.3112781954878</v>
      </c>
    </row>
    <row r="62" spans="1:9" ht="15" customHeight="1">
      <c r="A62" s="65">
        <f t="shared" si="6"/>
        <v>2005</v>
      </c>
      <c r="B62" s="93">
        <f t="shared" si="6"/>
        <v>7803</v>
      </c>
      <c r="C62" s="67">
        <f t="shared" si="5"/>
        <v>17</v>
      </c>
      <c r="D62" s="69"/>
      <c r="E62" s="69"/>
      <c r="F62" s="69"/>
      <c r="G62" s="53"/>
      <c r="H62" s="53"/>
      <c r="I62" s="70">
        <f t="shared" si="4"/>
        <v>8510.8360902255627</v>
      </c>
    </row>
    <row r="63" spans="1:9" ht="15" customHeight="1">
      <c r="A63" s="65">
        <f t="shared" si="6"/>
        <v>2006</v>
      </c>
      <c r="B63" s="93">
        <f t="shared" si="6"/>
        <v>7699</v>
      </c>
      <c r="C63" s="67">
        <f t="shared" si="5"/>
        <v>18</v>
      </c>
      <c r="D63" s="69"/>
      <c r="E63" s="69"/>
      <c r="F63" s="69"/>
      <c r="G63" s="53"/>
      <c r="H63" s="53"/>
      <c r="I63" s="70">
        <f t="shared" si="4"/>
        <v>8538.3609022556393</v>
      </c>
    </row>
    <row r="64" spans="1:9" ht="15" customHeight="1" thickBot="1">
      <c r="A64" s="97">
        <f t="shared" si="6"/>
        <v>2007</v>
      </c>
      <c r="B64" s="98">
        <f t="shared" si="6"/>
        <v>7609</v>
      </c>
      <c r="C64" s="99">
        <f t="shared" si="5"/>
        <v>19</v>
      </c>
      <c r="D64" s="100"/>
      <c r="E64" s="100"/>
      <c r="F64" s="100"/>
      <c r="G64" s="101"/>
      <c r="H64" s="101"/>
      <c r="I64" s="102">
        <f t="shared" si="4"/>
        <v>8565.8857142857141</v>
      </c>
    </row>
    <row r="65" spans="1:9" ht="15" customHeight="1" thickTop="1">
      <c r="A65" s="255">
        <f t="shared" si="6"/>
        <v>2008</v>
      </c>
      <c r="B65" s="81">
        <f t="shared" ref="B65:B82" si="7">ROUND(E$45*C65+E$46,0)</f>
        <v>8593</v>
      </c>
      <c r="C65" s="77">
        <f t="shared" si="5"/>
        <v>20</v>
      </c>
      <c r="D65" s="78"/>
      <c r="E65" s="78"/>
      <c r="F65" s="78"/>
      <c r="G65" s="256"/>
      <c r="H65" s="256"/>
      <c r="I65" s="79">
        <f t="shared" si="4"/>
        <v>8593.410526315789</v>
      </c>
    </row>
    <row r="66" spans="1:9" ht="15" customHeight="1">
      <c r="A66" s="80">
        <v>2009</v>
      </c>
      <c r="B66" s="81">
        <f t="shared" si="7"/>
        <v>8621</v>
      </c>
      <c r="C66" s="82">
        <f t="shared" si="5"/>
        <v>21</v>
      </c>
      <c r="D66" s="69"/>
      <c r="E66" s="69"/>
      <c r="F66" s="69"/>
      <c r="G66" s="69"/>
      <c r="H66" s="69"/>
      <c r="I66" s="70">
        <f t="shared" si="4"/>
        <v>8620.9353383458638</v>
      </c>
    </row>
    <row r="67" spans="1:9" ht="15" customHeight="1">
      <c r="A67" s="80">
        <v>2010</v>
      </c>
      <c r="B67" s="81">
        <f t="shared" si="7"/>
        <v>8648</v>
      </c>
      <c r="C67" s="82">
        <f t="shared" si="5"/>
        <v>22</v>
      </c>
      <c r="D67" s="69"/>
      <c r="E67" s="69"/>
      <c r="F67" s="69"/>
      <c r="G67" s="69"/>
      <c r="H67" s="69"/>
      <c r="I67" s="70">
        <f t="shared" si="4"/>
        <v>8648.4601503759404</v>
      </c>
    </row>
    <row r="68" spans="1:9" ht="15" customHeight="1">
      <c r="A68" s="80">
        <v>2011</v>
      </c>
      <c r="B68" s="81">
        <f t="shared" si="7"/>
        <v>8676</v>
      </c>
      <c r="C68" s="82">
        <f t="shared" si="5"/>
        <v>23</v>
      </c>
      <c r="D68" s="69"/>
      <c r="E68" s="69"/>
      <c r="F68" s="69"/>
      <c r="G68" s="69"/>
      <c r="H68" s="69"/>
      <c r="I68" s="70">
        <f t="shared" si="4"/>
        <v>8675.9849624060153</v>
      </c>
    </row>
    <row r="69" spans="1:9" ht="15" customHeight="1">
      <c r="A69" s="80">
        <v>2012</v>
      </c>
      <c r="B69" s="81">
        <f t="shared" si="7"/>
        <v>8704</v>
      </c>
      <c r="C69" s="82">
        <f t="shared" si="5"/>
        <v>24</v>
      </c>
      <c r="D69" s="69"/>
      <c r="E69" s="69"/>
      <c r="F69" s="69"/>
      <c r="G69" s="69"/>
      <c r="H69" s="69"/>
      <c r="I69" s="70">
        <f t="shared" si="4"/>
        <v>8703.5097744360901</v>
      </c>
    </row>
    <row r="70" spans="1:9" ht="15" customHeight="1">
      <c r="A70" s="80">
        <v>2013</v>
      </c>
      <c r="B70" s="81">
        <f t="shared" si="7"/>
        <v>8731</v>
      </c>
      <c r="C70" s="82">
        <f t="shared" si="5"/>
        <v>25</v>
      </c>
      <c r="D70" s="69"/>
      <c r="E70" s="69"/>
      <c r="F70" s="69"/>
      <c r="G70" s="69"/>
      <c r="H70" s="69"/>
      <c r="I70" s="70">
        <f t="shared" si="4"/>
        <v>8731.0345864661649</v>
      </c>
    </row>
    <row r="71" spans="1:9" ht="15" customHeight="1">
      <c r="A71" s="80">
        <v>2014</v>
      </c>
      <c r="B71" s="81">
        <f t="shared" si="7"/>
        <v>8759</v>
      </c>
      <c r="C71" s="82">
        <f t="shared" si="5"/>
        <v>26</v>
      </c>
      <c r="D71" s="69"/>
      <c r="E71" s="69"/>
      <c r="F71" s="69"/>
      <c r="G71" s="69"/>
      <c r="H71" s="69"/>
      <c r="I71" s="70">
        <f t="shared" si="4"/>
        <v>8758.5593984962397</v>
      </c>
    </row>
    <row r="72" spans="1:9" ht="15" customHeight="1">
      <c r="A72" s="80">
        <v>2015</v>
      </c>
      <c r="B72" s="81">
        <f t="shared" si="7"/>
        <v>8786</v>
      </c>
      <c r="C72" s="82">
        <f t="shared" si="5"/>
        <v>27</v>
      </c>
      <c r="D72" s="69"/>
      <c r="E72" s="69"/>
      <c r="F72" s="69"/>
      <c r="G72" s="69"/>
      <c r="H72" s="69"/>
      <c r="I72" s="70">
        <f t="shared" si="4"/>
        <v>8786.0842105263146</v>
      </c>
    </row>
    <row r="73" spans="1:9" ht="15" customHeight="1">
      <c r="A73" s="80">
        <v>2016</v>
      </c>
      <c r="B73" s="81">
        <f t="shared" si="7"/>
        <v>8814</v>
      </c>
      <c r="C73" s="82">
        <f t="shared" si="5"/>
        <v>28</v>
      </c>
      <c r="D73" s="69"/>
      <c r="E73" s="69"/>
      <c r="F73" s="69"/>
      <c r="G73" s="69"/>
      <c r="H73" s="69"/>
      <c r="I73" s="70">
        <f t="shared" si="4"/>
        <v>8813.6090225563912</v>
      </c>
    </row>
    <row r="74" spans="1:9" ht="15" customHeight="1">
      <c r="A74" s="80">
        <v>2017</v>
      </c>
      <c r="B74" s="81">
        <f t="shared" si="7"/>
        <v>8841</v>
      </c>
      <c r="C74" s="82">
        <f t="shared" si="5"/>
        <v>29</v>
      </c>
      <c r="D74" s="69"/>
      <c r="E74" s="69"/>
      <c r="F74" s="69"/>
      <c r="G74" s="69"/>
      <c r="H74" s="69"/>
      <c r="I74" s="70">
        <f t="shared" si="4"/>
        <v>8841.133834586466</v>
      </c>
    </row>
    <row r="75" spans="1:9" ht="15" customHeight="1">
      <c r="A75" s="80">
        <v>2018</v>
      </c>
      <c r="B75" s="81">
        <f t="shared" si="7"/>
        <v>8869</v>
      </c>
      <c r="C75" s="82">
        <f t="shared" si="5"/>
        <v>30</v>
      </c>
      <c r="D75" s="69"/>
      <c r="E75" s="69"/>
      <c r="F75" s="69"/>
      <c r="G75" s="69"/>
      <c r="H75" s="69"/>
      <c r="I75" s="70">
        <f t="shared" si="4"/>
        <v>8868.6586466165409</v>
      </c>
    </row>
    <row r="76" spans="1:9" ht="15" customHeight="1">
      <c r="A76" s="80">
        <v>2019</v>
      </c>
      <c r="B76" s="81">
        <f t="shared" si="7"/>
        <v>8896</v>
      </c>
      <c r="C76" s="82">
        <f t="shared" si="5"/>
        <v>31</v>
      </c>
      <c r="D76" s="69"/>
      <c r="E76" s="69"/>
      <c r="F76" s="69"/>
      <c r="G76" s="69"/>
      <c r="H76" s="69"/>
      <c r="I76" s="70">
        <f t="shared" si="4"/>
        <v>8896.1834586466157</v>
      </c>
    </row>
    <row r="77" spans="1:9" ht="15" customHeight="1">
      <c r="A77" s="80">
        <v>2020</v>
      </c>
      <c r="B77" s="81">
        <f t="shared" si="7"/>
        <v>8924</v>
      </c>
      <c r="C77" s="82">
        <f t="shared" si="5"/>
        <v>32</v>
      </c>
      <c r="D77" s="69"/>
      <c r="E77" s="69"/>
      <c r="F77" s="69"/>
      <c r="G77" s="69"/>
      <c r="H77" s="69"/>
      <c r="I77" s="70">
        <f t="shared" si="4"/>
        <v>8923.7082706766923</v>
      </c>
    </row>
    <row r="78" spans="1:9" ht="15" customHeight="1">
      <c r="A78" s="80">
        <v>2021</v>
      </c>
      <c r="B78" s="81">
        <f t="shared" si="7"/>
        <v>8951</v>
      </c>
      <c r="C78" s="82">
        <f t="shared" si="5"/>
        <v>33</v>
      </c>
      <c r="D78" s="69"/>
      <c r="E78" s="69"/>
      <c r="F78" s="69"/>
      <c r="G78" s="69"/>
      <c r="H78" s="69"/>
      <c r="I78" s="70">
        <f t="shared" si="4"/>
        <v>8951.2330827067672</v>
      </c>
    </row>
    <row r="79" spans="1:9" ht="15" customHeight="1">
      <c r="A79" s="80">
        <v>2022</v>
      </c>
      <c r="B79" s="81">
        <f t="shared" si="7"/>
        <v>8979</v>
      </c>
      <c r="C79" s="82">
        <f t="shared" si="5"/>
        <v>34</v>
      </c>
      <c r="D79" s="69"/>
      <c r="E79" s="69"/>
      <c r="F79" s="69"/>
      <c r="G79" s="69"/>
      <c r="H79" s="69"/>
      <c r="I79" s="70">
        <f t="shared" si="4"/>
        <v>8978.757894736842</v>
      </c>
    </row>
    <row r="80" spans="1:9" ht="15" customHeight="1">
      <c r="A80" s="80">
        <v>2023</v>
      </c>
      <c r="B80" s="81">
        <f t="shared" si="7"/>
        <v>9006</v>
      </c>
      <c r="C80" s="82">
        <f t="shared" si="5"/>
        <v>35</v>
      </c>
      <c r="D80" s="69"/>
      <c r="E80" s="69"/>
      <c r="F80" s="69"/>
      <c r="G80" s="69"/>
      <c r="H80" s="69"/>
      <c r="I80" s="70">
        <f t="shared" si="4"/>
        <v>9006.2827067669168</v>
      </c>
    </row>
    <row r="81" spans="1:11" ht="15" customHeight="1">
      <c r="A81" s="80">
        <v>2024</v>
      </c>
      <c r="B81" s="81">
        <f t="shared" si="7"/>
        <v>9034</v>
      </c>
      <c r="C81" s="67">
        <f t="shared" si="5"/>
        <v>36</v>
      </c>
      <c r="D81" s="69"/>
      <c r="E81" s="69"/>
      <c r="F81" s="69"/>
      <c r="G81" s="69"/>
      <c r="H81" s="69"/>
      <c r="I81" s="70">
        <f t="shared" si="4"/>
        <v>9033.8075187969916</v>
      </c>
    </row>
    <row r="82" spans="1:11" ht="15" customHeight="1">
      <c r="A82" s="85">
        <v>2025</v>
      </c>
      <c r="B82" s="86">
        <f t="shared" si="7"/>
        <v>9061</v>
      </c>
      <c r="C82" s="87">
        <f t="shared" si="5"/>
        <v>37</v>
      </c>
      <c r="D82" s="89"/>
      <c r="E82" s="89"/>
      <c r="F82" s="89"/>
      <c r="G82" s="89"/>
      <c r="H82" s="89"/>
      <c r="I82" s="91">
        <f t="shared" si="4"/>
        <v>9061.3323308270665</v>
      </c>
    </row>
    <row r="83" spans="1:11" ht="15" customHeight="1">
      <c r="A83" s="56" t="s">
        <v>79</v>
      </c>
      <c r="B83" s="57"/>
    </row>
    <row r="84" spans="1:11" ht="15" customHeight="1">
      <c r="A84" s="58" t="s">
        <v>32</v>
      </c>
      <c r="B84" s="59" t="s">
        <v>40</v>
      </c>
      <c r="C84" s="59" t="s">
        <v>34</v>
      </c>
      <c r="D84" s="59" t="s">
        <v>33</v>
      </c>
      <c r="E84" s="103"/>
      <c r="F84" s="60"/>
      <c r="G84" s="61"/>
      <c r="H84" s="63" t="s">
        <v>104</v>
      </c>
      <c r="I84" s="64">
        <f>RSQ(I85:I105,B85:B105)</f>
        <v>1.1852853376046243E-2</v>
      </c>
    </row>
    <row r="85" spans="1:11" ht="15" customHeight="1">
      <c r="A85" s="65">
        <f t="shared" ref="A85:B100" si="8">A5</f>
        <v>1988</v>
      </c>
      <c r="B85" s="104">
        <f t="shared" si="8"/>
        <v>6964</v>
      </c>
      <c r="C85" s="105">
        <f t="shared" ref="C85:C122" si="9">LN(B85)</f>
        <v>8.8485093008880789</v>
      </c>
      <c r="D85" s="67">
        <v>0</v>
      </c>
      <c r="E85" s="106" t="s">
        <v>37</v>
      </c>
      <c r="F85" s="73">
        <f>ROUND((B104/B85)^(1/D104)-1,5)</f>
        <v>4.6699999999999997E-3</v>
      </c>
      <c r="G85" s="107"/>
      <c r="H85" s="108"/>
      <c r="I85" s="109">
        <f t="shared" ref="I85:I122" si="10">ROUND($F$86*(1+$F$85)^(D85),1)</f>
        <v>6964</v>
      </c>
    </row>
    <row r="86" spans="1:11" ht="15" customHeight="1">
      <c r="A86" s="65">
        <f t="shared" si="8"/>
        <v>1989</v>
      </c>
      <c r="B86" s="104">
        <f t="shared" si="8"/>
        <v>7042</v>
      </c>
      <c r="C86" s="105">
        <f t="shared" si="9"/>
        <v>8.8596474997149972</v>
      </c>
      <c r="D86" s="67">
        <f t="shared" ref="D86:D122" si="11">D85+1</f>
        <v>1</v>
      </c>
      <c r="E86" s="106" t="s">
        <v>80</v>
      </c>
      <c r="F86" s="110">
        <f>B85</f>
        <v>6964</v>
      </c>
      <c r="G86" s="107"/>
      <c r="H86" s="108"/>
      <c r="I86" s="109">
        <f t="shared" si="10"/>
        <v>6996.5</v>
      </c>
      <c r="K86" s="111"/>
    </row>
    <row r="87" spans="1:11" ht="15" customHeight="1">
      <c r="A87" s="65">
        <f t="shared" si="8"/>
        <v>1990</v>
      </c>
      <c r="B87" s="104">
        <f t="shared" si="8"/>
        <v>7161</v>
      </c>
      <c r="C87" s="105">
        <f t="shared" si="9"/>
        <v>8.8764049150069404</v>
      </c>
      <c r="D87" s="67">
        <f t="shared" si="11"/>
        <v>2</v>
      </c>
      <c r="E87" s="106" t="s">
        <v>77</v>
      </c>
      <c r="F87" s="73">
        <f>I84</f>
        <v>1.1852853376046243E-2</v>
      </c>
      <c r="G87" s="108"/>
      <c r="H87" s="108"/>
      <c r="I87" s="109">
        <f t="shared" si="10"/>
        <v>7029.2</v>
      </c>
    </row>
    <row r="88" spans="1:11" ht="15" customHeight="1">
      <c r="A88" s="65">
        <f t="shared" si="8"/>
        <v>1991</v>
      </c>
      <c r="B88" s="104">
        <f t="shared" si="8"/>
        <v>7805</v>
      </c>
      <c r="C88" s="105">
        <f t="shared" si="9"/>
        <v>8.9625198329495319</v>
      </c>
      <c r="D88" s="67">
        <f t="shared" si="11"/>
        <v>3</v>
      </c>
      <c r="E88" s="106"/>
      <c r="F88" s="73"/>
      <c r="G88" s="108"/>
      <c r="H88" s="108"/>
      <c r="I88" s="109">
        <f t="shared" si="10"/>
        <v>7062</v>
      </c>
    </row>
    <row r="89" spans="1:11" ht="15" customHeight="1">
      <c r="A89" s="65">
        <f t="shared" si="8"/>
        <v>1992</v>
      </c>
      <c r="B89" s="104">
        <f t="shared" si="8"/>
        <v>8124</v>
      </c>
      <c r="C89" s="105">
        <f t="shared" si="9"/>
        <v>9.0025779227002758</v>
      </c>
      <c r="D89" s="67">
        <f t="shared" si="11"/>
        <v>4</v>
      </c>
      <c r="E89" s="106" t="s">
        <v>81</v>
      </c>
      <c r="F89" s="72"/>
      <c r="G89" s="108"/>
      <c r="H89" s="108"/>
      <c r="I89" s="109">
        <f t="shared" si="10"/>
        <v>7095</v>
      </c>
    </row>
    <row r="90" spans="1:11" ht="15" customHeight="1">
      <c r="A90" s="65">
        <f t="shared" si="8"/>
        <v>1993</v>
      </c>
      <c r="B90" s="104">
        <f t="shared" si="8"/>
        <v>8360</v>
      </c>
      <c r="C90" s="105">
        <f t="shared" si="9"/>
        <v>9.0312137060787467</v>
      </c>
      <c r="D90" s="67">
        <f t="shared" si="11"/>
        <v>5</v>
      </c>
      <c r="E90" s="112"/>
      <c r="F90" s="113"/>
      <c r="G90" s="108"/>
      <c r="H90" s="108"/>
      <c r="I90" s="109">
        <f t="shared" si="10"/>
        <v>7128.1</v>
      </c>
    </row>
    <row r="91" spans="1:11" ht="15" customHeight="1">
      <c r="A91" s="65">
        <f t="shared" si="8"/>
        <v>1994</v>
      </c>
      <c r="B91" s="104">
        <f t="shared" si="8"/>
        <v>8694</v>
      </c>
      <c r="C91" s="105">
        <f t="shared" si="9"/>
        <v>9.0703884115487377</v>
      </c>
      <c r="D91" s="67">
        <f t="shared" si="11"/>
        <v>6</v>
      </c>
      <c r="E91" s="114"/>
      <c r="F91" s="113"/>
      <c r="G91" s="108"/>
      <c r="H91" s="108"/>
      <c r="I91" s="109">
        <f t="shared" si="10"/>
        <v>7161.4</v>
      </c>
    </row>
    <row r="92" spans="1:11" ht="15" customHeight="1">
      <c r="A92" s="65">
        <f t="shared" si="8"/>
        <v>1995</v>
      </c>
      <c r="B92" s="104">
        <f t="shared" si="8"/>
        <v>9120</v>
      </c>
      <c r="C92" s="105">
        <f t="shared" si="9"/>
        <v>9.1182250830683778</v>
      </c>
      <c r="D92" s="67">
        <f t="shared" si="11"/>
        <v>7</v>
      </c>
      <c r="E92" s="114"/>
      <c r="F92" s="113"/>
      <c r="G92" s="108"/>
      <c r="H92" s="108"/>
      <c r="I92" s="109">
        <f t="shared" si="10"/>
        <v>7194.9</v>
      </c>
    </row>
    <row r="93" spans="1:11" ht="15" customHeight="1">
      <c r="A93" s="65">
        <f t="shared" si="8"/>
        <v>1996</v>
      </c>
      <c r="B93" s="104">
        <f t="shared" si="8"/>
        <v>9371</v>
      </c>
      <c r="C93" s="105">
        <f t="shared" si="9"/>
        <v>9.1453750931238229</v>
      </c>
      <c r="D93" s="67">
        <f t="shared" si="11"/>
        <v>8</v>
      </c>
      <c r="E93" s="108"/>
      <c r="F93" s="108"/>
      <c r="G93" s="115"/>
      <c r="H93" s="108"/>
      <c r="I93" s="109">
        <f t="shared" si="10"/>
        <v>7228.5</v>
      </c>
    </row>
    <row r="94" spans="1:11" ht="15" customHeight="1">
      <c r="A94" s="65">
        <f t="shared" si="8"/>
        <v>1997</v>
      </c>
      <c r="B94" s="104">
        <f t="shared" si="8"/>
        <v>9504</v>
      </c>
      <c r="C94" s="105">
        <f t="shared" si="9"/>
        <v>9.1594680416024268</v>
      </c>
      <c r="D94" s="67">
        <f t="shared" si="11"/>
        <v>9</v>
      </c>
      <c r="E94" s="108"/>
      <c r="F94" s="108"/>
      <c r="G94" s="115"/>
      <c r="H94" s="108"/>
      <c r="I94" s="109">
        <f t="shared" si="10"/>
        <v>7262.2</v>
      </c>
    </row>
    <row r="95" spans="1:11" ht="15" customHeight="1">
      <c r="A95" s="65">
        <f t="shared" si="8"/>
        <v>1998</v>
      </c>
      <c r="B95" s="104">
        <f t="shared" si="8"/>
        <v>9329</v>
      </c>
      <c r="C95" s="105">
        <f t="shared" si="9"/>
        <v>9.1408831069609615</v>
      </c>
      <c r="D95" s="67">
        <f t="shared" si="11"/>
        <v>10</v>
      </c>
      <c r="E95" s="108"/>
      <c r="F95" s="108"/>
      <c r="G95" s="115"/>
      <c r="H95" s="108"/>
      <c r="I95" s="109">
        <f t="shared" si="10"/>
        <v>7296.1</v>
      </c>
    </row>
    <row r="96" spans="1:11" ht="15" customHeight="1">
      <c r="A96" s="65">
        <f t="shared" si="8"/>
        <v>1999</v>
      </c>
      <c r="B96" s="104">
        <f t="shared" si="8"/>
        <v>9142</v>
      </c>
      <c r="C96" s="105">
        <f t="shared" si="9"/>
        <v>9.1206344588916899</v>
      </c>
      <c r="D96" s="67">
        <f t="shared" si="11"/>
        <v>11</v>
      </c>
      <c r="E96" s="108"/>
      <c r="F96" s="108"/>
      <c r="G96" s="115"/>
      <c r="H96" s="108"/>
      <c r="I96" s="109">
        <f t="shared" si="10"/>
        <v>7330.2</v>
      </c>
    </row>
    <row r="97" spans="1:9" ht="15" customHeight="1">
      <c r="A97" s="65">
        <f t="shared" si="8"/>
        <v>2000</v>
      </c>
      <c r="B97" s="104">
        <f t="shared" si="8"/>
        <v>8940</v>
      </c>
      <c r="C97" s="105">
        <f t="shared" si="9"/>
        <v>9.0982908681675596</v>
      </c>
      <c r="D97" s="67">
        <f t="shared" si="11"/>
        <v>12</v>
      </c>
      <c r="E97" s="108"/>
      <c r="F97" s="108"/>
      <c r="G97" s="115"/>
      <c r="H97" s="108"/>
      <c r="I97" s="109">
        <f t="shared" si="10"/>
        <v>7364.4</v>
      </c>
    </row>
    <row r="98" spans="1:9" ht="15" customHeight="1">
      <c r="A98" s="65">
        <f t="shared" si="8"/>
        <v>2001</v>
      </c>
      <c r="B98" s="104">
        <f t="shared" si="8"/>
        <v>8630</v>
      </c>
      <c r="C98" s="105">
        <f t="shared" si="9"/>
        <v>9.0629997840774728</v>
      </c>
      <c r="D98" s="67">
        <f t="shared" si="11"/>
        <v>13</v>
      </c>
      <c r="E98" s="108"/>
      <c r="F98" s="108"/>
      <c r="G98" s="115"/>
      <c r="H98" s="108"/>
      <c r="I98" s="109">
        <f t="shared" si="10"/>
        <v>7398.8</v>
      </c>
    </row>
    <row r="99" spans="1:9" ht="15" customHeight="1">
      <c r="A99" s="65">
        <f t="shared" si="8"/>
        <v>2002</v>
      </c>
      <c r="B99" s="104">
        <f t="shared" si="8"/>
        <v>8501</v>
      </c>
      <c r="C99" s="105">
        <f t="shared" si="9"/>
        <v>9.0479390826173596</v>
      </c>
      <c r="D99" s="67">
        <f t="shared" si="11"/>
        <v>14</v>
      </c>
      <c r="E99" s="108"/>
      <c r="F99" s="108"/>
      <c r="G99" s="115"/>
      <c r="H99" s="108"/>
      <c r="I99" s="109">
        <f t="shared" si="10"/>
        <v>7433.4</v>
      </c>
    </row>
    <row r="100" spans="1:9" ht="15" customHeight="1">
      <c r="A100" s="65">
        <f t="shared" si="8"/>
        <v>2003</v>
      </c>
      <c r="B100" s="104">
        <f t="shared" si="8"/>
        <v>8223</v>
      </c>
      <c r="C100" s="105">
        <f t="shared" si="9"/>
        <v>9.0146903849708959</v>
      </c>
      <c r="D100" s="67">
        <f t="shared" si="11"/>
        <v>15</v>
      </c>
      <c r="E100" s="108"/>
      <c r="F100" s="108"/>
      <c r="G100" s="115"/>
      <c r="H100" s="108"/>
      <c r="I100" s="109">
        <f t="shared" si="10"/>
        <v>7468.1</v>
      </c>
    </row>
    <row r="101" spans="1:9" ht="15" customHeight="1">
      <c r="A101" s="65">
        <f t="shared" ref="A101:B105" si="12">A21</f>
        <v>2004</v>
      </c>
      <c r="B101" s="104">
        <f t="shared" si="12"/>
        <v>8067</v>
      </c>
      <c r="C101" s="105">
        <f t="shared" si="9"/>
        <v>8.9955369449369744</v>
      </c>
      <c r="D101" s="67">
        <f t="shared" si="11"/>
        <v>16</v>
      </c>
      <c r="E101" s="108"/>
      <c r="F101" s="108"/>
      <c r="G101" s="115"/>
      <c r="H101" s="108"/>
      <c r="I101" s="109">
        <f t="shared" si="10"/>
        <v>7503</v>
      </c>
    </row>
    <row r="102" spans="1:9" ht="15" customHeight="1">
      <c r="A102" s="65">
        <f t="shared" si="12"/>
        <v>2005</v>
      </c>
      <c r="B102" s="104">
        <f t="shared" si="12"/>
        <v>7803</v>
      </c>
      <c r="C102" s="105">
        <f t="shared" si="9"/>
        <v>8.9622635541167615</v>
      </c>
      <c r="D102" s="67">
        <f t="shared" si="11"/>
        <v>17</v>
      </c>
      <c r="E102" s="108"/>
      <c r="F102" s="108"/>
      <c r="G102" s="115"/>
      <c r="H102" s="108"/>
      <c r="I102" s="109">
        <f t="shared" si="10"/>
        <v>7538</v>
      </c>
    </row>
    <row r="103" spans="1:9" ht="15" customHeight="1">
      <c r="A103" s="65">
        <f t="shared" si="12"/>
        <v>2006</v>
      </c>
      <c r="B103" s="104">
        <f t="shared" si="12"/>
        <v>7699</v>
      </c>
      <c r="C103" s="105">
        <f t="shared" si="9"/>
        <v>8.9488457292780499</v>
      </c>
      <c r="D103" s="67">
        <f t="shared" si="11"/>
        <v>18</v>
      </c>
      <c r="E103" s="108"/>
      <c r="F103" s="108"/>
      <c r="G103" s="115"/>
      <c r="H103" s="108"/>
      <c r="I103" s="109">
        <f t="shared" si="10"/>
        <v>7573.2</v>
      </c>
    </row>
    <row r="104" spans="1:9" ht="15" customHeight="1" thickBot="1">
      <c r="A104" s="65">
        <f t="shared" si="12"/>
        <v>2007</v>
      </c>
      <c r="B104" s="104">
        <f t="shared" si="12"/>
        <v>7609</v>
      </c>
      <c r="C104" s="105">
        <f t="shared" si="9"/>
        <v>8.9370870361765231</v>
      </c>
      <c r="D104" s="67">
        <f t="shared" si="11"/>
        <v>19</v>
      </c>
      <c r="E104" s="108"/>
      <c r="F104" s="108"/>
      <c r="G104" s="115"/>
      <c r="H104" s="108"/>
      <c r="I104" s="109">
        <f t="shared" si="10"/>
        <v>7608.6</v>
      </c>
    </row>
    <row r="105" spans="1:9" ht="15" customHeight="1" thickTop="1">
      <c r="A105" s="255">
        <f t="shared" si="12"/>
        <v>2008</v>
      </c>
      <c r="B105" s="76">
        <f t="shared" ref="B105:B122" si="13">ROUND(F$86*(1+F$85)^D105,0)</f>
        <v>7644</v>
      </c>
      <c r="C105" s="121">
        <f t="shared" si="9"/>
        <v>8.9416763053601631</v>
      </c>
      <c r="D105" s="77">
        <f t="shared" si="11"/>
        <v>20</v>
      </c>
      <c r="E105" s="259"/>
      <c r="F105" s="259"/>
      <c r="G105" s="260"/>
      <c r="H105" s="259"/>
      <c r="I105" s="123">
        <f t="shared" si="10"/>
        <v>7644.1</v>
      </c>
    </row>
    <row r="106" spans="1:9" ht="15" customHeight="1">
      <c r="A106" s="80">
        <v>2009</v>
      </c>
      <c r="B106" s="81">
        <f t="shared" si="13"/>
        <v>7680</v>
      </c>
      <c r="C106" s="105">
        <f t="shared" si="9"/>
        <v>8.9463748261417173</v>
      </c>
      <c r="D106" s="67">
        <f t="shared" si="11"/>
        <v>21</v>
      </c>
      <c r="E106" s="83"/>
      <c r="F106" s="69"/>
      <c r="G106" s="69"/>
      <c r="H106" s="69"/>
      <c r="I106" s="109">
        <f t="shared" si="10"/>
        <v>7679.8</v>
      </c>
    </row>
    <row r="107" spans="1:9" ht="15" customHeight="1">
      <c r="A107" s="80">
        <v>2010</v>
      </c>
      <c r="B107" s="81">
        <f t="shared" si="13"/>
        <v>7716</v>
      </c>
      <c r="C107" s="105">
        <f t="shared" si="9"/>
        <v>8.951051374025619</v>
      </c>
      <c r="D107" s="67">
        <f t="shared" si="11"/>
        <v>22</v>
      </c>
      <c r="E107" s="83"/>
      <c r="F107" s="69"/>
      <c r="G107" s="69"/>
      <c r="H107" s="69"/>
      <c r="I107" s="109">
        <f t="shared" si="10"/>
        <v>7715.7</v>
      </c>
    </row>
    <row r="108" spans="1:9" ht="15" customHeight="1">
      <c r="A108" s="80">
        <v>2011</v>
      </c>
      <c r="B108" s="81">
        <f t="shared" si="13"/>
        <v>7752</v>
      </c>
      <c r="C108" s="105">
        <f t="shared" si="9"/>
        <v>8.9557061535706026</v>
      </c>
      <c r="D108" s="67">
        <f t="shared" si="11"/>
        <v>23</v>
      </c>
      <c r="E108" s="83"/>
      <c r="F108" s="69"/>
      <c r="G108" s="69"/>
      <c r="H108" s="69"/>
      <c r="I108" s="109">
        <f t="shared" si="10"/>
        <v>7751.7</v>
      </c>
    </row>
    <row r="109" spans="1:9" ht="15" customHeight="1">
      <c r="A109" s="80">
        <v>2012</v>
      </c>
      <c r="B109" s="81">
        <f t="shared" si="13"/>
        <v>7788</v>
      </c>
      <c r="C109" s="105">
        <f t="shared" si="9"/>
        <v>8.9603393664920912</v>
      </c>
      <c r="D109" s="67">
        <f t="shared" si="11"/>
        <v>24</v>
      </c>
      <c r="E109" s="83"/>
      <c r="F109" s="69"/>
      <c r="G109" s="69"/>
      <c r="H109" s="69"/>
      <c r="I109" s="109">
        <f t="shared" si="10"/>
        <v>7787.9</v>
      </c>
    </row>
    <row r="110" spans="1:9" ht="15" customHeight="1">
      <c r="A110" s="80">
        <v>2013</v>
      </c>
      <c r="B110" s="81">
        <f t="shared" si="13"/>
        <v>7824</v>
      </c>
      <c r="C110" s="105">
        <f t="shared" si="9"/>
        <v>8.9649512117146539</v>
      </c>
      <c r="D110" s="67">
        <f t="shared" si="11"/>
        <v>25</v>
      </c>
      <c r="E110" s="83"/>
      <c r="F110" s="69"/>
      <c r="G110" s="69"/>
      <c r="H110" s="69"/>
      <c r="I110" s="109">
        <f t="shared" si="10"/>
        <v>7824.3</v>
      </c>
    </row>
    <row r="111" spans="1:9" ht="15" customHeight="1">
      <c r="A111" s="80">
        <v>2014</v>
      </c>
      <c r="B111" s="81">
        <f t="shared" si="13"/>
        <v>7861</v>
      </c>
      <c r="C111" s="105">
        <f t="shared" si="9"/>
        <v>8.9696691037937573</v>
      </c>
      <c r="D111" s="67">
        <f t="shared" si="11"/>
        <v>26</v>
      </c>
      <c r="E111" s="83"/>
      <c r="F111" s="69"/>
      <c r="G111" s="69"/>
      <c r="H111" s="69"/>
      <c r="I111" s="109">
        <f t="shared" si="10"/>
        <v>7860.8</v>
      </c>
    </row>
    <row r="112" spans="1:9" ht="15" customHeight="1">
      <c r="A112" s="80">
        <v>2015</v>
      </c>
      <c r="B112" s="81">
        <f t="shared" si="13"/>
        <v>7898</v>
      </c>
      <c r="C112" s="105">
        <f t="shared" si="9"/>
        <v>8.9743648418465956</v>
      </c>
      <c r="D112" s="67">
        <f t="shared" si="11"/>
        <v>27</v>
      </c>
      <c r="E112" s="83"/>
      <c r="F112" s="69"/>
      <c r="G112" s="69"/>
      <c r="H112" s="69"/>
      <c r="I112" s="109">
        <f t="shared" si="10"/>
        <v>7897.5</v>
      </c>
    </row>
    <row r="113" spans="1:9" ht="15" customHeight="1">
      <c r="A113" s="80">
        <v>2016</v>
      </c>
      <c r="B113" s="81">
        <f t="shared" si="13"/>
        <v>7934</v>
      </c>
      <c r="C113" s="105">
        <f t="shared" si="9"/>
        <v>8.9789126010742759</v>
      </c>
      <c r="D113" s="67">
        <f t="shared" si="11"/>
        <v>28</v>
      </c>
      <c r="E113" s="83"/>
      <c r="F113" s="69"/>
      <c r="G113" s="69"/>
      <c r="H113" s="69"/>
      <c r="I113" s="109">
        <f t="shared" si="10"/>
        <v>7934.4</v>
      </c>
    </row>
    <row r="114" spans="1:9" ht="15" customHeight="1">
      <c r="A114" s="80">
        <v>2017</v>
      </c>
      <c r="B114" s="81">
        <f t="shared" si="13"/>
        <v>7971</v>
      </c>
      <c r="C114" s="105">
        <f t="shared" si="9"/>
        <v>8.9835652344279229</v>
      </c>
      <c r="D114" s="67">
        <f t="shared" si="11"/>
        <v>29</v>
      </c>
      <c r="E114" s="83"/>
      <c r="F114" s="69"/>
      <c r="G114" s="69"/>
      <c r="H114" s="69"/>
      <c r="I114" s="109">
        <f t="shared" si="10"/>
        <v>7971.5</v>
      </c>
    </row>
    <row r="115" spans="1:9" ht="15" customHeight="1">
      <c r="A115" s="80">
        <v>2018</v>
      </c>
      <c r="B115" s="81">
        <f t="shared" si="13"/>
        <v>8009</v>
      </c>
      <c r="C115" s="105">
        <f t="shared" si="9"/>
        <v>8.9883211883236829</v>
      </c>
      <c r="D115" s="67">
        <f t="shared" si="11"/>
        <v>30</v>
      </c>
      <c r="E115" s="83"/>
      <c r="F115" s="69"/>
      <c r="G115" s="69"/>
      <c r="H115" s="69"/>
      <c r="I115" s="109">
        <f t="shared" si="10"/>
        <v>8008.7</v>
      </c>
    </row>
    <row r="116" spans="1:9" ht="15" customHeight="1">
      <c r="A116" s="80">
        <v>2019</v>
      </c>
      <c r="B116" s="81">
        <f t="shared" si="13"/>
        <v>8046</v>
      </c>
      <c r="C116" s="105">
        <f t="shared" si="9"/>
        <v>8.9929303525097328</v>
      </c>
      <c r="D116" s="67">
        <f t="shared" si="11"/>
        <v>31</v>
      </c>
      <c r="E116" s="83"/>
      <c r="F116" s="69"/>
      <c r="G116" s="69"/>
      <c r="H116" s="69"/>
      <c r="I116" s="109">
        <f t="shared" si="10"/>
        <v>8046.1</v>
      </c>
    </row>
    <row r="117" spans="1:9" ht="15" customHeight="1">
      <c r="A117" s="80">
        <v>2020</v>
      </c>
      <c r="B117" s="81">
        <f t="shared" si="13"/>
        <v>8084</v>
      </c>
      <c r="C117" s="105">
        <f t="shared" si="9"/>
        <v>8.9976420785235121</v>
      </c>
      <c r="D117" s="67">
        <f t="shared" si="11"/>
        <v>32</v>
      </c>
      <c r="E117" s="83"/>
      <c r="F117" s="69"/>
      <c r="G117" s="69"/>
      <c r="H117" s="69"/>
      <c r="I117" s="109">
        <f t="shared" si="10"/>
        <v>8083.7</v>
      </c>
    </row>
    <row r="118" spans="1:9" ht="15" customHeight="1">
      <c r="A118" s="80">
        <v>2021</v>
      </c>
      <c r="B118" s="81">
        <f t="shared" si="13"/>
        <v>8121</v>
      </c>
      <c r="C118" s="105">
        <f t="shared" si="9"/>
        <v>9.0022085782824117</v>
      </c>
      <c r="D118" s="67">
        <f t="shared" si="11"/>
        <v>33</v>
      </c>
      <c r="E118" s="83"/>
      <c r="F118" s="69"/>
      <c r="G118" s="69"/>
      <c r="H118" s="69"/>
      <c r="I118" s="109">
        <f t="shared" si="10"/>
        <v>8121.4</v>
      </c>
    </row>
    <row r="119" spans="1:9" ht="15" customHeight="1">
      <c r="A119" s="80">
        <v>2022</v>
      </c>
      <c r="B119" s="81">
        <f t="shared" si="13"/>
        <v>8159</v>
      </c>
      <c r="C119" s="105">
        <f t="shared" si="9"/>
        <v>9.0068768914287993</v>
      </c>
      <c r="D119" s="67">
        <f t="shared" si="11"/>
        <v>34</v>
      </c>
      <c r="E119" s="83"/>
      <c r="F119" s="69"/>
      <c r="G119" s="69"/>
      <c r="H119" s="69"/>
      <c r="I119" s="109">
        <f t="shared" si="10"/>
        <v>8159.3</v>
      </c>
    </row>
    <row r="120" spans="1:9" ht="15" customHeight="1">
      <c r="A120" s="80">
        <v>2023</v>
      </c>
      <c r="B120" s="81">
        <f t="shared" si="13"/>
        <v>8197</v>
      </c>
      <c r="C120" s="105">
        <f t="shared" si="9"/>
        <v>9.0115235126530315</v>
      </c>
      <c r="D120" s="67">
        <f t="shared" si="11"/>
        <v>35</v>
      </c>
      <c r="E120" s="83"/>
      <c r="F120" s="69"/>
      <c r="G120" s="69"/>
      <c r="H120" s="69"/>
      <c r="I120" s="109">
        <f t="shared" si="10"/>
        <v>8197.5</v>
      </c>
    </row>
    <row r="121" spans="1:9" ht="15" customHeight="1">
      <c r="A121" s="80">
        <v>2024</v>
      </c>
      <c r="B121" s="81">
        <f t="shared" si="13"/>
        <v>8236</v>
      </c>
      <c r="C121" s="105">
        <f t="shared" si="9"/>
        <v>9.01627006814768</v>
      </c>
      <c r="D121" s="67">
        <f t="shared" si="11"/>
        <v>36</v>
      </c>
      <c r="E121" s="69"/>
      <c r="F121" s="69"/>
      <c r="G121" s="69"/>
      <c r="H121" s="69"/>
      <c r="I121" s="109">
        <f t="shared" si="10"/>
        <v>8235.7000000000007</v>
      </c>
    </row>
    <row r="122" spans="1:9" ht="15" customHeight="1">
      <c r="A122" s="85">
        <v>2025</v>
      </c>
      <c r="B122" s="86">
        <f t="shared" si="13"/>
        <v>8274</v>
      </c>
      <c r="C122" s="124">
        <f t="shared" si="9"/>
        <v>9.0208733470213573</v>
      </c>
      <c r="D122" s="87">
        <f t="shared" si="11"/>
        <v>37</v>
      </c>
      <c r="E122" s="89"/>
      <c r="F122" s="89"/>
      <c r="G122" s="89"/>
      <c r="H122" s="89"/>
      <c r="I122" s="125">
        <f t="shared" si="10"/>
        <v>8274.2000000000007</v>
      </c>
    </row>
    <row r="123" spans="1:9" ht="15" customHeight="1">
      <c r="A123" s="56" t="s">
        <v>82</v>
      </c>
      <c r="B123" s="57"/>
    </row>
    <row r="124" spans="1:9" ht="15" customHeight="1">
      <c r="A124" s="58" t="s">
        <v>32</v>
      </c>
      <c r="B124" s="59" t="s">
        <v>40</v>
      </c>
      <c r="C124" s="59" t="s">
        <v>83</v>
      </c>
      <c r="D124" s="59" t="s">
        <v>33</v>
      </c>
      <c r="E124" s="59" t="s">
        <v>35</v>
      </c>
      <c r="F124" s="103"/>
      <c r="G124" s="60"/>
      <c r="H124" s="63" t="s">
        <v>104</v>
      </c>
      <c r="I124" s="64">
        <f>RSQ(I125:I144,B125:B144)</f>
        <v>0.1026041861284136</v>
      </c>
    </row>
    <row r="125" spans="1:9" ht="15" customHeight="1">
      <c r="A125" s="65">
        <f t="shared" ref="A125:B140" si="14">A5</f>
        <v>1988</v>
      </c>
      <c r="B125" s="104">
        <f t="shared" si="14"/>
        <v>6964</v>
      </c>
      <c r="C125" s="126"/>
      <c r="D125" s="67">
        <v>0</v>
      </c>
      <c r="E125" s="67"/>
      <c r="F125" s="106" t="s">
        <v>75</v>
      </c>
      <c r="G125" s="73">
        <f>INDEX(LINEST(C126:C144,E126:E144),1)</f>
        <v>0.68076242097730844</v>
      </c>
      <c r="H125" s="127"/>
      <c r="I125" s="128">
        <f t="shared" ref="I125:I162" si="15">$B$125+$G$129*D125^$G$125</f>
        <v>6964</v>
      </c>
    </row>
    <row r="126" spans="1:9" ht="15" customHeight="1">
      <c r="A126" s="65">
        <f t="shared" si="14"/>
        <v>1989</v>
      </c>
      <c r="B126" s="104">
        <f t="shared" si="14"/>
        <v>7042</v>
      </c>
      <c r="C126" s="126">
        <f t="shared" ref="C126:C144" si="16">LN(-B$125+B126)</f>
        <v>4.3567088266895917</v>
      </c>
      <c r="D126" s="67">
        <f t="shared" ref="D126:D162" si="17">D125+1</f>
        <v>1</v>
      </c>
      <c r="E126" s="67">
        <f t="shared" ref="E126:E145" si="18">LN(D126)</f>
        <v>0</v>
      </c>
      <c r="F126" s="106" t="s">
        <v>76</v>
      </c>
      <c r="G126" s="73">
        <f>INDEX(LINEST(C126:C144,E126:E144),2)</f>
        <v>5.5996505802452923</v>
      </c>
      <c r="H126" s="129" t="s">
        <v>84</v>
      </c>
      <c r="I126" s="128">
        <f t="shared" si="15"/>
        <v>7234.3319316040242</v>
      </c>
    </row>
    <row r="127" spans="1:9" ht="15" customHeight="1">
      <c r="A127" s="65">
        <f t="shared" si="14"/>
        <v>1990</v>
      </c>
      <c r="B127" s="104">
        <f t="shared" si="14"/>
        <v>7161</v>
      </c>
      <c r="C127" s="126">
        <f t="shared" si="16"/>
        <v>5.2832037287379885</v>
      </c>
      <c r="D127" s="67">
        <f t="shared" si="17"/>
        <v>2</v>
      </c>
      <c r="E127" s="67">
        <f t="shared" si="18"/>
        <v>0.69314718055994529</v>
      </c>
      <c r="F127" s="69"/>
      <c r="G127" s="130"/>
      <c r="H127" s="127"/>
      <c r="I127" s="128">
        <f t="shared" si="15"/>
        <v>7397.3384805818914</v>
      </c>
    </row>
    <row r="128" spans="1:9" ht="15" customHeight="1">
      <c r="A128" s="65">
        <f t="shared" si="14"/>
        <v>1991</v>
      </c>
      <c r="B128" s="104">
        <f t="shared" si="14"/>
        <v>7805</v>
      </c>
      <c r="C128" s="126">
        <f t="shared" si="16"/>
        <v>6.7345916599729483</v>
      </c>
      <c r="D128" s="67">
        <f t="shared" si="17"/>
        <v>3</v>
      </c>
      <c r="E128" s="67">
        <f t="shared" si="18"/>
        <v>1.0986122886681098</v>
      </c>
      <c r="F128" s="106" t="s">
        <v>77</v>
      </c>
      <c r="G128" s="73">
        <f>I124</f>
        <v>0.1026041861284136</v>
      </c>
      <c r="H128" s="127"/>
      <c r="I128" s="128">
        <f t="shared" si="15"/>
        <v>7535.0887014257341</v>
      </c>
    </row>
    <row r="129" spans="1:9" ht="15" customHeight="1">
      <c r="A129" s="65">
        <f t="shared" si="14"/>
        <v>1992</v>
      </c>
      <c r="B129" s="104">
        <f t="shared" si="14"/>
        <v>8124</v>
      </c>
      <c r="C129" s="126">
        <f t="shared" si="16"/>
        <v>7.0561752841004104</v>
      </c>
      <c r="D129" s="67">
        <f t="shared" si="17"/>
        <v>4</v>
      </c>
      <c r="E129" s="67">
        <f t="shared" si="18"/>
        <v>1.3862943611198906</v>
      </c>
      <c r="F129" s="106" t="s">
        <v>38</v>
      </c>
      <c r="G129" s="131">
        <f>EXP(G126)</f>
        <v>270.33193160402385</v>
      </c>
      <c r="H129" s="127"/>
      <c r="I129" s="128">
        <f t="shared" si="15"/>
        <v>7658.635804356556</v>
      </c>
    </row>
    <row r="130" spans="1:9" ht="15" customHeight="1">
      <c r="A130" s="65">
        <f t="shared" si="14"/>
        <v>1993</v>
      </c>
      <c r="B130" s="104">
        <f t="shared" si="14"/>
        <v>8360</v>
      </c>
      <c r="C130" s="126">
        <f t="shared" si="16"/>
        <v>7.2413662833223178</v>
      </c>
      <c r="D130" s="67">
        <f t="shared" si="17"/>
        <v>5</v>
      </c>
      <c r="E130" s="67">
        <f t="shared" si="18"/>
        <v>1.6094379124341003</v>
      </c>
      <c r="F130" s="106"/>
      <c r="G130" s="53"/>
      <c r="H130" s="127"/>
      <c r="I130" s="128">
        <f t="shared" si="15"/>
        <v>7772.5927814335528</v>
      </c>
    </row>
    <row r="131" spans="1:9" ht="15" customHeight="1">
      <c r="A131" s="65">
        <f t="shared" si="14"/>
        <v>1994</v>
      </c>
      <c r="B131" s="104">
        <f t="shared" si="14"/>
        <v>8694</v>
      </c>
      <c r="C131" s="126">
        <f t="shared" si="16"/>
        <v>7.4558766874918243</v>
      </c>
      <c r="D131" s="67">
        <f t="shared" si="17"/>
        <v>6</v>
      </c>
      <c r="E131" s="67">
        <f t="shared" si="18"/>
        <v>1.791759469228055</v>
      </c>
      <c r="F131" s="106"/>
      <c r="G131" s="53"/>
      <c r="H131" s="127"/>
      <c r="I131" s="128">
        <f t="shared" si="15"/>
        <v>7879.4475710098814</v>
      </c>
    </row>
    <row r="132" spans="1:9" ht="15" customHeight="1">
      <c r="A132" s="65">
        <f t="shared" si="14"/>
        <v>1995</v>
      </c>
      <c r="B132" s="104">
        <f t="shared" si="14"/>
        <v>9120</v>
      </c>
      <c r="C132" s="126">
        <f t="shared" si="16"/>
        <v>7.6760099320288875</v>
      </c>
      <c r="D132" s="67">
        <f t="shared" si="17"/>
        <v>7</v>
      </c>
      <c r="E132" s="67">
        <f t="shared" si="18"/>
        <v>1.9459101490553132</v>
      </c>
      <c r="F132" s="132" t="s">
        <v>85</v>
      </c>
      <c r="G132" s="53"/>
      <c r="H132" s="127"/>
      <c r="I132" s="128">
        <f t="shared" si="15"/>
        <v>7980.7363141624583</v>
      </c>
    </row>
    <row r="133" spans="1:9" ht="15" customHeight="1">
      <c r="A133" s="65">
        <f t="shared" si="14"/>
        <v>1996</v>
      </c>
      <c r="B133" s="104">
        <f t="shared" si="14"/>
        <v>9371</v>
      </c>
      <c r="C133" s="126">
        <f t="shared" si="16"/>
        <v>7.786136437783072</v>
      </c>
      <c r="D133" s="67">
        <f t="shared" si="17"/>
        <v>8</v>
      </c>
      <c r="E133" s="67">
        <f t="shared" si="18"/>
        <v>2.0794415416798357</v>
      </c>
      <c r="F133" s="132" t="s">
        <v>86</v>
      </c>
      <c r="G133" s="53"/>
      <c r="H133" s="127"/>
      <c r="I133" s="128">
        <f t="shared" si="15"/>
        <v>8077.4919290946591</v>
      </c>
    </row>
    <row r="134" spans="1:9" ht="15" customHeight="1">
      <c r="A134" s="65">
        <f t="shared" si="14"/>
        <v>1997</v>
      </c>
      <c r="B134" s="104">
        <f t="shared" si="14"/>
        <v>9504</v>
      </c>
      <c r="C134" s="126">
        <f t="shared" si="16"/>
        <v>7.8399193600125825</v>
      </c>
      <c r="D134" s="67">
        <f t="shared" si="17"/>
        <v>9</v>
      </c>
      <c r="E134" s="67">
        <f t="shared" si="18"/>
        <v>2.1972245773362196</v>
      </c>
      <c r="F134" s="132"/>
      <c r="G134" s="53"/>
      <c r="H134" s="127"/>
      <c r="I134" s="128">
        <f t="shared" si="15"/>
        <v>8170.4512799540707</v>
      </c>
    </row>
    <row r="135" spans="1:9" ht="15" customHeight="1">
      <c r="A135" s="65">
        <f t="shared" si="14"/>
        <v>1998</v>
      </c>
      <c r="B135" s="104">
        <f t="shared" si="14"/>
        <v>9329</v>
      </c>
      <c r="C135" s="126">
        <f t="shared" si="16"/>
        <v>7.7685333009260331</v>
      </c>
      <c r="D135" s="67">
        <f t="shared" si="17"/>
        <v>10</v>
      </c>
      <c r="E135" s="67">
        <f t="shared" si="18"/>
        <v>2.3025850929940459</v>
      </c>
      <c r="F135" s="132"/>
      <c r="G135" s="53"/>
      <c r="H135" s="127"/>
      <c r="I135" s="128">
        <f t="shared" si="15"/>
        <v>8260.1634433521212</v>
      </c>
    </row>
    <row r="136" spans="1:9" ht="15" customHeight="1">
      <c r="A136" s="65">
        <f t="shared" si="14"/>
        <v>1999</v>
      </c>
      <c r="B136" s="104">
        <f t="shared" si="14"/>
        <v>9142</v>
      </c>
      <c r="C136" s="126">
        <f t="shared" si="16"/>
        <v>7.6861623034929059</v>
      </c>
      <c r="D136" s="67">
        <f t="shared" si="17"/>
        <v>11</v>
      </c>
      <c r="E136" s="67">
        <f t="shared" si="18"/>
        <v>2.3978952727983707</v>
      </c>
      <c r="F136" s="132"/>
      <c r="G136" s="53"/>
      <c r="H136" s="127"/>
      <c r="I136" s="128">
        <f t="shared" si="15"/>
        <v>8347.0515035205044</v>
      </c>
    </row>
    <row r="137" spans="1:9" ht="15" customHeight="1">
      <c r="A137" s="65">
        <f t="shared" si="14"/>
        <v>2000</v>
      </c>
      <c r="B137" s="104">
        <f t="shared" si="14"/>
        <v>8940</v>
      </c>
      <c r="C137" s="126">
        <f t="shared" si="16"/>
        <v>7.5888298783078127</v>
      </c>
      <c r="D137" s="67">
        <f t="shared" si="17"/>
        <v>12</v>
      </c>
      <c r="E137" s="67">
        <f t="shared" si="18"/>
        <v>2.4849066497880004</v>
      </c>
      <c r="F137" s="132"/>
      <c r="G137" s="53"/>
      <c r="H137" s="127"/>
      <c r="I137" s="128">
        <f t="shared" si="15"/>
        <v>8431.4502457774051</v>
      </c>
    </row>
    <row r="138" spans="1:9" ht="15" customHeight="1">
      <c r="A138" s="65">
        <f t="shared" si="14"/>
        <v>2001</v>
      </c>
      <c r="B138" s="104">
        <f t="shared" si="14"/>
        <v>8630</v>
      </c>
      <c r="C138" s="126">
        <f t="shared" si="16"/>
        <v>7.4181808227267876</v>
      </c>
      <c r="D138" s="67">
        <f t="shared" si="17"/>
        <v>13</v>
      </c>
      <c r="E138" s="67">
        <f t="shared" si="18"/>
        <v>2.5649493574615367</v>
      </c>
      <c r="F138" s="132"/>
      <c r="G138" s="53"/>
      <c r="H138" s="127"/>
      <c r="I138" s="128">
        <f t="shared" si="15"/>
        <v>8513.6303762111856</v>
      </c>
    </row>
    <row r="139" spans="1:9" ht="15" customHeight="1">
      <c r="A139" s="65">
        <f t="shared" si="14"/>
        <v>2002</v>
      </c>
      <c r="B139" s="104">
        <f t="shared" si="14"/>
        <v>8501</v>
      </c>
      <c r="C139" s="126">
        <f t="shared" si="16"/>
        <v>7.3375877435385961</v>
      </c>
      <c r="D139" s="67">
        <f t="shared" si="17"/>
        <v>14</v>
      </c>
      <c r="E139" s="67">
        <f t="shared" si="18"/>
        <v>2.6390573296152584</v>
      </c>
      <c r="F139" s="132"/>
      <c r="G139" s="53"/>
      <c r="H139" s="127"/>
      <c r="I139" s="128">
        <f t="shared" si="15"/>
        <v>8593.8147500272389</v>
      </c>
    </row>
    <row r="140" spans="1:9" ht="15" customHeight="1">
      <c r="A140" s="65">
        <f t="shared" si="14"/>
        <v>2003</v>
      </c>
      <c r="B140" s="104">
        <f t="shared" si="14"/>
        <v>8223</v>
      </c>
      <c r="C140" s="126">
        <f t="shared" si="16"/>
        <v>7.1380730340443472</v>
      </c>
      <c r="D140" s="67">
        <f t="shared" si="17"/>
        <v>15</v>
      </c>
      <c r="E140" s="67">
        <f t="shared" si="18"/>
        <v>2.7080502011022101</v>
      </c>
      <c r="F140" s="132"/>
      <c r="G140" s="53"/>
      <c r="H140" s="127"/>
      <c r="I140" s="128">
        <f t="shared" si="15"/>
        <v>8672.1896274373994</v>
      </c>
    </row>
    <row r="141" spans="1:9" ht="15" customHeight="1">
      <c r="A141" s="65">
        <f t="shared" ref="A141:B145" si="19">A21</f>
        <v>2004</v>
      </c>
      <c r="B141" s="104">
        <f t="shared" si="19"/>
        <v>8067</v>
      </c>
      <c r="C141" s="126">
        <f t="shared" si="16"/>
        <v>7.0057890192535028</v>
      </c>
      <c r="D141" s="67">
        <f t="shared" si="17"/>
        <v>16</v>
      </c>
      <c r="E141" s="67">
        <f t="shared" si="18"/>
        <v>2.7725887222397811</v>
      </c>
      <c r="F141" s="132"/>
      <c r="G141" s="53"/>
      <c r="H141" s="127"/>
      <c r="I141" s="128">
        <f t="shared" si="15"/>
        <v>8748.9127102042166</v>
      </c>
    </row>
    <row r="142" spans="1:9" ht="15" customHeight="1">
      <c r="A142" s="65">
        <f t="shared" si="19"/>
        <v>2005</v>
      </c>
      <c r="B142" s="104">
        <f t="shared" si="19"/>
        <v>7803</v>
      </c>
      <c r="C142" s="126">
        <f t="shared" si="16"/>
        <v>6.7322107064672059</v>
      </c>
      <c r="D142" s="67">
        <f t="shared" si="17"/>
        <v>17</v>
      </c>
      <c r="E142" s="67">
        <f t="shared" si="18"/>
        <v>2.8332133440562162</v>
      </c>
      <c r="F142" s="132"/>
      <c r="G142" s="53"/>
      <c r="H142" s="127"/>
      <c r="I142" s="128">
        <f t="shared" si="15"/>
        <v>8824.1190229443528</v>
      </c>
    </row>
    <row r="143" spans="1:9" ht="15" customHeight="1">
      <c r="A143" s="65">
        <f t="shared" si="19"/>
        <v>2006</v>
      </c>
      <c r="B143" s="104">
        <f t="shared" si="19"/>
        <v>7699</v>
      </c>
      <c r="C143" s="126">
        <f t="shared" si="16"/>
        <v>6.5998704992128365</v>
      </c>
      <c r="D143" s="67">
        <f t="shared" si="17"/>
        <v>18</v>
      </c>
      <c r="E143" s="67">
        <f t="shared" si="18"/>
        <v>2.8903717578961645</v>
      </c>
      <c r="F143" s="132"/>
      <c r="G143" s="53"/>
      <c r="H143" s="127"/>
      <c r="I143" s="128">
        <f t="shared" si="15"/>
        <v>8897.9253097083765</v>
      </c>
    </row>
    <row r="144" spans="1:9" ht="15" customHeight="1" thickBot="1">
      <c r="A144" s="97">
        <f t="shared" si="19"/>
        <v>2007</v>
      </c>
      <c r="B144" s="116">
        <f t="shared" si="19"/>
        <v>7609</v>
      </c>
      <c r="C144" s="141">
        <f t="shared" si="16"/>
        <v>6.4692503167957724</v>
      </c>
      <c r="D144" s="99">
        <f t="shared" si="17"/>
        <v>19</v>
      </c>
      <c r="E144" s="99">
        <f t="shared" si="18"/>
        <v>2.9444389791664403</v>
      </c>
      <c r="F144" s="182"/>
      <c r="G144" s="101"/>
      <c r="H144" s="143"/>
      <c r="I144" s="144">
        <f t="shared" si="15"/>
        <v>8970.433382126861</v>
      </c>
    </row>
    <row r="145" spans="1:9" ht="15" customHeight="1" thickTop="1">
      <c r="A145" s="255">
        <f t="shared" si="19"/>
        <v>2008</v>
      </c>
      <c r="B145" s="81">
        <f>ROUND(LOOKUP(0,D$125:D$144,B$125:B$144)+G$129*D144^G$125,0)</f>
        <v>8970</v>
      </c>
      <c r="C145" s="257"/>
      <c r="D145" s="77">
        <f t="shared" si="17"/>
        <v>20</v>
      </c>
      <c r="E145" s="77">
        <f t="shared" si="18"/>
        <v>2.9957322735539909</v>
      </c>
      <c r="F145" s="122"/>
      <c r="G145" s="78"/>
      <c r="H145" s="258"/>
      <c r="I145" s="133">
        <f t="shared" si="15"/>
        <v>9041.732711024064</v>
      </c>
    </row>
    <row r="146" spans="1:9" ht="15" customHeight="1">
      <c r="A146" s="80">
        <v>2009</v>
      </c>
      <c r="B146" s="81">
        <f>ROUND(LOOKUP(0,D$125:D$144,B$125:B$144)+G$129*D145^G$125,0)</f>
        <v>9042</v>
      </c>
      <c r="C146" s="134"/>
      <c r="D146" s="67">
        <f t="shared" si="17"/>
        <v>21</v>
      </c>
      <c r="E146" s="67"/>
      <c r="F146" s="83"/>
      <c r="G146" s="69"/>
      <c r="H146" s="84"/>
      <c r="I146" s="128">
        <f t="shared" si="15"/>
        <v>9111.9024616224142</v>
      </c>
    </row>
    <row r="147" spans="1:9" ht="15" customHeight="1">
      <c r="A147" s="80">
        <v>2010</v>
      </c>
      <c r="B147" s="81">
        <f t="shared" ref="B147:B162" si="20">ROUND(LOOKUP(0,D$125:D$144,B$125:B$144)+G$129*D146^G$125,0)</f>
        <v>9112</v>
      </c>
      <c r="C147" s="134"/>
      <c r="D147" s="67">
        <f t="shared" si="17"/>
        <v>22</v>
      </c>
      <c r="E147" s="67"/>
      <c r="F147" s="83"/>
      <c r="G147" s="69"/>
      <c r="H147" s="84"/>
      <c r="I147" s="128">
        <f t="shared" si="15"/>
        <v>9181.013112531451</v>
      </c>
    </row>
    <row r="148" spans="1:9" ht="15" customHeight="1">
      <c r="A148" s="80">
        <v>2011</v>
      </c>
      <c r="B148" s="81">
        <f t="shared" si="20"/>
        <v>9181</v>
      </c>
      <c r="C148" s="134"/>
      <c r="D148" s="67">
        <f t="shared" si="17"/>
        <v>23</v>
      </c>
      <c r="E148" s="67"/>
      <c r="F148" s="83"/>
      <c r="G148" s="69"/>
      <c r="H148" s="84"/>
      <c r="I148" s="128">
        <f t="shared" si="15"/>
        <v>9249.1277586372853</v>
      </c>
    </row>
    <row r="149" spans="1:9" ht="15" customHeight="1">
      <c r="A149" s="80">
        <v>2012</v>
      </c>
      <c r="B149" s="81">
        <f t="shared" si="20"/>
        <v>9249</v>
      </c>
      <c r="C149" s="134"/>
      <c r="D149" s="67">
        <f t="shared" si="17"/>
        <v>24</v>
      </c>
      <c r="E149" s="67"/>
      <c r="F149" s="83"/>
      <c r="G149" s="69"/>
      <c r="H149" s="84"/>
      <c r="I149" s="128">
        <f t="shared" si="15"/>
        <v>9316.3031706300972</v>
      </c>
    </row>
    <row r="150" spans="1:9" ht="15" customHeight="1">
      <c r="A150" s="80">
        <v>2013</v>
      </c>
      <c r="B150" s="81">
        <f t="shared" si="20"/>
        <v>9316</v>
      </c>
      <c r="C150" s="134"/>
      <c r="D150" s="67">
        <f t="shared" si="17"/>
        <v>25</v>
      </c>
      <c r="E150" s="67"/>
      <c r="F150" s="83"/>
      <c r="G150" s="69"/>
      <c r="H150" s="84"/>
      <c r="I150" s="128">
        <f t="shared" si="15"/>
        <v>9382.5906648429282</v>
      </c>
    </row>
    <row r="151" spans="1:9" ht="15" customHeight="1">
      <c r="A151" s="80">
        <v>2014</v>
      </c>
      <c r="B151" s="81">
        <f t="shared" si="20"/>
        <v>9383</v>
      </c>
      <c r="C151" s="134"/>
      <c r="D151" s="67">
        <f t="shared" si="17"/>
        <v>26</v>
      </c>
      <c r="E151" s="67"/>
      <c r="F151" s="83"/>
      <c r="G151" s="69"/>
      <c r="H151" s="84"/>
      <c r="I151" s="128">
        <f t="shared" si="15"/>
        <v>9448.0368235688838</v>
      </c>
    </row>
    <row r="152" spans="1:9" ht="15" customHeight="1">
      <c r="A152" s="80">
        <v>2015</v>
      </c>
      <c r="B152" s="81">
        <f t="shared" si="20"/>
        <v>9448</v>
      </c>
      <c r="C152" s="134"/>
      <c r="D152" s="67">
        <f t="shared" si="17"/>
        <v>27</v>
      </c>
      <c r="E152" s="67"/>
      <c r="F152" s="83"/>
      <c r="G152" s="69"/>
      <c r="H152" s="84"/>
      <c r="I152" s="128">
        <f t="shared" si="15"/>
        <v>9512.6840963042523</v>
      </c>
    </row>
    <row r="153" spans="1:9" ht="15" customHeight="1">
      <c r="A153" s="80">
        <v>2016</v>
      </c>
      <c r="B153" s="81">
        <f t="shared" si="20"/>
        <v>9513</v>
      </c>
      <c r="C153" s="134"/>
      <c r="D153" s="67">
        <f t="shared" si="17"/>
        <v>28</v>
      </c>
      <c r="E153" s="67"/>
      <c r="F153" s="83"/>
      <c r="G153" s="69"/>
      <c r="H153" s="84"/>
      <c r="I153" s="128">
        <f t="shared" si="15"/>
        <v>9576.5713052695337</v>
      </c>
    </row>
    <row r="154" spans="1:9" ht="15" customHeight="1">
      <c r="A154" s="80">
        <v>2017</v>
      </c>
      <c r="B154" s="81">
        <f t="shared" si="20"/>
        <v>9577</v>
      </c>
      <c r="C154" s="134"/>
      <c r="D154" s="67">
        <f t="shared" si="17"/>
        <v>29</v>
      </c>
      <c r="E154" s="67"/>
      <c r="F154" s="83"/>
      <c r="G154" s="69"/>
      <c r="H154" s="84"/>
      <c r="I154" s="128">
        <f t="shared" si="15"/>
        <v>9639.7340733123074</v>
      </c>
    </row>
    <row r="155" spans="1:9" ht="15" customHeight="1">
      <c r="A155" s="80">
        <v>2018</v>
      </c>
      <c r="B155" s="81">
        <f t="shared" si="20"/>
        <v>9640</v>
      </c>
      <c r="C155" s="134"/>
      <c r="D155" s="67">
        <f t="shared" si="17"/>
        <v>30</v>
      </c>
      <c r="E155" s="67"/>
      <c r="F155" s="83"/>
      <c r="G155" s="69"/>
      <c r="H155" s="84"/>
      <c r="I155" s="128">
        <f t="shared" si="15"/>
        <v>9702.2051883672175</v>
      </c>
    </row>
    <row r="156" spans="1:9" ht="15" customHeight="1">
      <c r="A156" s="80">
        <v>2019</v>
      </c>
      <c r="B156" s="81">
        <f t="shared" si="20"/>
        <v>9702</v>
      </c>
      <c r="C156" s="134"/>
      <c r="D156" s="67">
        <f t="shared" si="17"/>
        <v>31</v>
      </c>
      <c r="E156" s="67"/>
      <c r="F156" s="83"/>
      <c r="G156" s="69"/>
      <c r="H156" s="84"/>
      <c r="I156" s="128">
        <f t="shared" si="15"/>
        <v>9764.014915674461</v>
      </c>
    </row>
    <row r="157" spans="1:9" ht="15" customHeight="1">
      <c r="A157" s="80">
        <v>2020</v>
      </c>
      <c r="B157" s="81">
        <f t="shared" si="20"/>
        <v>9764</v>
      </c>
      <c r="C157" s="134"/>
      <c r="D157" s="67">
        <f t="shared" si="17"/>
        <v>32</v>
      </c>
      <c r="E157" s="67"/>
      <c r="F157" s="83"/>
      <c r="G157" s="69"/>
      <c r="H157" s="84"/>
      <c r="I157" s="128">
        <f t="shared" si="15"/>
        <v>9825.1912666838216</v>
      </c>
    </row>
    <row r="158" spans="1:9" ht="15" customHeight="1">
      <c r="A158" s="80">
        <v>2021</v>
      </c>
      <c r="B158" s="81">
        <f t="shared" si="20"/>
        <v>9825</v>
      </c>
      <c r="C158" s="134"/>
      <c r="D158" s="67">
        <f t="shared" si="17"/>
        <v>33</v>
      </c>
      <c r="E158" s="67"/>
      <c r="F158" s="83"/>
      <c r="G158" s="69"/>
      <c r="H158" s="84"/>
      <c r="I158" s="128">
        <f t="shared" si="15"/>
        <v>9885.7602318152367</v>
      </c>
    </row>
    <row r="159" spans="1:9" ht="15" customHeight="1">
      <c r="A159" s="80">
        <v>2022</v>
      </c>
      <c r="B159" s="81">
        <f t="shared" si="20"/>
        <v>9886</v>
      </c>
      <c r="C159" s="134"/>
      <c r="D159" s="67">
        <f t="shared" si="17"/>
        <v>34</v>
      </c>
      <c r="E159" s="67"/>
      <c r="F159" s="83"/>
      <c r="G159" s="69"/>
      <c r="H159" s="84"/>
      <c r="I159" s="128">
        <f t="shared" si="15"/>
        <v>9945.7459828788524</v>
      </c>
    </row>
    <row r="160" spans="1:9" ht="15" customHeight="1">
      <c r="A160" s="80">
        <v>2023</v>
      </c>
      <c r="B160" s="81">
        <f t="shared" si="20"/>
        <v>9946</v>
      </c>
      <c r="C160" s="134"/>
      <c r="D160" s="67">
        <f t="shared" si="17"/>
        <v>35</v>
      </c>
      <c r="E160" s="67"/>
      <c r="F160" s="83"/>
      <c r="G160" s="69"/>
      <c r="H160" s="84"/>
      <c r="I160" s="128">
        <f t="shared" si="15"/>
        <v>10005.171049883043</v>
      </c>
    </row>
    <row r="161" spans="1:9" ht="15" customHeight="1">
      <c r="A161" s="80">
        <v>2024</v>
      </c>
      <c r="B161" s="81">
        <f t="shared" si="20"/>
        <v>10005</v>
      </c>
      <c r="C161" s="135"/>
      <c r="D161" s="67">
        <f t="shared" si="17"/>
        <v>36</v>
      </c>
      <c r="E161" s="67"/>
      <c r="F161" s="69"/>
      <c r="G161" s="69"/>
      <c r="H161" s="69"/>
      <c r="I161" s="136">
        <f t="shared" si="15"/>
        <v>10064.056476108195</v>
      </c>
    </row>
    <row r="162" spans="1:9" ht="15" customHeight="1">
      <c r="A162" s="85">
        <v>2025</v>
      </c>
      <c r="B162" s="81">
        <f t="shared" si="20"/>
        <v>10064</v>
      </c>
      <c r="C162" s="137"/>
      <c r="D162" s="87">
        <f t="shared" si="17"/>
        <v>37</v>
      </c>
      <c r="E162" s="87"/>
      <c r="F162" s="89"/>
      <c r="G162" s="89"/>
      <c r="H162" s="89"/>
      <c r="I162" s="138">
        <f t="shared" si="15"/>
        <v>10122.421954645763</v>
      </c>
    </row>
    <row r="163" spans="1:9" ht="15" customHeight="1">
      <c r="A163" s="56" t="s">
        <v>87</v>
      </c>
      <c r="B163" s="57"/>
    </row>
    <row r="164" spans="1:9" ht="15" customHeight="1">
      <c r="A164" s="58" t="s">
        <v>32</v>
      </c>
      <c r="B164" s="59" t="s">
        <v>40</v>
      </c>
      <c r="C164" s="59" t="s">
        <v>36</v>
      </c>
      <c r="D164" s="59" t="s">
        <v>33</v>
      </c>
      <c r="E164" s="103"/>
      <c r="F164" s="60"/>
      <c r="G164" s="61"/>
      <c r="H164" s="63" t="s">
        <v>104</v>
      </c>
      <c r="I164" s="64">
        <f>RSQ(I165:I185,B165:B185)</f>
        <v>4.8295939421677293E-2</v>
      </c>
    </row>
    <row r="165" spans="1:9" ht="15" customHeight="1">
      <c r="A165" s="65">
        <f t="shared" ref="A165:A185" si="21">A5</f>
        <v>1988</v>
      </c>
      <c r="B165" s="104">
        <f t="shared" ref="B165:B184" si="22">+B5</f>
        <v>6964</v>
      </c>
      <c r="C165" s="126">
        <f t="shared" ref="C165:C184" si="23">LN(F$168/B165-1)</f>
        <v>0.54781258871354477</v>
      </c>
      <c r="D165" s="67">
        <v>0</v>
      </c>
      <c r="E165" s="106" t="s">
        <v>75</v>
      </c>
      <c r="F165" s="139">
        <f>INDEX(LINEST(C165:C184,D165:D184),1)</f>
        <v>-6.0928055506198238E-3</v>
      </c>
      <c r="G165" s="140" t="s">
        <v>88</v>
      </c>
      <c r="H165" s="127"/>
      <c r="I165" s="128">
        <f t="shared" ref="I165:I202" si="24">$F$168/(1+EXP($F$166+$F$165*D165))</f>
        <v>8026.505475018369</v>
      </c>
    </row>
    <row r="166" spans="1:9" ht="15" customHeight="1">
      <c r="A166" s="65">
        <f t="shared" si="21"/>
        <v>1989</v>
      </c>
      <c r="B166" s="104">
        <f t="shared" si="22"/>
        <v>7042</v>
      </c>
      <c r="C166" s="126">
        <f t="shared" si="23"/>
        <v>0.53017707423497917</v>
      </c>
      <c r="D166" s="67">
        <f t="shared" ref="D166:D202" si="25">D165+1</f>
        <v>1</v>
      </c>
      <c r="E166" s="106" t="s">
        <v>76</v>
      </c>
      <c r="F166" s="139">
        <f>INDEX(LINEST(C165:C184,D165:D184),2)</f>
        <v>0.31346229065022302</v>
      </c>
      <c r="G166" s="69"/>
      <c r="H166" s="127"/>
      <c r="I166" s="128">
        <f t="shared" si="24"/>
        <v>8054.7720529694643</v>
      </c>
    </row>
    <row r="167" spans="1:9" ht="15" customHeight="1">
      <c r="A167" s="65">
        <f t="shared" si="21"/>
        <v>1990</v>
      </c>
      <c r="B167" s="104">
        <f t="shared" si="22"/>
        <v>7161</v>
      </c>
      <c r="C167" s="126">
        <f t="shared" si="23"/>
        <v>0.50342503494781932</v>
      </c>
      <c r="D167" s="67">
        <f t="shared" si="25"/>
        <v>2</v>
      </c>
      <c r="E167" s="106" t="s">
        <v>77</v>
      </c>
      <c r="F167" s="73">
        <f>I164</f>
        <v>4.8295939421677293E-2</v>
      </c>
      <c r="G167" s="69"/>
      <c r="H167" s="127"/>
      <c r="I167" s="128">
        <f t="shared" si="24"/>
        <v>8083.0649046227327</v>
      </c>
    </row>
    <row r="168" spans="1:9" ht="15" customHeight="1">
      <c r="A168" s="65">
        <f t="shared" si="21"/>
        <v>1991</v>
      </c>
      <c r="B168" s="104">
        <f t="shared" si="22"/>
        <v>7805</v>
      </c>
      <c r="C168" s="126">
        <f t="shared" si="23"/>
        <v>0.3614170456091908</v>
      </c>
      <c r="D168" s="67">
        <f t="shared" si="25"/>
        <v>3</v>
      </c>
      <c r="E168" s="106" t="s">
        <v>39</v>
      </c>
      <c r="F168" s="110">
        <f>MAX(B165:B184)*2</f>
        <v>19008</v>
      </c>
      <c r="G168" s="69"/>
      <c r="H168" s="127"/>
      <c r="I168" s="128">
        <f t="shared" si="24"/>
        <v>8111.3835407550132</v>
      </c>
    </row>
    <row r="169" spans="1:9" ht="15" customHeight="1">
      <c r="A169" s="65">
        <f t="shared" si="21"/>
        <v>1992</v>
      </c>
      <c r="B169" s="104">
        <f t="shared" si="22"/>
        <v>8124</v>
      </c>
      <c r="C169" s="126">
        <f t="shared" si="23"/>
        <v>0.29247117720286142</v>
      </c>
      <c r="D169" s="67">
        <f t="shared" si="25"/>
        <v>4</v>
      </c>
      <c r="E169" s="106"/>
      <c r="F169" s="53"/>
      <c r="G169" s="69"/>
      <c r="H169" s="127"/>
      <c r="I169" s="128">
        <f t="shared" si="24"/>
        <v>8139.7274702930144</v>
      </c>
    </row>
    <row r="170" spans="1:9" ht="15" customHeight="1">
      <c r="A170" s="65">
        <f t="shared" si="21"/>
        <v>1993</v>
      </c>
      <c r="B170" s="104">
        <f t="shared" si="22"/>
        <v>8360</v>
      </c>
      <c r="C170" s="126">
        <f t="shared" si="23"/>
        <v>0.24191365399620021</v>
      </c>
      <c r="D170" s="67">
        <f t="shared" si="25"/>
        <v>5</v>
      </c>
      <c r="E170" s="106"/>
      <c r="F170" s="53"/>
      <c r="G170" s="69"/>
      <c r="H170" s="127"/>
      <c r="I170" s="128">
        <f t="shared" si="24"/>
        <v>8168.0962003460581</v>
      </c>
    </row>
    <row r="171" spans="1:9" ht="15" customHeight="1">
      <c r="A171" s="65">
        <f t="shared" si="21"/>
        <v>1994</v>
      </c>
      <c r="B171" s="104">
        <f t="shared" si="22"/>
        <v>8694</v>
      </c>
      <c r="C171" s="126">
        <f t="shared" si="23"/>
        <v>0.17086906306216698</v>
      </c>
      <c r="D171" s="67">
        <f t="shared" si="25"/>
        <v>6</v>
      </c>
      <c r="E171" s="132" t="s">
        <v>89</v>
      </c>
      <c r="F171" s="53"/>
      <c r="G171" s="69"/>
      <c r="H171" s="127"/>
      <c r="I171" s="128">
        <f t="shared" si="24"/>
        <v>8196.4892362391129</v>
      </c>
    </row>
    <row r="172" spans="1:9" ht="15" customHeight="1">
      <c r="A172" s="65">
        <f t="shared" si="21"/>
        <v>1995</v>
      </c>
      <c r="B172" s="104">
        <f t="shared" si="22"/>
        <v>9120</v>
      </c>
      <c r="C172" s="126">
        <f t="shared" si="23"/>
        <v>8.0852096629094775E-2</v>
      </c>
      <c r="D172" s="67">
        <f t="shared" si="25"/>
        <v>7</v>
      </c>
      <c r="E172" s="132" t="s">
        <v>90</v>
      </c>
      <c r="F172" s="53"/>
      <c r="G172" s="69"/>
      <c r="H172" s="127"/>
      <c r="I172" s="128">
        <f t="shared" si="24"/>
        <v>8224.9060815460798</v>
      </c>
    </row>
    <row r="173" spans="1:9" ht="15" customHeight="1">
      <c r="A173" s="65">
        <f t="shared" si="21"/>
        <v>1996</v>
      </c>
      <c r="B173" s="104">
        <f t="shared" si="22"/>
        <v>9371</v>
      </c>
      <c r="C173" s="126">
        <f t="shared" si="23"/>
        <v>2.7990042727463648E-2</v>
      </c>
      <c r="D173" s="67">
        <f t="shared" si="25"/>
        <v>8</v>
      </c>
      <c r="E173" s="132"/>
      <c r="F173" s="53"/>
      <c r="G173" s="69"/>
      <c r="H173" s="127"/>
      <c r="I173" s="128">
        <f t="shared" si="24"/>
        <v>8253.3462381233694</v>
      </c>
    </row>
    <row r="174" spans="1:9" ht="15" customHeight="1">
      <c r="A174" s="65">
        <f t="shared" si="21"/>
        <v>1997</v>
      </c>
      <c r="B174" s="104">
        <f t="shared" si="22"/>
        <v>9504</v>
      </c>
      <c r="C174" s="126">
        <f t="shared" si="23"/>
        <v>0</v>
      </c>
      <c r="D174" s="67">
        <f t="shared" si="25"/>
        <v>9</v>
      </c>
      <c r="E174" s="132"/>
      <c r="F174" s="53"/>
      <c r="G174" s="69"/>
      <c r="H174" s="127"/>
      <c r="I174" s="128">
        <f t="shared" si="24"/>
        <v>8281.8092061437055</v>
      </c>
    </row>
    <row r="175" spans="1:9" ht="15" customHeight="1">
      <c r="A175" s="65">
        <f t="shared" si="21"/>
        <v>1998</v>
      </c>
      <c r="B175" s="104">
        <f t="shared" si="22"/>
        <v>9329</v>
      </c>
      <c r="C175" s="126">
        <f t="shared" si="23"/>
        <v>3.6830762188127641E-2</v>
      </c>
      <c r="D175" s="67">
        <f t="shared" si="25"/>
        <v>10</v>
      </c>
      <c r="E175" s="132"/>
      <c r="F175" s="53"/>
      <c r="G175" s="69"/>
      <c r="H175" s="127"/>
      <c r="I175" s="128">
        <f t="shared" si="24"/>
        <v>8310.2944841302105</v>
      </c>
    </row>
    <row r="176" spans="1:9" ht="15" customHeight="1">
      <c r="A176" s="65">
        <f t="shared" si="21"/>
        <v>1999</v>
      </c>
      <c r="B176" s="104">
        <f t="shared" si="22"/>
        <v>9142</v>
      </c>
      <c r="C176" s="126">
        <f t="shared" si="23"/>
        <v>7.6215322901994051E-2</v>
      </c>
      <c r="D176" s="67">
        <f t="shared" si="25"/>
        <v>11</v>
      </c>
      <c r="E176" s="132"/>
      <c r="F176" s="53"/>
      <c r="G176" s="69"/>
      <c r="H176" s="127"/>
      <c r="I176" s="128">
        <f t="shared" si="24"/>
        <v>8338.8015689907352</v>
      </c>
    </row>
    <row r="177" spans="1:9" ht="15" customHeight="1">
      <c r="A177" s="65">
        <f t="shared" si="21"/>
        <v>2000</v>
      </c>
      <c r="B177" s="104">
        <f t="shared" si="22"/>
        <v>8940</v>
      </c>
      <c r="C177" s="126">
        <f t="shared" si="23"/>
        <v>0.11882648808764662</v>
      </c>
      <c r="D177" s="67">
        <f t="shared" si="25"/>
        <v>12</v>
      </c>
      <c r="E177" s="132"/>
      <c r="F177" s="53"/>
      <c r="G177" s="69"/>
      <c r="H177" s="127"/>
      <c r="I177" s="128">
        <f t="shared" si="24"/>
        <v>8367.3299560524338</v>
      </c>
    </row>
    <row r="178" spans="1:9" ht="15" customHeight="1">
      <c r="A178" s="65">
        <f t="shared" si="21"/>
        <v>2001</v>
      </c>
      <c r="B178" s="104">
        <f t="shared" si="22"/>
        <v>8630</v>
      </c>
      <c r="C178" s="126">
        <f t="shared" si="23"/>
        <v>0.18444367585021137</v>
      </c>
      <c r="D178" s="67">
        <f t="shared" si="25"/>
        <v>13</v>
      </c>
      <c r="E178" s="132"/>
      <c r="F178" s="53"/>
      <c r="G178" s="69"/>
      <c r="H178" s="127"/>
      <c r="I178" s="128">
        <f t="shared" si="24"/>
        <v>8395.8791390965689</v>
      </c>
    </row>
    <row r="179" spans="1:9" ht="15" customHeight="1">
      <c r="A179" s="65">
        <f t="shared" si="21"/>
        <v>2002</v>
      </c>
      <c r="B179" s="104">
        <f t="shared" si="22"/>
        <v>8501</v>
      </c>
      <c r="C179" s="126">
        <f t="shared" si="23"/>
        <v>0.21185789807141628</v>
      </c>
      <c r="D179" s="67">
        <f t="shared" si="25"/>
        <v>14</v>
      </c>
      <c r="E179" s="132"/>
      <c r="F179" s="53"/>
      <c r="G179" s="69"/>
      <c r="H179" s="127"/>
      <c r="I179" s="128">
        <f t="shared" si="24"/>
        <v>8424.4486103935797</v>
      </c>
    </row>
    <row r="180" spans="1:9" ht="15" customHeight="1">
      <c r="A180" s="65">
        <f t="shared" si="21"/>
        <v>2003</v>
      </c>
      <c r="B180" s="104">
        <f t="shared" si="22"/>
        <v>8223</v>
      </c>
      <c r="C180" s="126">
        <f t="shared" si="23"/>
        <v>0.27122117385236111</v>
      </c>
      <c r="D180" s="67">
        <f t="shared" si="25"/>
        <v>15</v>
      </c>
      <c r="E180" s="132"/>
      <c r="F180" s="53"/>
      <c r="G180" s="69"/>
      <c r="H180" s="127"/>
      <c r="I180" s="128">
        <f t="shared" si="24"/>
        <v>8453.0378607383518</v>
      </c>
    </row>
    <row r="181" spans="1:9" ht="15" customHeight="1">
      <c r="A181" s="65">
        <f t="shared" si="21"/>
        <v>2004</v>
      </c>
      <c r="B181" s="104">
        <f t="shared" si="22"/>
        <v>8067</v>
      </c>
      <c r="C181" s="126">
        <f t="shared" si="23"/>
        <v>0.30473553453981556</v>
      </c>
      <c r="D181" s="67">
        <f t="shared" si="25"/>
        <v>16</v>
      </c>
      <c r="E181" s="106"/>
      <c r="F181" s="53"/>
      <c r="G181" s="69"/>
      <c r="H181" s="127"/>
      <c r="I181" s="128">
        <f t="shared" si="24"/>
        <v>8481.6463794857355</v>
      </c>
    </row>
    <row r="182" spans="1:9" ht="15" customHeight="1">
      <c r="A182" s="65">
        <f t="shared" si="21"/>
        <v>2005</v>
      </c>
      <c r="B182" s="104">
        <f t="shared" si="22"/>
        <v>7803</v>
      </c>
      <c r="C182" s="126">
        <f t="shared" si="23"/>
        <v>0.36185183211826616</v>
      </c>
      <c r="D182" s="67">
        <f t="shared" si="25"/>
        <v>17</v>
      </c>
      <c r="E182" s="83"/>
      <c r="F182" s="69"/>
      <c r="G182" s="69"/>
      <c r="H182" s="127"/>
      <c r="I182" s="128">
        <f t="shared" si="24"/>
        <v>8510.2736545862772</v>
      </c>
    </row>
    <row r="183" spans="1:9" ht="15" customHeight="1">
      <c r="A183" s="65">
        <f t="shared" si="21"/>
        <v>2006</v>
      </c>
      <c r="B183" s="104">
        <f t="shared" si="22"/>
        <v>7699</v>
      </c>
      <c r="C183" s="126">
        <f t="shared" si="23"/>
        <v>0.38450841859327728</v>
      </c>
      <c r="D183" s="67">
        <f t="shared" si="25"/>
        <v>18</v>
      </c>
      <c r="E183" s="83"/>
      <c r="F183" s="69"/>
      <c r="G183" s="69"/>
      <c r="H183" s="127"/>
      <c r="I183" s="128">
        <f t="shared" si="24"/>
        <v>8538.9191726221561</v>
      </c>
    </row>
    <row r="184" spans="1:9" ht="15" customHeight="1" thickBot="1">
      <c r="A184" s="97">
        <f t="shared" si="21"/>
        <v>2007</v>
      </c>
      <c r="B184" s="116">
        <f t="shared" si="22"/>
        <v>7609</v>
      </c>
      <c r="C184" s="141">
        <f t="shared" si="23"/>
        <v>0.40419387506025567</v>
      </c>
      <c r="D184" s="99">
        <f t="shared" si="25"/>
        <v>19</v>
      </c>
      <c r="E184" s="142"/>
      <c r="F184" s="100"/>
      <c r="G184" s="100"/>
      <c r="H184" s="143"/>
      <c r="I184" s="144">
        <f t="shared" si="24"/>
        <v>8567.582418843358</v>
      </c>
    </row>
    <row r="185" spans="1:9" ht="15" customHeight="1" thickTop="1">
      <c r="A185" s="255">
        <f t="shared" si="21"/>
        <v>2008</v>
      </c>
      <c r="B185" s="81">
        <f t="shared" ref="B185:B202" si="26">ROUND(F$168/(1+EXP(F$166+F$165*D185)),0)</f>
        <v>8596</v>
      </c>
      <c r="C185" s="257"/>
      <c r="D185" s="77">
        <f t="shared" si="25"/>
        <v>20</v>
      </c>
      <c r="E185" s="122"/>
      <c r="F185" s="78"/>
      <c r="G185" s="78"/>
      <c r="H185" s="258"/>
      <c r="I185" s="133">
        <f t="shared" si="24"/>
        <v>8596.2628772040298</v>
      </c>
    </row>
    <row r="186" spans="1:9" ht="15" customHeight="1">
      <c r="A186" s="80">
        <v>2009</v>
      </c>
      <c r="B186" s="81">
        <f t="shared" si="26"/>
        <v>8625</v>
      </c>
      <c r="C186" s="134"/>
      <c r="D186" s="67">
        <f t="shared" si="25"/>
        <v>21</v>
      </c>
      <c r="E186" s="83"/>
      <c r="F186" s="69"/>
      <c r="G186" s="69"/>
      <c r="H186" s="84"/>
      <c r="I186" s="128">
        <f t="shared" si="24"/>
        <v>8624.9600303990374</v>
      </c>
    </row>
    <row r="187" spans="1:9" ht="15" customHeight="1">
      <c r="A187" s="80">
        <v>2010</v>
      </c>
      <c r="B187" s="81">
        <f t="shared" si="26"/>
        <v>8654</v>
      </c>
      <c r="C187" s="134"/>
      <c r="D187" s="67">
        <f t="shared" si="25"/>
        <v>22</v>
      </c>
      <c r="E187" s="83"/>
      <c r="F187" s="69"/>
      <c r="G187" s="69"/>
      <c r="H187" s="84"/>
      <c r="I187" s="128">
        <f t="shared" si="24"/>
        <v>8653.6733599007403</v>
      </c>
    </row>
    <row r="188" spans="1:9" ht="15" customHeight="1">
      <c r="A188" s="80">
        <v>2011</v>
      </c>
      <c r="B188" s="81">
        <f t="shared" si="26"/>
        <v>8682</v>
      </c>
      <c r="C188" s="134"/>
      <c r="D188" s="67">
        <f t="shared" si="25"/>
        <v>23</v>
      </c>
      <c r="E188" s="83"/>
      <c r="F188" s="69"/>
      <c r="G188" s="69"/>
      <c r="H188" s="84"/>
      <c r="I188" s="128">
        <f t="shared" si="24"/>
        <v>8682.4023459959226</v>
      </c>
    </row>
    <row r="189" spans="1:9" ht="15" customHeight="1">
      <c r="A189" s="80">
        <v>2012</v>
      </c>
      <c r="B189" s="81">
        <f t="shared" si="26"/>
        <v>8711</v>
      </c>
      <c r="C189" s="134"/>
      <c r="D189" s="67">
        <f t="shared" si="25"/>
        <v>24</v>
      </c>
      <c r="E189" s="83"/>
      <c r="F189" s="69"/>
      <c r="G189" s="69"/>
      <c r="H189" s="84"/>
      <c r="I189" s="128">
        <f t="shared" si="24"/>
        <v>8711.1464678229349</v>
      </c>
    </row>
    <row r="190" spans="1:9" ht="15" customHeight="1">
      <c r="A190" s="80">
        <v>2013</v>
      </c>
      <c r="B190" s="81">
        <f t="shared" si="26"/>
        <v>8740</v>
      </c>
      <c r="C190" s="134"/>
      <c r="D190" s="67">
        <f t="shared" si="25"/>
        <v>25</v>
      </c>
      <c r="E190" s="83"/>
      <c r="F190" s="69"/>
      <c r="G190" s="69"/>
      <c r="H190" s="84"/>
      <c r="I190" s="128">
        <f t="shared" si="24"/>
        <v>8739.9052034090018</v>
      </c>
    </row>
    <row r="191" spans="1:9" ht="15" customHeight="1">
      <c r="A191" s="80">
        <v>2014</v>
      </c>
      <c r="B191" s="81">
        <f t="shared" si="26"/>
        <v>8769</v>
      </c>
      <c r="C191" s="134"/>
      <c r="D191" s="67">
        <f t="shared" si="25"/>
        <v>26</v>
      </c>
      <c r="E191" s="83"/>
      <c r="F191" s="69"/>
      <c r="G191" s="69"/>
      <c r="H191" s="84"/>
      <c r="I191" s="128">
        <f t="shared" si="24"/>
        <v>8768.6780297077003</v>
      </c>
    </row>
    <row r="192" spans="1:9" ht="15" customHeight="1">
      <c r="A192" s="80">
        <v>2015</v>
      </c>
      <c r="B192" s="81">
        <f t="shared" si="26"/>
        <v>8797</v>
      </c>
      <c r="C192" s="134"/>
      <c r="D192" s="67">
        <f t="shared" si="25"/>
        <v>27</v>
      </c>
      <c r="E192" s="83"/>
      <c r="F192" s="69"/>
      <c r="G192" s="69"/>
      <c r="H192" s="84"/>
      <c r="I192" s="128">
        <f t="shared" si="24"/>
        <v>8797.4644226366163</v>
      </c>
    </row>
    <row r="193" spans="1:10" ht="15" customHeight="1">
      <c r="A193" s="80">
        <v>2016</v>
      </c>
      <c r="B193" s="81">
        <f t="shared" si="26"/>
        <v>8826</v>
      </c>
      <c r="C193" s="134"/>
      <c r="D193" s="67">
        <f t="shared" si="25"/>
        <v>28</v>
      </c>
      <c r="E193" s="83"/>
      <c r="F193" s="69"/>
      <c r="G193" s="69"/>
      <c r="H193" s="84"/>
      <c r="I193" s="128">
        <f t="shared" si="24"/>
        <v>8826.2638571151474</v>
      </c>
    </row>
    <row r="194" spans="1:10" ht="15" customHeight="1">
      <c r="A194" s="80">
        <v>2017</v>
      </c>
      <c r="B194" s="81">
        <f t="shared" si="26"/>
        <v>8855</v>
      </c>
      <c r="C194" s="134"/>
      <c r="D194" s="67">
        <f t="shared" si="25"/>
        <v>29</v>
      </c>
      <c r="E194" s="83"/>
      <c r="F194" s="69"/>
      <c r="G194" s="69"/>
      <c r="H194" s="84"/>
      <c r="I194" s="128">
        <f t="shared" si="24"/>
        <v>8855.0758071024793</v>
      </c>
    </row>
    <row r="195" spans="1:10" ht="15" customHeight="1">
      <c r="A195" s="80">
        <v>2018</v>
      </c>
      <c r="B195" s="81">
        <f t="shared" si="26"/>
        <v>8884</v>
      </c>
      <c r="C195" s="134"/>
      <c r="D195" s="67">
        <f t="shared" si="25"/>
        <v>30</v>
      </c>
      <c r="E195" s="83"/>
      <c r="F195" s="69"/>
      <c r="G195" s="69"/>
      <c r="H195" s="84"/>
      <c r="I195" s="128">
        <f t="shared" si="24"/>
        <v>8883.8997456356828</v>
      </c>
    </row>
    <row r="196" spans="1:10" ht="15" customHeight="1">
      <c r="A196" s="80">
        <v>2019</v>
      </c>
      <c r="B196" s="81">
        <f t="shared" si="26"/>
        <v>8913</v>
      </c>
      <c r="C196" s="134"/>
      <c r="D196" s="67">
        <f t="shared" si="25"/>
        <v>31</v>
      </c>
      <c r="E196" s="83"/>
      <c r="F196" s="69"/>
      <c r="G196" s="69"/>
      <c r="H196" s="84"/>
      <c r="I196" s="128">
        <f t="shared" si="24"/>
        <v>8912.7351448680001</v>
      </c>
    </row>
    <row r="197" spans="1:10" ht="15" customHeight="1">
      <c r="A197" s="80">
        <v>2020</v>
      </c>
      <c r="B197" s="81">
        <f t="shared" si="26"/>
        <v>8942</v>
      </c>
      <c r="C197" s="134"/>
      <c r="D197" s="67">
        <f t="shared" si="25"/>
        <v>32</v>
      </c>
      <c r="E197" s="83"/>
      <c r="F197" s="69"/>
      <c r="G197" s="69"/>
      <c r="H197" s="84"/>
      <c r="I197" s="128">
        <f t="shared" si="24"/>
        <v>8941.581476107227</v>
      </c>
    </row>
    <row r="198" spans="1:10" ht="15" customHeight="1">
      <c r="A198" s="80">
        <v>2021</v>
      </c>
      <c r="B198" s="81">
        <f t="shared" si="26"/>
        <v>8970</v>
      </c>
      <c r="C198" s="134"/>
      <c r="D198" s="67">
        <f t="shared" si="25"/>
        <v>33</v>
      </c>
      <c r="E198" s="83"/>
      <c r="F198" s="69"/>
      <c r="G198" s="69"/>
      <c r="H198" s="84"/>
      <c r="I198" s="128">
        <f t="shared" si="24"/>
        <v>8970.4382098542337</v>
      </c>
    </row>
    <row r="199" spans="1:10" ht="15" customHeight="1">
      <c r="A199" s="80">
        <v>2022</v>
      </c>
      <c r="B199" s="81">
        <f t="shared" si="26"/>
        <v>8999</v>
      </c>
      <c r="C199" s="134"/>
      <c r="D199" s="67">
        <f t="shared" si="25"/>
        <v>34</v>
      </c>
      <c r="E199" s="83"/>
      <c r="F199" s="69"/>
      <c r="G199" s="69"/>
      <c r="H199" s="84"/>
      <c r="I199" s="128">
        <f t="shared" si="24"/>
        <v>8999.3048158416459</v>
      </c>
    </row>
    <row r="200" spans="1:10" ht="15" customHeight="1">
      <c r="A200" s="80">
        <v>2023</v>
      </c>
      <c r="B200" s="81">
        <f t="shared" si="26"/>
        <v>9028</v>
      </c>
      <c r="C200" s="134"/>
      <c r="D200" s="67">
        <f t="shared" si="25"/>
        <v>35</v>
      </c>
      <c r="E200" s="83"/>
      <c r="F200" s="69"/>
      <c r="G200" s="69"/>
      <c r="H200" s="84"/>
      <c r="I200" s="128">
        <f t="shared" si="24"/>
        <v>9028.1807630726053</v>
      </c>
    </row>
    <row r="201" spans="1:10" ht="15" customHeight="1">
      <c r="A201" s="80">
        <v>2024</v>
      </c>
      <c r="B201" s="81">
        <f t="shared" si="26"/>
        <v>9057</v>
      </c>
      <c r="C201" s="135"/>
      <c r="D201" s="67">
        <f t="shared" si="25"/>
        <v>36</v>
      </c>
      <c r="E201" s="69"/>
      <c r="F201" s="69"/>
      <c r="G201" s="69"/>
      <c r="H201" s="69"/>
      <c r="I201" s="136">
        <f t="shared" si="24"/>
        <v>9057.0655198596614</v>
      </c>
    </row>
    <row r="202" spans="1:10" ht="15" customHeight="1">
      <c r="A202" s="85">
        <v>2025</v>
      </c>
      <c r="B202" s="86">
        <f t="shared" si="26"/>
        <v>9086</v>
      </c>
      <c r="C202" s="137"/>
      <c r="D202" s="87">
        <f t="shared" si="25"/>
        <v>37</v>
      </c>
      <c r="E202" s="89"/>
      <c r="F202" s="89"/>
      <c r="G202" s="89"/>
      <c r="H202" s="89"/>
      <c r="I202" s="138">
        <f t="shared" si="24"/>
        <v>9085.9585538637748</v>
      </c>
    </row>
    <row r="203" spans="1:10" ht="15" customHeight="1">
      <c r="A203" s="56" t="s">
        <v>105</v>
      </c>
      <c r="B203" s="57"/>
    </row>
    <row r="204" spans="1:10" ht="15" customHeight="1">
      <c r="A204" s="56"/>
      <c r="B204" s="57"/>
    </row>
    <row r="205" spans="1:10" ht="24">
      <c r="A205" s="145" t="s">
        <v>32</v>
      </c>
      <c r="B205" s="146" t="s">
        <v>91</v>
      </c>
      <c r="C205" s="147" t="s">
        <v>72</v>
      </c>
      <c r="D205" s="147" t="s">
        <v>92</v>
      </c>
      <c r="E205" s="147" t="s">
        <v>93</v>
      </c>
      <c r="F205" s="147" t="s">
        <v>94</v>
      </c>
      <c r="G205" s="147" t="s">
        <v>95</v>
      </c>
      <c r="H205" s="148" t="s">
        <v>96</v>
      </c>
      <c r="I205" s="149" t="s">
        <v>106</v>
      </c>
      <c r="J205" s="150" t="s">
        <v>107</v>
      </c>
    </row>
    <row r="206" spans="1:10" ht="20.100000000000001" customHeight="1">
      <c r="A206" s="65">
        <v>2008</v>
      </c>
      <c r="B206" s="151">
        <f t="shared" ref="B206:B223" si="27">B25</f>
        <v>7643</v>
      </c>
      <c r="C206" s="152">
        <f t="shared" ref="C206:C223" si="28">B65</f>
        <v>8593</v>
      </c>
      <c r="D206" s="152">
        <f t="shared" ref="D206:D223" si="29">B105</f>
        <v>7644</v>
      </c>
      <c r="E206" s="152"/>
      <c r="F206" s="152">
        <f t="shared" ref="F206:F223" si="30">B185</f>
        <v>8596</v>
      </c>
      <c r="G206" s="152">
        <f t="shared" ref="G206:G223" si="31">ROUND(AVERAGE(B206:F206),1)</f>
        <v>8119</v>
      </c>
      <c r="H206" s="152">
        <f t="shared" ref="H206:H223" si="32">ROUND((SUM(B206:F206)-MAX(B206:F206)-MIN(B206:F206))/(COUNT(B206:F206)-2),1)</f>
        <v>8118.5</v>
      </c>
      <c r="I206" s="153">
        <f t="shared" ref="I206:I223" si="33">ROUND(SUMIF(B$224:H$224,"○",B206:H206),0)</f>
        <v>8119</v>
      </c>
      <c r="J206" s="261"/>
    </row>
    <row r="207" spans="1:10" ht="20.100000000000001" customHeight="1">
      <c r="A207" s="80">
        <v>2009</v>
      </c>
      <c r="B207" s="151">
        <f t="shared" si="27"/>
        <v>7677</v>
      </c>
      <c r="C207" s="152">
        <f t="shared" si="28"/>
        <v>8621</v>
      </c>
      <c r="D207" s="152">
        <f t="shared" si="29"/>
        <v>7680</v>
      </c>
      <c r="E207" s="152"/>
      <c r="F207" s="152">
        <f t="shared" si="30"/>
        <v>8625</v>
      </c>
      <c r="G207" s="152">
        <f t="shared" si="31"/>
        <v>8150.8</v>
      </c>
      <c r="H207" s="152">
        <f t="shared" si="32"/>
        <v>8150.5</v>
      </c>
      <c r="I207" s="153">
        <f t="shared" si="33"/>
        <v>8151</v>
      </c>
      <c r="J207" s="154"/>
    </row>
    <row r="208" spans="1:10" ht="20.100000000000001" customHeight="1">
      <c r="A208" s="80">
        <v>2010</v>
      </c>
      <c r="B208" s="151">
        <f t="shared" si="27"/>
        <v>7711</v>
      </c>
      <c r="C208" s="152">
        <f t="shared" si="28"/>
        <v>8648</v>
      </c>
      <c r="D208" s="152">
        <f t="shared" si="29"/>
        <v>7716</v>
      </c>
      <c r="E208" s="152"/>
      <c r="F208" s="152">
        <f t="shared" si="30"/>
        <v>8654</v>
      </c>
      <c r="G208" s="152">
        <f t="shared" si="31"/>
        <v>8182.3</v>
      </c>
      <c r="H208" s="152">
        <f t="shared" si="32"/>
        <v>8182</v>
      </c>
      <c r="I208" s="153">
        <f t="shared" si="33"/>
        <v>8182</v>
      </c>
      <c r="J208" s="154"/>
    </row>
    <row r="209" spans="1:49" ht="20.100000000000001" customHeight="1">
      <c r="A209" s="80">
        <v>2011</v>
      </c>
      <c r="B209" s="151">
        <f t="shared" si="27"/>
        <v>7745</v>
      </c>
      <c r="C209" s="152">
        <f t="shared" si="28"/>
        <v>8676</v>
      </c>
      <c r="D209" s="152">
        <f t="shared" si="29"/>
        <v>7752</v>
      </c>
      <c r="E209" s="152"/>
      <c r="F209" s="152">
        <f t="shared" si="30"/>
        <v>8682</v>
      </c>
      <c r="G209" s="152">
        <f t="shared" si="31"/>
        <v>8213.7999999999993</v>
      </c>
      <c r="H209" s="152">
        <f t="shared" si="32"/>
        <v>8214</v>
      </c>
      <c r="I209" s="153">
        <f t="shared" si="33"/>
        <v>8214</v>
      </c>
      <c r="J209" s="154"/>
    </row>
    <row r="210" spans="1:49" ht="20.100000000000001" customHeight="1">
      <c r="A210" s="80">
        <v>2012</v>
      </c>
      <c r="B210" s="151">
        <f t="shared" si="27"/>
        <v>7779</v>
      </c>
      <c r="C210" s="152">
        <f t="shared" si="28"/>
        <v>8704</v>
      </c>
      <c r="D210" s="152">
        <f t="shared" si="29"/>
        <v>7788</v>
      </c>
      <c r="E210" s="152"/>
      <c r="F210" s="152">
        <f t="shared" si="30"/>
        <v>8711</v>
      </c>
      <c r="G210" s="152">
        <f t="shared" si="31"/>
        <v>8245.5</v>
      </c>
      <c r="H210" s="152">
        <f t="shared" si="32"/>
        <v>8246</v>
      </c>
      <c r="I210" s="153">
        <f t="shared" si="33"/>
        <v>8246</v>
      </c>
      <c r="J210" s="154"/>
    </row>
    <row r="211" spans="1:49" ht="20.100000000000001" customHeight="1">
      <c r="A211" s="80">
        <v>2013</v>
      </c>
      <c r="B211" s="151">
        <f t="shared" si="27"/>
        <v>7813</v>
      </c>
      <c r="C211" s="152">
        <f t="shared" si="28"/>
        <v>8731</v>
      </c>
      <c r="D211" s="152">
        <f t="shared" si="29"/>
        <v>7824</v>
      </c>
      <c r="E211" s="152"/>
      <c r="F211" s="152">
        <f t="shared" si="30"/>
        <v>8740</v>
      </c>
      <c r="G211" s="152">
        <f t="shared" si="31"/>
        <v>8277</v>
      </c>
      <c r="H211" s="152">
        <f t="shared" si="32"/>
        <v>8277.5</v>
      </c>
      <c r="I211" s="153">
        <f t="shared" si="33"/>
        <v>8277</v>
      </c>
      <c r="J211" s="154"/>
    </row>
    <row r="212" spans="1:49" ht="20.100000000000001" customHeight="1">
      <c r="A212" s="80">
        <v>2014</v>
      </c>
      <c r="B212" s="151">
        <f t="shared" si="27"/>
        <v>7847</v>
      </c>
      <c r="C212" s="152">
        <f t="shared" si="28"/>
        <v>8759</v>
      </c>
      <c r="D212" s="152">
        <f t="shared" si="29"/>
        <v>7861</v>
      </c>
      <c r="E212" s="152"/>
      <c r="F212" s="152">
        <f t="shared" si="30"/>
        <v>8769</v>
      </c>
      <c r="G212" s="152">
        <f t="shared" si="31"/>
        <v>8309</v>
      </c>
      <c r="H212" s="152">
        <f t="shared" si="32"/>
        <v>8310</v>
      </c>
      <c r="I212" s="153">
        <f t="shared" si="33"/>
        <v>8309</v>
      </c>
      <c r="J212" s="154"/>
    </row>
    <row r="213" spans="1:49" ht="20.100000000000001" customHeight="1">
      <c r="A213" s="80">
        <v>2015</v>
      </c>
      <c r="B213" s="151">
        <f t="shared" si="27"/>
        <v>7881</v>
      </c>
      <c r="C213" s="152">
        <f t="shared" si="28"/>
        <v>8786</v>
      </c>
      <c r="D213" s="152">
        <f t="shared" si="29"/>
        <v>7898</v>
      </c>
      <c r="E213" s="152"/>
      <c r="F213" s="152">
        <f t="shared" si="30"/>
        <v>8797</v>
      </c>
      <c r="G213" s="152">
        <f t="shared" si="31"/>
        <v>8340.5</v>
      </c>
      <c r="H213" s="152">
        <f t="shared" si="32"/>
        <v>8342</v>
      </c>
      <c r="I213" s="153">
        <f t="shared" si="33"/>
        <v>8341</v>
      </c>
      <c r="J213" s="154"/>
    </row>
    <row r="214" spans="1:49" ht="20.100000000000001" customHeight="1">
      <c r="A214" s="80">
        <v>2016</v>
      </c>
      <c r="B214" s="151">
        <f t="shared" si="27"/>
        <v>7915</v>
      </c>
      <c r="C214" s="152">
        <f t="shared" si="28"/>
        <v>8814</v>
      </c>
      <c r="D214" s="152">
        <f t="shared" si="29"/>
        <v>7934</v>
      </c>
      <c r="E214" s="152"/>
      <c r="F214" s="152">
        <f t="shared" si="30"/>
        <v>8826</v>
      </c>
      <c r="G214" s="152">
        <f t="shared" si="31"/>
        <v>8372.2999999999993</v>
      </c>
      <c r="H214" s="152">
        <f t="shared" si="32"/>
        <v>8374</v>
      </c>
      <c r="I214" s="153">
        <f t="shared" si="33"/>
        <v>8372</v>
      </c>
      <c r="J214" s="154"/>
    </row>
    <row r="215" spans="1:49" ht="20.100000000000001" customHeight="1">
      <c r="A215" s="80">
        <v>2017</v>
      </c>
      <c r="B215" s="151">
        <f t="shared" si="27"/>
        <v>7948</v>
      </c>
      <c r="C215" s="152">
        <f t="shared" si="28"/>
        <v>8841</v>
      </c>
      <c r="D215" s="152">
        <f t="shared" si="29"/>
        <v>7971</v>
      </c>
      <c r="E215" s="152"/>
      <c r="F215" s="152">
        <f t="shared" si="30"/>
        <v>8855</v>
      </c>
      <c r="G215" s="152">
        <f t="shared" si="31"/>
        <v>8403.7999999999993</v>
      </c>
      <c r="H215" s="152">
        <f t="shared" si="32"/>
        <v>8406</v>
      </c>
      <c r="I215" s="153">
        <f t="shared" si="33"/>
        <v>8404</v>
      </c>
      <c r="J215" s="154"/>
    </row>
    <row r="216" spans="1:49" ht="20.100000000000001" customHeight="1">
      <c r="A216" s="80">
        <v>2018</v>
      </c>
      <c r="B216" s="151">
        <f t="shared" si="27"/>
        <v>7982</v>
      </c>
      <c r="C216" s="152">
        <f t="shared" si="28"/>
        <v>8869</v>
      </c>
      <c r="D216" s="152">
        <f t="shared" si="29"/>
        <v>8009</v>
      </c>
      <c r="E216" s="152"/>
      <c r="F216" s="152">
        <f t="shared" si="30"/>
        <v>8884</v>
      </c>
      <c r="G216" s="152">
        <f t="shared" si="31"/>
        <v>8436</v>
      </c>
      <c r="H216" s="152">
        <f t="shared" si="32"/>
        <v>8439</v>
      </c>
      <c r="I216" s="153">
        <f t="shared" si="33"/>
        <v>8436</v>
      </c>
      <c r="J216" s="154"/>
    </row>
    <row r="217" spans="1:49" ht="20.100000000000001" customHeight="1">
      <c r="A217" s="80">
        <v>2019</v>
      </c>
      <c r="B217" s="151">
        <f t="shared" si="27"/>
        <v>8016</v>
      </c>
      <c r="C217" s="152">
        <f t="shared" si="28"/>
        <v>8896</v>
      </c>
      <c r="D217" s="152">
        <f t="shared" si="29"/>
        <v>8046</v>
      </c>
      <c r="E217" s="152"/>
      <c r="F217" s="152">
        <f t="shared" si="30"/>
        <v>8913</v>
      </c>
      <c r="G217" s="152">
        <f t="shared" si="31"/>
        <v>8467.7999999999993</v>
      </c>
      <c r="H217" s="152">
        <f t="shared" si="32"/>
        <v>8471</v>
      </c>
      <c r="I217" s="153">
        <f t="shared" si="33"/>
        <v>8468</v>
      </c>
      <c r="J217" s="154"/>
    </row>
    <row r="218" spans="1:49" ht="20.100000000000001" customHeight="1">
      <c r="A218" s="80">
        <v>2020</v>
      </c>
      <c r="B218" s="151">
        <f t="shared" si="27"/>
        <v>8050</v>
      </c>
      <c r="C218" s="152">
        <f t="shared" si="28"/>
        <v>8924</v>
      </c>
      <c r="D218" s="152">
        <f t="shared" si="29"/>
        <v>8084</v>
      </c>
      <c r="E218" s="152"/>
      <c r="F218" s="152">
        <f t="shared" si="30"/>
        <v>8942</v>
      </c>
      <c r="G218" s="152">
        <f t="shared" si="31"/>
        <v>8500</v>
      </c>
      <c r="H218" s="152">
        <f t="shared" si="32"/>
        <v>8504</v>
      </c>
      <c r="I218" s="153">
        <f t="shared" si="33"/>
        <v>8500</v>
      </c>
      <c r="J218" s="154"/>
    </row>
    <row r="219" spans="1:49" ht="20.100000000000001" customHeight="1">
      <c r="A219" s="80">
        <v>2021</v>
      </c>
      <c r="B219" s="151">
        <f t="shared" si="27"/>
        <v>8084</v>
      </c>
      <c r="C219" s="152">
        <f t="shared" si="28"/>
        <v>8951</v>
      </c>
      <c r="D219" s="152">
        <f t="shared" si="29"/>
        <v>8121</v>
      </c>
      <c r="E219" s="152"/>
      <c r="F219" s="152">
        <f t="shared" si="30"/>
        <v>8970</v>
      </c>
      <c r="G219" s="152">
        <f t="shared" si="31"/>
        <v>8531.5</v>
      </c>
      <c r="H219" s="152">
        <f t="shared" si="32"/>
        <v>8536</v>
      </c>
      <c r="I219" s="153">
        <f t="shared" si="33"/>
        <v>8532</v>
      </c>
      <c r="J219" s="154"/>
    </row>
    <row r="220" spans="1:49" ht="20.100000000000001" customHeight="1">
      <c r="A220" s="80">
        <v>2022</v>
      </c>
      <c r="B220" s="151">
        <f t="shared" si="27"/>
        <v>8118</v>
      </c>
      <c r="C220" s="152">
        <f t="shared" si="28"/>
        <v>8979</v>
      </c>
      <c r="D220" s="152">
        <f t="shared" si="29"/>
        <v>8159</v>
      </c>
      <c r="E220" s="152"/>
      <c r="F220" s="152">
        <f t="shared" si="30"/>
        <v>8999</v>
      </c>
      <c r="G220" s="152">
        <f t="shared" si="31"/>
        <v>8563.7999999999993</v>
      </c>
      <c r="H220" s="152">
        <f t="shared" si="32"/>
        <v>8569</v>
      </c>
      <c r="I220" s="153">
        <f t="shared" si="33"/>
        <v>8564</v>
      </c>
      <c r="J220" s="154"/>
      <c r="L220" s="55">
        <v>806200</v>
      </c>
    </row>
    <row r="221" spans="1:49" ht="20.100000000000001" customHeight="1">
      <c r="A221" s="80">
        <v>2023</v>
      </c>
      <c r="B221" s="151">
        <f t="shared" si="27"/>
        <v>8152</v>
      </c>
      <c r="C221" s="152">
        <f t="shared" si="28"/>
        <v>9006</v>
      </c>
      <c r="D221" s="152">
        <f t="shared" si="29"/>
        <v>8197</v>
      </c>
      <c r="E221" s="152"/>
      <c r="F221" s="152">
        <f t="shared" si="30"/>
        <v>9028</v>
      </c>
      <c r="G221" s="152">
        <f t="shared" si="31"/>
        <v>8595.7999999999993</v>
      </c>
      <c r="H221" s="152">
        <f t="shared" si="32"/>
        <v>8601.5</v>
      </c>
      <c r="I221" s="153">
        <f t="shared" si="33"/>
        <v>8596</v>
      </c>
      <c r="J221" s="154"/>
      <c r="K221" s="55">
        <v>51000</v>
      </c>
      <c r="L221" s="75">
        <f>+K221+E221</f>
        <v>51000</v>
      </c>
    </row>
    <row r="222" spans="1:49" ht="20.100000000000001" customHeight="1">
      <c r="A222" s="80">
        <v>2024</v>
      </c>
      <c r="B222" s="151">
        <f t="shared" si="27"/>
        <v>8186</v>
      </c>
      <c r="C222" s="152">
        <f t="shared" si="28"/>
        <v>9034</v>
      </c>
      <c r="D222" s="152">
        <f t="shared" si="29"/>
        <v>8236</v>
      </c>
      <c r="E222" s="152"/>
      <c r="F222" s="152">
        <f t="shared" si="30"/>
        <v>9057</v>
      </c>
      <c r="G222" s="152">
        <f t="shared" si="31"/>
        <v>8628.2999999999993</v>
      </c>
      <c r="H222" s="152">
        <f t="shared" si="32"/>
        <v>8635</v>
      </c>
      <c r="I222" s="153">
        <f t="shared" si="33"/>
        <v>8628</v>
      </c>
      <c r="J222" s="154"/>
      <c r="L222" s="75">
        <f>+L220-L221</f>
        <v>755200</v>
      </c>
    </row>
    <row r="223" spans="1:49" ht="20.100000000000001" customHeight="1">
      <c r="A223" s="80">
        <v>2025</v>
      </c>
      <c r="B223" s="151">
        <f t="shared" si="27"/>
        <v>8220</v>
      </c>
      <c r="C223" s="152">
        <f t="shared" si="28"/>
        <v>9061</v>
      </c>
      <c r="D223" s="152">
        <f t="shared" si="29"/>
        <v>8274</v>
      </c>
      <c r="E223" s="152"/>
      <c r="F223" s="152">
        <f t="shared" si="30"/>
        <v>9086</v>
      </c>
      <c r="G223" s="152">
        <f t="shared" si="31"/>
        <v>8660.2999999999993</v>
      </c>
      <c r="H223" s="152">
        <f t="shared" si="32"/>
        <v>8667.5</v>
      </c>
      <c r="I223" s="153">
        <f t="shared" si="33"/>
        <v>8660</v>
      </c>
      <c r="J223" s="154"/>
      <c r="K223" s="161"/>
      <c r="L223" s="161">
        <f>B165</f>
        <v>6964</v>
      </c>
      <c r="M223" s="162">
        <f>B166</f>
        <v>7042</v>
      </c>
      <c r="N223" s="161">
        <f>B167</f>
        <v>7161</v>
      </c>
      <c r="O223" s="162">
        <f>B168</f>
        <v>7805</v>
      </c>
      <c r="P223" s="161">
        <f>B169</f>
        <v>8124</v>
      </c>
      <c r="Q223" s="162">
        <f>B170</f>
        <v>8360</v>
      </c>
      <c r="R223" s="162">
        <f>B171</f>
        <v>8694</v>
      </c>
      <c r="S223" s="162">
        <f>B172</f>
        <v>9120</v>
      </c>
      <c r="T223" s="162">
        <f>B173</f>
        <v>9371</v>
      </c>
      <c r="U223" s="162">
        <f>B174</f>
        <v>9504</v>
      </c>
      <c r="V223" s="162">
        <f>B175</f>
        <v>9329</v>
      </c>
      <c r="W223" s="162">
        <f>B176</f>
        <v>9142</v>
      </c>
      <c r="X223" s="162">
        <f>B177</f>
        <v>8940</v>
      </c>
      <c r="Y223" s="162">
        <f>B178</f>
        <v>8630</v>
      </c>
      <c r="Z223" s="162">
        <f>B179</f>
        <v>8501</v>
      </c>
      <c r="AA223" s="162">
        <f>B180</f>
        <v>8223</v>
      </c>
      <c r="AB223" s="162">
        <f>B181</f>
        <v>8067</v>
      </c>
      <c r="AC223" s="162">
        <f>B182</f>
        <v>7803</v>
      </c>
      <c r="AD223" s="162">
        <f>B183</f>
        <v>7699</v>
      </c>
      <c r="AE223" s="162">
        <f>B184</f>
        <v>7609</v>
      </c>
      <c r="AF223" s="162">
        <f>$B185</f>
        <v>8596</v>
      </c>
      <c r="AG223" s="162"/>
      <c r="AH223" s="161"/>
      <c r="AI223" s="161"/>
      <c r="AJ223" s="161"/>
      <c r="AK223" s="161"/>
      <c r="AL223" s="161"/>
      <c r="AM223" s="161"/>
      <c r="AN223" s="161"/>
      <c r="AO223" s="161"/>
      <c r="AP223" s="161"/>
      <c r="AQ223" s="161"/>
      <c r="AR223" s="161"/>
      <c r="AS223" s="161"/>
      <c r="AT223" s="161"/>
      <c r="AU223" s="161"/>
      <c r="AV223" s="161"/>
      <c r="AW223" s="161"/>
    </row>
    <row r="224" spans="1:49" ht="20.100000000000001" customHeight="1">
      <c r="A224" s="155" t="s">
        <v>97</v>
      </c>
      <c r="B224" s="156"/>
      <c r="C224" s="157"/>
      <c r="D224" s="157"/>
      <c r="E224" s="157"/>
      <c r="F224" s="156"/>
      <c r="G224" s="158" t="s">
        <v>243</v>
      </c>
      <c r="H224" s="157"/>
      <c r="I224" s="159"/>
      <c r="J224" s="160"/>
      <c r="K224" s="161"/>
      <c r="L224" s="161"/>
      <c r="M224" s="161"/>
      <c r="N224" s="161"/>
      <c r="O224" s="161"/>
      <c r="P224" s="161"/>
      <c r="Q224" s="161"/>
      <c r="R224" s="161"/>
      <c r="S224" s="161"/>
      <c r="T224" s="161"/>
      <c r="U224" s="161"/>
      <c r="V224" s="161"/>
      <c r="W224" s="161"/>
      <c r="X224" s="161"/>
      <c r="Y224" s="161"/>
      <c r="Z224" s="161"/>
      <c r="AA224" s="161"/>
      <c r="AB224" s="161"/>
      <c r="AC224" s="161"/>
      <c r="AD224" s="161"/>
      <c r="AE224" s="161"/>
      <c r="AF224" s="161"/>
      <c r="AG224" s="161"/>
      <c r="AH224" s="161"/>
      <c r="AI224" s="161"/>
      <c r="AJ224" s="161"/>
      <c r="AK224" s="161"/>
      <c r="AL224" s="161"/>
      <c r="AM224" s="161"/>
      <c r="AN224" s="161"/>
      <c r="AO224" s="161"/>
      <c r="AP224" s="161"/>
      <c r="AQ224" s="161"/>
      <c r="AR224" s="161"/>
      <c r="AS224" s="161"/>
      <c r="AT224" s="161"/>
      <c r="AU224" s="161"/>
      <c r="AV224" s="161"/>
      <c r="AW224" s="161"/>
    </row>
    <row r="225" spans="1:50" s="161" customFormat="1" ht="20.100000000000001" customHeight="1">
      <c r="A225" s="85"/>
      <c r="B225" s="163"/>
      <c r="C225" s="164"/>
      <c r="D225" s="164"/>
      <c r="E225" s="164"/>
      <c r="F225" s="164"/>
      <c r="G225" s="164"/>
      <c r="H225" s="164"/>
      <c r="I225" s="165"/>
      <c r="J225" s="166"/>
      <c r="K225" s="174">
        <f>MAX(B225:I225,F225)</f>
        <v>0</v>
      </c>
      <c r="L225" s="161">
        <f>A165</f>
        <v>1988</v>
      </c>
      <c r="M225" s="161">
        <f t="shared" ref="M225:AX225" si="34">+L225+1</f>
        <v>1989</v>
      </c>
      <c r="N225" s="161">
        <f t="shared" si="34"/>
        <v>1990</v>
      </c>
      <c r="O225" s="161">
        <f t="shared" si="34"/>
        <v>1991</v>
      </c>
      <c r="P225" s="161">
        <f t="shared" si="34"/>
        <v>1992</v>
      </c>
      <c r="Q225" s="161">
        <f t="shared" si="34"/>
        <v>1993</v>
      </c>
      <c r="R225" s="161">
        <f t="shared" si="34"/>
        <v>1994</v>
      </c>
      <c r="S225" s="161">
        <f t="shared" si="34"/>
        <v>1995</v>
      </c>
      <c r="T225" s="161">
        <f t="shared" si="34"/>
        <v>1996</v>
      </c>
      <c r="U225" s="161">
        <f t="shared" si="34"/>
        <v>1997</v>
      </c>
      <c r="V225" s="161">
        <f t="shared" si="34"/>
        <v>1998</v>
      </c>
      <c r="W225" s="161">
        <f t="shared" si="34"/>
        <v>1999</v>
      </c>
      <c r="X225" s="161">
        <f t="shared" si="34"/>
        <v>2000</v>
      </c>
      <c r="Y225" s="161">
        <f t="shared" si="34"/>
        <v>2001</v>
      </c>
      <c r="Z225" s="161">
        <f t="shared" si="34"/>
        <v>2002</v>
      </c>
      <c r="AA225" s="161">
        <f t="shared" si="34"/>
        <v>2003</v>
      </c>
      <c r="AB225" s="161">
        <f t="shared" si="34"/>
        <v>2004</v>
      </c>
      <c r="AC225" s="161">
        <f t="shared" si="34"/>
        <v>2005</v>
      </c>
      <c r="AD225" s="161">
        <f t="shared" si="34"/>
        <v>2006</v>
      </c>
      <c r="AE225" s="161">
        <f t="shared" si="34"/>
        <v>2007</v>
      </c>
      <c r="AF225" s="161">
        <f t="shared" si="34"/>
        <v>2008</v>
      </c>
      <c r="AG225" s="161">
        <f t="shared" si="34"/>
        <v>2009</v>
      </c>
      <c r="AH225" s="161">
        <f t="shared" si="34"/>
        <v>2010</v>
      </c>
      <c r="AI225" s="161">
        <f t="shared" si="34"/>
        <v>2011</v>
      </c>
      <c r="AJ225" s="161">
        <f t="shared" si="34"/>
        <v>2012</v>
      </c>
      <c r="AK225" s="161">
        <f t="shared" si="34"/>
        <v>2013</v>
      </c>
      <c r="AL225" s="161">
        <f t="shared" si="34"/>
        <v>2014</v>
      </c>
      <c r="AM225" s="161">
        <f t="shared" si="34"/>
        <v>2015</v>
      </c>
      <c r="AN225" s="161">
        <f t="shared" si="34"/>
        <v>2016</v>
      </c>
      <c r="AO225" s="161">
        <f t="shared" si="34"/>
        <v>2017</v>
      </c>
      <c r="AP225" s="161">
        <f t="shared" si="34"/>
        <v>2018</v>
      </c>
      <c r="AQ225" s="161">
        <f t="shared" si="34"/>
        <v>2019</v>
      </c>
      <c r="AR225" s="161">
        <f t="shared" si="34"/>
        <v>2020</v>
      </c>
      <c r="AS225" s="161">
        <f t="shared" si="34"/>
        <v>2021</v>
      </c>
      <c r="AT225" s="161">
        <f t="shared" si="34"/>
        <v>2022</v>
      </c>
      <c r="AU225" s="161">
        <f t="shared" si="34"/>
        <v>2023</v>
      </c>
      <c r="AV225" s="161">
        <f t="shared" si="34"/>
        <v>2024</v>
      </c>
      <c r="AW225" s="161">
        <f t="shared" si="34"/>
        <v>2025</v>
      </c>
      <c r="AX225" s="161">
        <f t="shared" si="34"/>
        <v>2026</v>
      </c>
    </row>
    <row r="226" spans="1:50" ht="20.100000000000001" customHeight="1">
      <c r="A226" s="167" t="s">
        <v>98</v>
      </c>
      <c r="B226" s="168">
        <f>I4</f>
        <v>4.2548627237992083E-2</v>
      </c>
      <c r="C226" s="169">
        <f>I44</f>
        <v>4.8920025866413246E-2</v>
      </c>
      <c r="D226" s="169">
        <f>I84</f>
        <v>1.1852853376046243E-2</v>
      </c>
      <c r="E226" s="169"/>
      <c r="F226" s="169">
        <f>I164</f>
        <v>4.8295939421677293E-2</v>
      </c>
      <c r="G226" s="170"/>
      <c r="H226" s="171"/>
      <c r="I226" s="172"/>
      <c r="J226" s="173"/>
      <c r="K226" s="161" t="s">
        <v>99</v>
      </c>
      <c r="L226" s="161"/>
      <c r="M226" s="161"/>
      <c r="N226" s="161"/>
      <c r="O226" s="161"/>
      <c r="P226" s="161"/>
      <c r="Q226" s="161"/>
      <c r="R226" s="161"/>
      <c r="S226" s="161"/>
      <c r="T226" s="161"/>
      <c r="U226" s="161"/>
      <c r="V226" s="161"/>
      <c r="W226" s="161"/>
      <c r="X226" s="161"/>
      <c r="Y226" s="161"/>
      <c r="Z226" s="161"/>
      <c r="AA226" s="161"/>
      <c r="AB226" s="161"/>
      <c r="AC226" s="161"/>
      <c r="AD226" s="161"/>
      <c r="AE226" s="175">
        <f>+AE223</f>
        <v>7609</v>
      </c>
      <c r="AF226" s="175">
        <f>B25</f>
        <v>7643</v>
      </c>
      <c r="AG226" s="162">
        <f>B26</f>
        <v>7677</v>
      </c>
      <c r="AH226" s="162">
        <f>B27</f>
        <v>7711</v>
      </c>
      <c r="AI226" s="162">
        <f>B28</f>
        <v>7745</v>
      </c>
      <c r="AJ226" s="162">
        <f>B29</f>
        <v>7779</v>
      </c>
      <c r="AK226" s="162">
        <f>B30</f>
        <v>7813</v>
      </c>
      <c r="AL226" s="162">
        <f>B31</f>
        <v>7847</v>
      </c>
      <c r="AM226" s="162">
        <f>B32</f>
        <v>7881</v>
      </c>
      <c r="AN226" s="162">
        <f>B33</f>
        <v>7915</v>
      </c>
      <c r="AO226" s="162">
        <f>B34</f>
        <v>7948</v>
      </c>
      <c r="AP226" s="162">
        <f>B35</f>
        <v>7982</v>
      </c>
      <c r="AQ226" s="162">
        <f>B36</f>
        <v>8016</v>
      </c>
      <c r="AR226" s="162">
        <f>B37</f>
        <v>8050</v>
      </c>
      <c r="AS226" s="162">
        <f>B38</f>
        <v>8084</v>
      </c>
      <c r="AT226" s="162">
        <f>B39</f>
        <v>8118</v>
      </c>
      <c r="AU226" s="162">
        <f>B40</f>
        <v>8152</v>
      </c>
      <c r="AV226" s="162">
        <f>B41</f>
        <v>8186</v>
      </c>
      <c r="AW226" s="162">
        <f>B42</f>
        <v>8220</v>
      </c>
      <c r="AX226" s="161" t="s">
        <v>99</v>
      </c>
    </row>
    <row r="227" spans="1:50" ht="20.100000000000001" customHeight="1">
      <c r="K227" s="161" t="s">
        <v>100</v>
      </c>
      <c r="L227" s="161"/>
      <c r="M227" s="161"/>
      <c r="N227" s="161"/>
      <c r="O227" s="161"/>
      <c r="P227" s="161"/>
      <c r="Q227" s="161"/>
      <c r="R227" s="161"/>
      <c r="S227" s="161"/>
      <c r="T227" s="161"/>
      <c r="U227" s="161"/>
      <c r="V227" s="161"/>
      <c r="W227" s="161"/>
      <c r="X227" s="161"/>
      <c r="Y227" s="161"/>
      <c r="Z227" s="161"/>
      <c r="AA227" s="161"/>
      <c r="AB227" s="161"/>
      <c r="AC227" s="161"/>
      <c r="AD227" s="161"/>
      <c r="AE227" s="175">
        <f>+AE226</f>
        <v>7609</v>
      </c>
      <c r="AF227" s="175">
        <f>+B65</f>
        <v>8593</v>
      </c>
      <c r="AG227" s="162">
        <f>B66</f>
        <v>8621</v>
      </c>
      <c r="AH227" s="162">
        <f>B67</f>
        <v>8648</v>
      </c>
      <c r="AI227" s="162">
        <f>B68</f>
        <v>8676</v>
      </c>
      <c r="AJ227" s="162">
        <f>B69</f>
        <v>8704</v>
      </c>
      <c r="AK227" s="162">
        <f>B70</f>
        <v>8731</v>
      </c>
      <c r="AL227" s="162">
        <f>B71</f>
        <v>8759</v>
      </c>
      <c r="AM227" s="162">
        <f>B72</f>
        <v>8786</v>
      </c>
      <c r="AN227" s="162">
        <f>B73</f>
        <v>8814</v>
      </c>
      <c r="AO227" s="162">
        <f>B74</f>
        <v>8841</v>
      </c>
      <c r="AP227" s="162">
        <f>B75</f>
        <v>8869</v>
      </c>
      <c r="AQ227" s="162">
        <f>B76</f>
        <v>8896</v>
      </c>
      <c r="AR227" s="162">
        <f>B77</f>
        <v>8924</v>
      </c>
      <c r="AS227" s="162">
        <f>B78</f>
        <v>8951</v>
      </c>
      <c r="AT227" s="162">
        <f>B79</f>
        <v>8979</v>
      </c>
      <c r="AU227" s="162">
        <f>B80</f>
        <v>9006</v>
      </c>
      <c r="AV227" s="162">
        <f>B81</f>
        <v>9034</v>
      </c>
      <c r="AW227" s="162">
        <f>B82</f>
        <v>9061</v>
      </c>
      <c r="AX227" s="161" t="s">
        <v>100</v>
      </c>
    </row>
    <row r="228" spans="1:50" ht="20.100000000000001" customHeight="1">
      <c r="K228" s="161" t="s">
        <v>101</v>
      </c>
      <c r="L228" s="161"/>
      <c r="M228" s="161"/>
      <c r="N228" s="161"/>
      <c r="O228" s="161"/>
      <c r="P228" s="161"/>
      <c r="Q228" s="161"/>
      <c r="R228" s="161"/>
      <c r="S228" s="161"/>
      <c r="T228" s="161"/>
      <c r="U228" s="161"/>
      <c r="V228" s="161"/>
      <c r="W228" s="161"/>
      <c r="X228" s="161"/>
      <c r="Y228" s="161"/>
      <c r="Z228" s="161"/>
      <c r="AA228" s="161"/>
      <c r="AB228" s="161"/>
      <c r="AC228" s="161"/>
      <c r="AD228" s="161"/>
      <c r="AE228" s="175">
        <f>+AE227</f>
        <v>7609</v>
      </c>
      <c r="AF228" s="175">
        <f>+B105</f>
        <v>7644</v>
      </c>
      <c r="AG228" s="162">
        <f>B106</f>
        <v>7680</v>
      </c>
      <c r="AH228" s="162">
        <f>B107</f>
        <v>7716</v>
      </c>
      <c r="AI228" s="162">
        <f>B108</f>
        <v>7752</v>
      </c>
      <c r="AJ228" s="162">
        <f>B109</f>
        <v>7788</v>
      </c>
      <c r="AK228" s="162">
        <f>B110</f>
        <v>7824</v>
      </c>
      <c r="AL228" s="162">
        <f>B111</f>
        <v>7861</v>
      </c>
      <c r="AM228" s="162">
        <f>B112</f>
        <v>7898</v>
      </c>
      <c r="AN228" s="162">
        <f>B113</f>
        <v>7934</v>
      </c>
      <c r="AO228" s="162">
        <f>B114</f>
        <v>7971</v>
      </c>
      <c r="AP228" s="162">
        <f>B115</f>
        <v>8009</v>
      </c>
      <c r="AQ228" s="162">
        <f>B116</f>
        <v>8046</v>
      </c>
      <c r="AR228" s="162">
        <f>B117</f>
        <v>8084</v>
      </c>
      <c r="AS228" s="162">
        <f>B118</f>
        <v>8121</v>
      </c>
      <c r="AT228" s="162">
        <f>B119</f>
        <v>8159</v>
      </c>
      <c r="AU228" s="162">
        <f>B120</f>
        <v>8197</v>
      </c>
      <c r="AV228" s="162">
        <f>B121</f>
        <v>8236</v>
      </c>
      <c r="AW228" s="162">
        <f>B122</f>
        <v>8274</v>
      </c>
      <c r="AX228" s="161" t="s">
        <v>101</v>
      </c>
    </row>
    <row r="229" spans="1:50" ht="20.100000000000001" customHeight="1">
      <c r="K229" s="161" t="s">
        <v>102</v>
      </c>
      <c r="L229" s="161"/>
      <c r="M229" s="161"/>
      <c r="N229" s="161"/>
      <c r="O229" s="161"/>
      <c r="P229" s="161"/>
      <c r="Q229" s="161"/>
      <c r="R229" s="161"/>
      <c r="S229" s="161"/>
      <c r="T229" s="161"/>
      <c r="U229" s="161"/>
      <c r="V229" s="161"/>
      <c r="W229" s="161"/>
      <c r="X229" s="161"/>
      <c r="Y229" s="161"/>
      <c r="Z229" s="161"/>
      <c r="AA229" s="161"/>
      <c r="AB229" s="161"/>
      <c r="AC229" s="161"/>
      <c r="AD229" s="161"/>
      <c r="AE229" s="175">
        <f>+AE228</f>
        <v>7609</v>
      </c>
      <c r="AF229" s="175"/>
      <c r="AG229" s="161"/>
      <c r="AH229" s="161"/>
      <c r="AI229" s="161"/>
      <c r="AJ229" s="161"/>
      <c r="AK229" s="161"/>
      <c r="AL229" s="161"/>
      <c r="AM229" s="161"/>
      <c r="AN229" s="161"/>
      <c r="AO229" s="161"/>
      <c r="AP229" s="161"/>
      <c r="AQ229" s="161"/>
      <c r="AR229" s="161"/>
      <c r="AS229" s="161"/>
      <c r="AT229" s="161"/>
      <c r="AU229" s="161"/>
      <c r="AV229" s="161"/>
      <c r="AW229" s="161"/>
      <c r="AX229" s="161" t="s">
        <v>102</v>
      </c>
    </row>
    <row r="230" spans="1:50" ht="20.100000000000001" customHeight="1">
      <c r="K230" s="161" t="s">
        <v>103</v>
      </c>
      <c r="L230" s="161"/>
      <c r="M230" s="161"/>
      <c r="N230" s="161"/>
      <c r="O230" s="161"/>
      <c r="P230" s="161"/>
      <c r="Q230" s="161"/>
      <c r="R230" s="161"/>
      <c r="S230" s="161"/>
      <c r="T230" s="161"/>
      <c r="U230" s="161"/>
      <c r="V230" s="161"/>
      <c r="W230" s="161"/>
      <c r="X230" s="161"/>
      <c r="Y230" s="161"/>
      <c r="Z230" s="161"/>
      <c r="AA230" s="161"/>
      <c r="AB230" s="161"/>
      <c r="AC230" s="161"/>
      <c r="AD230" s="161"/>
      <c r="AE230" s="175">
        <f>+AE229</f>
        <v>7609</v>
      </c>
      <c r="AF230" s="175">
        <f>+B185</f>
        <v>8596</v>
      </c>
      <c r="AG230" s="162">
        <f>B186</f>
        <v>8625</v>
      </c>
      <c r="AH230" s="162">
        <f>B187</f>
        <v>8654</v>
      </c>
      <c r="AI230" s="162">
        <f>B188</f>
        <v>8682</v>
      </c>
      <c r="AJ230" s="162">
        <f>B189</f>
        <v>8711</v>
      </c>
      <c r="AK230" s="162">
        <f>B190</f>
        <v>8740</v>
      </c>
      <c r="AL230" s="162">
        <f>B191</f>
        <v>8769</v>
      </c>
      <c r="AM230" s="162">
        <f>B192</f>
        <v>8797</v>
      </c>
      <c r="AN230" s="162">
        <f>B193</f>
        <v>8826</v>
      </c>
      <c r="AO230" s="162">
        <f>B194</f>
        <v>8855</v>
      </c>
      <c r="AP230" s="162">
        <f>B195</f>
        <v>8884</v>
      </c>
      <c r="AQ230" s="162">
        <f>B196</f>
        <v>8913</v>
      </c>
      <c r="AR230" s="162">
        <f>B197</f>
        <v>8942</v>
      </c>
      <c r="AS230" s="162">
        <f>B198</f>
        <v>8970</v>
      </c>
      <c r="AT230" s="162">
        <f>B199</f>
        <v>8999</v>
      </c>
      <c r="AU230" s="162">
        <f>B200</f>
        <v>9028</v>
      </c>
      <c r="AV230" s="162">
        <f>B201</f>
        <v>9057</v>
      </c>
      <c r="AW230" s="162">
        <f>B202</f>
        <v>9086</v>
      </c>
      <c r="AX230" s="161" t="s">
        <v>103</v>
      </c>
    </row>
    <row r="231" spans="1:50" ht="20.100000000000001" customHeight="1">
      <c r="K231" s="161" t="s">
        <v>95</v>
      </c>
      <c r="L231" s="161"/>
      <c r="M231" s="161"/>
      <c r="N231" s="161"/>
      <c r="O231" s="161"/>
      <c r="P231" s="161"/>
      <c r="Q231" s="161"/>
      <c r="R231" s="161"/>
      <c r="S231" s="161"/>
      <c r="T231" s="161"/>
      <c r="U231" s="161"/>
      <c r="V231" s="161"/>
      <c r="W231" s="161"/>
      <c r="X231" s="161"/>
      <c r="Y231" s="161"/>
      <c r="Z231" s="161"/>
      <c r="AA231" s="161"/>
      <c r="AB231" s="161"/>
      <c r="AC231" s="161"/>
      <c r="AD231" s="161"/>
      <c r="AE231" s="175">
        <f>+AE230</f>
        <v>7609</v>
      </c>
      <c r="AF231" s="211">
        <f>+H206</f>
        <v>8118.5</v>
      </c>
      <c r="AG231" s="211">
        <f>+H207</f>
        <v>8150.5</v>
      </c>
      <c r="AH231" s="211">
        <f>+H208</f>
        <v>8182</v>
      </c>
      <c r="AI231" s="211">
        <f>+H209</f>
        <v>8214</v>
      </c>
      <c r="AJ231" s="211">
        <f>+H210</f>
        <v>8246</v>
      </c>
      <c r="AK231" s="211">
        <f>+H211</f>
        <v>8277.5</v>
      </c>
      <c r="AL231" s="211">
        <f>+H212</f>
        <v>8310</v>
      </c>
      <c r="AM231" s="211">
        <f>+H213</f>
        <v>8342</v>
      </c>
      <c r="AN231" s="211">
        <f>+H214</f>
        <v>8374</v>
      </c>
      <c r="AO231" s="211">
        <f>+H215</f>
        <v>8406</v>
      </c>
      <c r="AP231" s="211">
        <f>+H216</f>
        <v>8439</v>
      </c>
      <c r="AQ231" s="211">
        <f>+H217</f>
        <v>8471</v>
      </c>
      <c r="AR231" s="211">
        <f>+H218</f>
        <v>8504</v>
      </c>
      <c r="AS231" s="211">
        <f>+H219</f>
        <v>8536</v>
      </c>
      <c r="AT231" s="211">
        <f>+H220</f>
        <v>8569</v>
      </c>
      <c r="AU231" s="211">
        <f>+H221</f>
        <v>8601.5</v>
      </c>
      <c r="AV231" s="211">
        <f>+H222</f>
        <v>8635</v>
      </c>
      <c r="AW231" s="75">
        <f>+H223</f>
        <v>8667.5</v>
      </c>
      <c r="AX231" s="161" t="s">
        <v>95</v>
      </c>
    </row>
    <row r="232" spans="1:50" ht="20.100000000000001" customHeight="1"/>
    <row r="233" spans="1:50" ht="20.100000000000001" customHeight="1"/>
    <row r="234" spans="1:50" ht="20.100000000000001" customHeight="1"/>
    <row r="235" spans="1:50" ht="20.100000000000001" customHeight="1"/>
    <row r="236" spans="1:50" ht="20.100000000000001" customHeight="1"/>
    <row r="237" spans="1:50" ht="20.100000000000001" customHeight="1"/>
    <row r="238" spans="1:50" ht="20.100000000000001" customHeight="1"/>
    <row r="239" spans="1:50" ht="20.100000000000001" customHeight="1"/>
    <row r="240" spans="1:50" ht="20.100000000000001" customHeight="1"/>
    <row r="241" ht="20.100000000000001" customHeight="1"/>
    <row r="242" ht="20.100000000000001" customHeight="1"/>
    <row r="243" ht="20.100000000000001" customHeight="1"/>
    <row r="244" ht="20.100000000000001" customHeight="1"/>
    <row r="245" ht="20.100000000000001" customHeight="1"/>
    <row r="246" ht="20.100000000000001" customHeight="1"/>
    <row r="247" ht="20.100000000000001" customHeight="1"/>
    <row r="248" ht="20.100000000000001" customHeight="1"/>
  </sheetData>
  <phoneticPr fontId="50" type="noConversion"/>
  <pageMargins left="0.74803149606299213" right="0.74803149606299213" top="0.78740157480314965" bottom="0.78740157480314965" header="0.51181102362204722" footer="0.51181102362204722"/>
  <pageSetup paperSize="9" scale="70" fitToHeight="3" orientation="portrait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>
  <sheetPr codeName="Sheet38">
    <tabColor indexed="41"/>
  </sheetPr>
  <dimension ref="A1:AO204"/>
  <sheetViews>
    <sheetView workbookViewId="0"/>
  </sheetViews>
  <sheetFormatPr defaultRowHeight="15" customHeight="1"/>
  <cols>
    <col min="1" max="1" width="8.88671875" style="55"/>
    <col min="2" max="2" width="9.21875" style="55" customWidth="1"/>
    <col min="3" max="3" width="9.5546875" style="55" customWidth="1"/>
    <col min="4" max="4" width="9" style="55" customWidth="1"/>
    <col min="5" max="5" width="11.33203125" style="55" customWidth="1"/>
    <col min="6" max="6" width="9.44140625" style="55" customWidth="1"/>
    <col min="7" max="7" width="15.109375" style="55" bestFit="1" customWidth="1"/>
    <col min="8" max="8" width="12.88671875" style="55" bestFit="1" customWidth="1"/>
    <col min="9" max="9" width="11.5546875" style="55" bestFit="1" customWidth="1"/>
    <col min="10" max="11" width="8.88671875" style="55"/>
    <col min="12" max="41" width="6.77734375" style="55" customWidth="1"/>
    <col min="42" max="16384" width="8.88671875" style="55"/>
  </cols>
  <sheetData>
    <row r="1" spans="1:13" ht="15" customHeight="1">
      <c r="A1" s="54" t="s">
        <v>280</v>
      </c>
    </row>
    <row r="2" spans="1:13" ht="15" customHeight="1">
      <c r="A2" s="54"/>
    </row>
    <row r="3" spans="1:13" ht="15" customHeight="1">
      <c r="A3" s="56" t="s">
        <v>74</v>
      </c>
      <c r="B3" s="57"/>
    </row>
    <row r="4" spans="1:13" ht="15" customHeight="1">
      <c r="A4" s="58" t="s">
        <v>32</v>
      </c>
      <c r="B4" s="59" t="s">
        <v>40</v>
      </c>
      <c r="C4" s="59" t="s">
        <v>33</v>
      </c>
      <c r="D4" s="60"/>
      <c r="E4" s="60"/>
      <c r="F4" s="61"/>
      <c r="G4" s="62"/>
      <c r="H4" s="63" t="s">
        <v>256</v>
      </c>
      <c r="I4" s="64">
        <f>RSQ(I5:I15,B5:B15)</f>
        <v>0.99179953451838765</v>
      </c>
    </row>
    <row r="5" spans="1:13" ht="15" customHeight="1">
      <c r="A5" s="176">
        <v>1997</v>
      </c>
      <c r="B5" s="180">
        <f>+부곡동20년!B14</f>
        <v>9504</v>
      </c>
      <c r="C5" s="177">
        <v>0</v>
      </c>
      <c r="D5" s="178"/>
      <c r="E5" s="178"/>
      <c r="F5" s="179"/>
      <c r="G5" s="262"/>
      <c r="H5" s="263"/>
      <c r="I5" s="70">
        <f t="shared" ref="I5:I33" si="0">$E$6*C5+$E$7</f>
        <v>9504</v>
      </c>
    </row>
    <row r="6" spans="1:13" ht="15" customHeight="1">
      <c r="A6" s="65" t="e">
        <f>#REF!</f>
        <v>#REF!</v>
      </c>
      <c r="B6" s="180">
        <f>+부곡동20년!B15</f>
        <v>9329</v>
      </c>
      <c r="C6" s="67">
        <f>+C5+1</f>
        <v>1</v>
      </c>
      <c r="D6" s="53" t="s">
        <v>75</v>
      </c>
      <c r="E6" s="68">
        <f>(B15-B5)/C15</f>
        <v>-189.5</v>
      </c>
      <c r="F6" s="69"/>
      <c r="G6" s="53"/>
      <c r="H6" s="69"/>
      <c r="I6" s="70">
        <f t="shared" si="0"/>
        <v>9314.5</v>
      </c>
      <c r="J6" s="71">
        <v>570570</v>
      </c>
      <c r="K6" s="55">
        <v>570570</v>
      </c>
      <c r="L6" s="55">
        <v>766</v>
      </c>
    </row>
    <row r="7" spans="1:13" ht="15" customHeight="1">
      <c r="A7" s="65" t="e">
        <f>#REF!</f>
        <v>#REF!</v>
      </c>
      <c r="B7" s="180">
        <f>+부곡동20년!B16</f>
        <v>9142</v>
      </c>
      <c r="C7" s="67">
        <f t="shared" ref="C7:C33" si="1">C6+1</f>
        <v>2</v>
      </c>
      <c r="D7" s="53" t="s">
        <v>76</v>
      </c>
      <c r="E7" s="72">
        <f>B5</f>
        <v>9504</v>
      </c>
      <c r="F7" s="69"/>
      <c r="G7" s="53"/>
      <c r="H7" s="69"/>
      <c r="I7" s="70">
        <f t="shared" si="0"/>
        <v>9125</v>
      </c>
      <c r="J7" s="71">
        <v>583230</v>
      </c>
      <c r="K7" s="55">
        <v>583230</v>
      </c>
      <c r="L7" s="55">
        <v>1094</v>
      </c>
    </row>
    <row r="8" spans="1:13" ht="15" customHeight="1">
      <c r="A8" s="65" t="e">
        <f>#REF!</f>
        <v>#REF!</v>
      </c>
      <c r="B8" s="180">
        <f>+부곡동20년!B17</f>
        <v>8940</v>
      </c>
      <c r="C8" s="67">
        <f t="shared" si="1"/>
        <v>3</v>
      </c>
      <c r="D8" s="53" t="s">
        <v>77</v>
      </c>
      <c r="E8" s="73">
        <f>I4</f>
        <v>0.99179953451838765</v>
      </c>
      <c r="F8" s="69"/>
      <c r="G8" s="53"/>
      <c r="H8" s="69"/>
      <c r="I8" s="70">
        <f t="shared" si="0"/>
        <v>8935.5</v>
      </c>
      <c r="J8" s="71">
        <v>590162</v>
      </c>
      <c r="K8" s="55">
        <v>590162</v>
      </c>
      <c r="L8" s="55">
        <v>1277</v>
      </c>
    </row>
    <row r="9" spans="1:13" ht="15" customHeight="1">
      <c r="A9" s="65" t="e">
        <f>#REF!</f>
        <v>#REF!</v>
      </c>
      <c r="B9" s="180">
        <f>+부곡동20년!B18</f>
        <v>8630</v>
      </c>
      <c r="C9" s="67">
        <f t="shared" si="1"/>
        <v>4</v>
      </c>
      <c r="D9" s="53"/>
      <c r="E9" s="53"/>
      <c r="F9" s="69"/>
      <c r="G9" s="53"/>
      <c r="H9" s="69"/>
      <c r="I9" s="70">
        <f t="shared" si="0"/>
        <v>8746</v>
      </c>
      <c r="J9" s="71">
        <v>600343</v>
      </c>
      <c r="K9" s="55">
        <v>600343</v>
      </c>
      <c r="L9" s="55">
        <v>1147</v>
      </c>
    </row>
    <row r="10" spans="1:13" ht="15" customHeight="1">
      <c r="A10" s="65" t="e">
        <f>#REF!</f>
        <v>#REF!</v>
      </c>
      <c r="B10" s="180">
        <f>+부곡동20년!B19</f>
        <v>8501</v>
      </c>
      <c r="C10" s="67">
        <f t="shared" si="1"/>
        <v>5</v>
      </c>
      <c r="D10" s="53"/>
      <c r="E10" s="53"/>
      <c r="F10" s="69"/>
      <c r="G10" s="53"/>
      <c r="H10" s="69"/>
      <c r="I10" s="70">
        <f t="shared" si="0"/>
        <v>8556.5</v>
      </c>
      <c r="J10" s="71">
        <v>611921</v>
      </c>
      <c r="K10" s="55">
        <v>611921</v>
      </c>
      <c r="L10" s="55">
        <v>1355</v>
      </c>
    </row>
    <row r="11" spans="1:13" ht="15" customHeight="1">
      <c r="A11" s="65" t="e">
        <f>#REF!</f>
        <v>#REF!</v>
      </c>
      <c r="B11" s="180">
        <f>+부곡동20년!B20</f>
        <v>8223</v>
      </c>
      <c r="C11" s="67">
        <f t="shared" si="1"/>
        <v>6</v>
      </c>
      <c r="D11" s="53"/>
      <c r="E11" s="53"/>
      <c r="F11" s="69"/>
      <c r="G11" s="53"/>
      <c r="H11" s="69"/>
      <c r="I11" s="70">
        <f t="shared" si="0"/>
        <v>8367</v>
      </c>
      <c r="J11" s="74">
        <v>622238</v>
      </c>
      <c r="K11" s="55">
        <v>622238</v>
      </c>
      <c r="L11" s="55">
        <v>1717</v>
      </c>
    </row>
    <row r="12" spans="1:13" ht="15" customHeight="1">
      <c r="A12" s="65" t="e">
        <f>#REF!</f>
        <v>#REF!</v>
      </c>
      <c r="B12" s="180">
        <f>+부곡동20년!B21</f>
        <v>8067</v>
      </c>
      <c r="C12" s="67">
        <f t="shared" si="1"/>
        <v>7</v>
      </c>
      <c r="D12" s="53" t="s">
        <v>73</v>
      </c>
      <c r="E12" s="53"/>
      <c r="F12" s="69"/>
      <c r="G12" s="53"/>
      <c r="H12" s="69"/>
      <c r="I12" s="70">
        <f t="shared" si="0"/>
        <v>8177.5</v>
      </c>
      <c r="J12" s="74">
        <v>623897</v>
      </c>
      <c r="K12" s="55">
        <v>623897</v>
      </c>
      <c r="L12" s="55">
        <v>1614</v>
      </c>
    </row>
    <row r="13" spans="1:13" ht="15" customHeight="1">
      <c r="A13" s="65" t="e">
        <f>#REF!</f>
        <v>#REF!</v>
      </c>
      <c r="B13" s="180">
        <f>+부곡동20년!B22</f>
        <v>7803</v>
      </c>
      <c r="C13" s="67">
        <f t="shared" si="1"/>
        <v>8</v>
      </c>
      <c r="D13" s="53"/>
      <c r="E13" s="53"/>
      <c r="F13" s="69"/>
      <c r="G13" s="53"/>
      <c r="H13" s="69"/>
      <c r="I13" s="70">
        <f t="shared" si="0"/>
        <v>7988</v>
      </c>
      <c r="J13" s="74">
        <v>626069</v>
      </c>
      <c r="K13" s="55">
        <v>626069</v>
      </c>
      <c r="L13" s="55">
        <v>1584</v>
      </c>
    </row>
    <row r="14" spans="1:13" ht="15" customHeight="1">
      <c r="A14" s="65" t="e">
        <f>#REF!</f>
        <v>#REF!</v>
      </c>
      <c r="B14" s="180">
        <f>+부곡동20년!B23</f>
        <v>7699</v>
      </c>
      <c r="C14" s="67">
        <f t="shared" si="1"/>
        <v>9</v>
      </c>
      <c r="D14" s="53"/>
      <c r="E14" s="53"/>
      <c r="F14" s="69"/>
      <c r="G14" s="53"/>
      <c r="H14" s="69"/>
      <c r="I14" s="70">
        <f t="shared" si="0"/>
        <v>7798.5</v>
      </c>
      <c r="J14" s="74">
        <v>618816</v>
      </c>
      <c r="K14" s="55">
        <v>620374</v>
      </c>
      <c r="L14" s="75">
        <v>1555</v>
      </c>
      <c r="M14" s="75"/>
    </row>
    <row r="15" spans="1:13" ht="15" customHeight="1" thickBot="1">
      <c r="A15" s="97" t="e">
        <f>#REF!</f>
        <v>#REF!</v>
      </c>
      <c r="B15" s="181">
        <f>+부곡동20년!B24</f>
        <v>7609</v>
      </c>
      <c r="C15" s="99">
        <f t="shared" si="1"/>
        <v>10</v>
      </c>
      <c r="D15" s="101"/>
      <c r="E15" s="101"/>
      <c r="F15" s="100"/>
      <c r="G15" s="101"/>
      <c r="H15" s="100"/>
      <c r="I15" s="102">
        <f t="shared" si="0"/>
        <v>7609</v>
      </c>
      <c r="J15" s="74">
        <v>622472</v>
      </c>
      <c r="K15" s="55">
        <v>624260</v>
      </c>
      <c r="L15" s="75">
        <v>1788</v>
      </c>
      <c r="M15" s="75"/>
    </row>
    <row r="16" spans="1:13" ht="15" customHeight="1" thickTop="1">
      <c r="A16" s="80">
        <v>2008</v>
      </c>
      <c r="B16" s="81">
        <f t="shared" ref="B16:B33" si="2">ROUND($E$6*C16+$E$7,0)</f>
        <v>7420</v>
      </c>
      <c r="C16" s="77">
        <f t="shared" si="1"/>
        <v>11</v>
      </c>
      <c r="D16" s="256"/>
      <c r="E16" s="256"/>
      <c r="F16" s="78"/>
      <c r="G16" s="256"/>
      <c r="H16" s="78"/>
      <c r="I16" s="79">
        <f t="shared" si="0"/>
        <v>7419.5</v>
      </c>
      <c r="K16" s="55">
        <v>623804</v>
      </c>
      <c r="L16" s="75">
        <f>+J16-K16</f>
        <v>-623804</v>
      </c>
      <c r="M16" s="75"/>
    </row>
    <row r="17" spans="1:9" ht="15" customHeight="1">
      <c r="A17" s="80">
        <v>2009</v>
      </c>
      <c r="B17" s="81">
        <f t="shared" si="2"/>
        <v>7230</v>
      </c>
      <c r="C17" s="67">
        <f t="shared" si="1"/>
        <v>12</v>
      </c>
      <c r="D17" s="69"/>
      <c r="E17" s="69"/>
      <c r="F17" s="69"/>
      <c r="G17" s="69"/>
      <c r="H17" s="69"/>
      <c r="I17" s="70">
        <f t="shared" si="0"/>
        <v>7230</v>
      </c>
    </row>
    <row r="18" spans="1:9" ht="15" customHeight="1">
      <c r="A18" s="80">
        <v>2010</v>
      </c>
      <c r="B18" s="81">
        <f t="shared" si="2"/>
        <v>7041</v>
      </c>
      <c r="C18" s="82">
        <f t="shared" si="1"/>
        <v>13</v>
      </c>
      <c r="D18" s="69"/>
      <c r="E18" s="69"/>
      <c r="F18" s="69"/>
      <c r="G18" s="69"/>
      <c r="H18" s="69"/>
      <c r="I18" s="70">
        <f t="shared" si="0"/>
        <v>7040.5</v>
      </c>
    </row>
    <row r="19" spans="1:9" ht="15" customHeight="1">
      <c r="A19" s="80">
        <v>2011</v>
      </c>
      <c r="B19" s="81">
        <f t="shared" si="2"/>
        <v>6851</v>
      </c>
      <c r="C19" s="82">
        <f t="shared" si="1"/>
        <v>14</v>
      </c>
      <c r="D19" s="69"/>
      <c r="E19" s="69"/>
      <c r="F19" s="69"/>
      <c r="G19" s="69"/>
      <c r="H19" s="69"/>
      <c r="I19" s="70">
        <f t="shared" si="0"/>
        <v>6851</v>
      </c>
    </row>
    <row r="20" spans="1:9" ht="15" customHeight="1">
      <c r="A20" s="80">
        <v>2012</v>
      </c>
      <c r="B20" s="81">
        <f t="shared" si="2"/>
        <v>6662</v>
      </c>
      <c r="C20" s="82">
        <f t="shared" si="1"/>
        <v>15</v>
      </c>
      <c r="D20" s="69"/>
      <c r="E20" s="69"/>
      <c r="F20" s="69"/>
      <c r="G20" s="69"/>
      <c r="H20" s="69"/>
      <c r="I20" s="70">
        <f t="shared" si="0"/>
        <v>6661.5</v>
      </c>
    </row>
    <row r="21" spans="1:9" ht="15" customHeight="1">
      <c r="A21" s="80">
        <v>2013</v>
      </c>
      <c r="B21" s="81">
        <f t="shared" si="2"/>
        <v>6472</v>
      </c>
      <c r="C21" s="82">
        <f t="shared" si="1"/>
        <v>16</v>
      </c>
      <c r="D21" s="69"/>
      <c r="E21" s="69"/>
      <c r="F21" s="69"/>
      <c r="G21" s="69"/>
      <c r="H21" s="69"/>
      <c r="I21" s="70">
        <f t="shared" si="0"/>
        <v>6472</v>
      </c>
    </row>
    <row r="22" spans="1:9" ht="15" customHeight="1">
      <c r="A22" s="80">
        <v>2014</v>
      </c>
      <c r="B22" s="81">
        <f t="shared" si="2"/>
        <v>6283</v>
      </c>
      <c r="C22" s="82">
        <f t="shared" si="1"/>
        <v>17</v>
      </c>
      <c r="D22" s="69"/>
      <c r="E22" s="69"/>
      <c r="F22" s="69"/>
      <c r="G22" s="69"/>
      <c r="H22" s="69"/>
      <c r="I22" s="70">
        <f t="shared" si="0"/>
        <v>6282.5</v>
      </c>
    </row>
    <row r="23" spans="1:9" ht="15" customHeight="1">
      <c r="A23" s="80">
        <v>2015</v>
      </c>
      <c r="B23" s="81">
        <f t="shared" si="2"/>
        <v>6093</v>
      </c>
      <c r="C23" s="82">
        <f t="shared" si="1"/>
        <v>18</v>
      </c>
      <c r="D23" s="69"/>
      <c r="E23" s="69"/>
      <c r="F23" s="69"/>
      <c r="G23" s="69"/>
      <c r="H23" s="69"/>
      <c r="I23" s="70">
        <f t="shared" si="0"/>
        <v>6093</v>
      </c>
    </row>
    <row r="24" spans="1:9" ht="15" customHeight="1">
      <c r="A24" s="80">
        <v>2016</v>
      </c>
      <c r="B24" s="81">
        <f t="shared" si="2"/>
        <v>5904</v>
      </c>
      <c r="C24" s="82">
        <f t="shared" si="1"/>
        <v>19</v>
      </c>
      <c r="D24" s="69"/>
      <c r="E24" s="69"/>
      <c r="F24" s="69"/>
      <c r="G24" s="69"/>
      <c r="H24" s="69"/>
      <c r="I24" s="70">
        <f t="shared" si="0"/>
        <v>5903.5</v>
      </c>
    </row>
    <row r="25" spans="1:9" ht="15" customHeight="1">
      <c r="A25" s="80">
        <v>2017</v>
      </c>
      <c r="B25" s="81">
        <f t="shared" si="2"/>
        <v>5714</v>
      </c>
      <c r="C25" s="82">
        <f t="shared" si="1"/>
        <v>20</v>
      </c>
      <c r="D25" s="69"/>
      <c r="E25" s="69"/>
      <c r="F25" s="69"/>
      <c r="G25" s="69"/>
      <c r="H25" s="69"/>
      <c r="I25" s="70">
        <f t="shared" si="0"/>
        <v>5714</v>
      </c>
    </row>
    <row r="26" spans="1:9" ht="15" customHeight="1">
      <c r="A26" s="80">
        <v>2018</v>
      </c>
      <c r="B26" s="81">
        <f t="shared" si="2"/>
        <v>5525</v>
      </c>
      <c r="C26" s="82">
        <f t="shared" si="1"/>
        <v>21</v>
      </c>
      <c r="D26" s="69"/>
      <c r="E26" s="69"/>
      <c r="F26" s="69"/>
      <c r="G26" s="69"/>
      <c r="H26" s="69"/>
      <c r="I26" s="70">
        <f t="shared" si="0"/>
        <v>5524.5</v>
      </c>
    </row>
    <row r="27" spans="1:9" ht="15" customHeight="1">
      <c r="A27" s="80">
        <v>2019</v>
      </c>
      <c r="B27" s="81">
        <f t="shared" si="2"/>
        <v>5335</v>
      </c>
      <c r="C27" s="82">
        <f t="shared" si="1"/>
        <v>22</v>
      </c>
      <c r="D27" s="69"/>
      <c r="E27" s="69"/>
      <c r="F27" s="69"/>
      <c r="G27" s="69"/>
      <c r="H27" s="69"/>
      <c r="I27" s="70">
        <f t="shared" si="0"/>
        <v>5335</v>
      </c>
    </row>
    <row r="28" spans="1:9" ht="15" customHeight="1">
      <c r="A28" s="80">
        <v>2020</v>
      </c>
      <c r="B28" s="81">
        <f t="shared" si="2"/>
        <v>5146</v>
      </c>
      <c r="C28" s="82">
        <f t="shared" si="1"/>
        <v>23</v>
      </c>
      <c r="D28" s="69"/>
      <c r="E28" s="69"/>
      <c r="F28" s="69"/>
      <c r="G28" s="69"/>
      <c r="H28" s="69"/>
      <c r="I28" s="70">
        <f t="shared" si="0"/>
        <v>5145.5</v>
      </c>
    </row>
    <row r="29" spans="1:9" ht="15" customHeight="1">
      <c r="A29" s="80">
        <v>2021</v>
      </c>
      <c r="B29" s="81">
        <f t="shared" si="2"/>
        <v>4956</v>
      </c>
      <c r="C29" s="82">
        <f t="shared" si="1"/>
        <v>24</v>
      </c>
      <c r="D29" s="69"/>
      <c r="E29" s="69"/>
      <c r="F29" s="69"/>
      <c r="G29" s="69"/>
      <c r="H29" s="69"/>
      <c r="I29" s="70">
        <f t="shared" si="0"/>
        <v>4956</v>
      </c>
    </row>
    <row r="30" spans="1:9" ht="15" customHeight="1">
      <c r="A30" s="80">
        <v>2022</v>
      </c>
      <c r="B30" s="81">
        <f t="shared" si="2"/>
        <v>4767</v>
      </c>
      <c r="C30" s="82">
        <f t="shared" si="1"/>
        <v>25</v>
      </c>
      <c r="D30" s="69"/>
      <c r="E30" s="69"/>
      <c r="F30" s="69"/>
      <c r="G30" s="69"/>
      <c r="H30" s="69"/>
      <c r="I30" s="70">
        <f t="shared" si="0"/>
        <v>4766.5</v>
      </c>
    </row>
    <row r="31" spans="1:9" ht="15" customHeight="1">
      <c r="A31" s="80">
        <v>2023</v>
      </c>
      <c r="B31" s="81">
        <f t="shared" si="2"/>
        <v>4577</v>
      </c>
      <c r="C31" s="82">
        <f t="shared" si="1"/>
        <v>26</v>
      </c>
      <c r="D31" s="69"/>
      <c r="E31" s="69"/>
      <c r="F31" s="69"/>
      <c r="G31" s="69"/>
      <c r="H31" s="69"/>
      <c r="I31" s="70">
        <f t="shared" si="0"/>
        <v>4577</v>
      </c>
    </row>
    <row r="32" spans="1:9" ht="15" customHeight="1">
      <c r="A32" s="80">
        <v>2024</v>
      </c>
      <c r="B32" s="81">
        <f t="shared" si="2"/>
        <v>4388</v>
      </c>
      <c r="C32" s="67">
        <f t="shared" si="1"/>
        <v>27</v>
      </c>
      <c r="D32" s="83"/>
      <c r="E32" s="69"/>
      <c r="F32" s="69"/>
      <c r="G32" s="69"/>
      <c r="H32" s="84"/>
      <c r="I32" s="70">
        <f t="shared" si="0"/>
        <v>4387.5</v>
      </c>
    </row>
    <row r="33" spans="1:9" ht="15" customHeight="1">
      <c r="A33" s="85">
        <v>2025</v>
      </c>
      <c r="B33" s="86">
        <f t="shared" si="2"/>
        <v>4198</v>
      </c>
      <c r="C33" s="87">
        <f t="shared" si="1"/>
        <v>28</v>
      </c>
      <c r="D33" s="88"/>
      <c r="E33" s="89"/>
      <c r="F33" s="89"/>
      <c r="G33" s="89"/>
      <c r="H33" s="90"/>
      <c r="I33" s="91">
        <f t="shared" si="0"/>
        <v>4198</v>
      </c>
    </row>
    <row r="34" spans="1:9" ht="15" customHeight="1">
      <c r="A34" s="56" t="s">
        <v>78</v>
      </c>
      <c r="B34" s="92"/>
      <c r="I34" s="89"/>
    </row>
    <row r="35" spans="1:9" ht="15" customHeight="1">
      <c r="A35" s="58" t="s">
        <v>32</v>
      </c>
      <c r="B35" s="59" t="s">
        <v>40</v>
      </c>
      <c r="C35" s="59" t="s">
        <v>33</v>
      </c>
      <c r="D35" s="60"/>
      <c r="E35" s="60"/>
      <c r="F35" s="61"/>
      <c r="G35" s="62"/>
      <c r="H35" s="63" t="s">
        <v>256</v>
      </c>
      <c r="I35" s="64">
        <f>RSQ(I36:I46,B36:B46)</f>
        <v>0.99179953451838809</v>
      </c>
    </row>
    <row r="36" spans="1:9" ht="15" customHeight="1">
      <c r="A36" s="65">
        <f t="shared" ref="A36:B46" si="3">A5</f>
        <v>1997</v>
      </c>
      <c r="B36" s="93">
        <f t="shared" si="3"/>
        <v>9504</v>
      </c>
      <c r="C36" s="67">
        <v>0</v>
      </c>
      <c r="D36" s="53"/>
      <c r="E36" s="53"/>
      <c r="F36" s="69"/>
      <c r="G36" s="264"/>
      <c r="H36" s="265"/>
      <c r="I36" s="94">
        <f t="shared" ref="I36:I64" si="4">$E$37*C36+$E$38</f>
        <v>9502.681818181818</v>
      </c>
    </row>
    <row r="37" spans="1:9" ht="15" customHeight="1">
      <c r="A37" s="65" t="e">
        <f t="shared" si="3"/>
        <v>#REF!</v>
      </c>
      <c r="B37" s="93">
        <f t="shared" si="3"/>
        <v>9329</v>
      </c>
      <c r="C37" s="67">
        <f>+C36+1</f>
        <v>1</v>
      </c>
      <c r="D37" s="53" t="s">
        <v>75</v>
      </c>
      <c r="E37" s="68">
        <f>INDEX(LINEST(B36:B46,C36:C46),1)</f>
        <v>-201.49999999999991</v>
      </c>
      <c r="F37" s="69"/>
      <c r="G37" s="53"/>
      <c r="H37" s="69"/>
      <c r="I37" s="70">
        <f t="shared" si="4"/>
        <v>9301.181818181818</v>
      </c>
    </row>
    <row r="38" spans="1:9" ht="15" customHeight="1">
      <c r="A38" s="65" t="e">
        <f t="shared" si="3"/>
        <v>#REF!</v>
      </c>
      <c r="B38" s="93">
        <f t="shared" si="3"/>
        <v>9142</v>
      </c>
      <c r="C38" s="67">
        <f t="shared" ref="C38:C64" si="5">C37+1</f>
        <v>2</v>
      </c>
      <c r="D38" s="53" t="s">
        <v>76</v>
      </c>
      <c r="E38" s="72">
        <f>INDEX(LINEST(B36:B46,C36:C46),2)</f>
        <v>9502.681818181818</v>
      </c>
      <c r="F38" s="69"/>
      <c r="G38" s="53"/>
      <c r="H38" s="69"/>
      <c r="I38" s="70">
        <f t="shared" si="4"/>
        <v>9099.681818181818</v>
      </c>
    </row>
    <row r="39" spans="1:9" ht="15" customHeight="1">
      <c r="A39" s="65" t="e">
        <f t="shared" si="3"/>
        <v>#REF!</v>
      </c>
      <c r="B39" s="93">
        <f t="shared" si="3"/>
        <v>8940</v>
      </c>
      <c r="C39" s="67">
        <f t="shared" si="5"/>
        <v>3</v>
      </c>
      <c r="D39" s="53" t="s">
        <v>77</v>
      </c>
      <c r="E39" s="73">
        <f>I35</f>
        <v>0.99179953451838809</v>
      </c>
      <c r="F39" s="69"/>
      <c r="G39" s="53"/>
      <c r="H39" s="69"/>
      <c r="I39" s="70">
        <f t="shared" si="4"/>
        <v>8898.181818181818</v>
      </c>
    </row>
    <row r="40" spans="1:9" ht="15" customHeight="1">
      <c r="A40" s="65" t="e">
        <f t="shared" si="3"/>
        <v>#REF!</v>
      </c>
      <c r="B40" s="93">
        <f t="shared" si="3"/>
        <v>8630</v>
      </c>
      <c r="C40" s="67">
        <f t="shared" si="5"/>
        <v>4</v>
      </c>
      <c r="D40" s="53"/>
      <c r="E40" s="53"/>
      <c r="F40" s="69"/>
      <c r="G40" s="53"/>
      <c r="H40" s="69"/>
      <c r="I40" s="70">
        <f t="shared" si="4"/>
        <v>8696.681818181818</v>
      </c>
    </row>
    <row r="41" spans="1:9" ht="15" customHeight="1">
      <c r="A41" s="65" t="e">
        <f t="shared" si="3"/>
        <v>#REF!</v>
      </c>
      <c r="B41" s="93">
        <f t="shared" si="3"/>
        <v>8501</v>
      </c>
      <c r="C41" s="67">
        <f t="shared" si="5"/>
        <v>5</v>
      </c>
      <c r="D41" s="53"/>
      <c r="E41" s="53"/>
      <c r="F41" s="69"/>
      <c r="G41" s="95"/>
      <c r="H41" s="69"/>
      <c r="I41" s="70">
        <f t="shared" si="4"/>
        <v>8495.181818181818</v>
      </c>
    </row>
    <row r="42" spans="1:9" ht="15" customHeight="1">
      <c r="A42" s="65" t="e">
        <f t="shared" si="3"/>
        <v>#REF!</v>
      </c>
      <c r="B42" s="93">
        <f t="shared" si="3"/>
        <v>8223</v>
      </c>
      <c r="C42" s="67">
        <f t="shared" si="5"/>
        <v>6</v>
      </c>
      <c r="D42" s="53"/>
      <c r="E42" s="53"/>
      <c r="F42" s="69"/>
      <c r="G42" s="53"/>
      <c r="H42" s="69"/>
      <c r="I42" s="70">
        <f t="shared" si="4"/>
        <v>8293.681818181818</v>
      </c>
    </row>
    <row r="43" spans="1:9" ht="15" customHeight="1">
      <c r="A43" s="65" t="e">
        <f t="shared" si="3"/>
        <v>#REF!</v>
      </c>
      <c r="B43" s="93">
        <f t="shared" si="3"/>
        <v>8067</v>
      </c>
      <c r="C43" s="67">
        <f t="shared" si="5"/>
        <v>7</v>
      </c>
      <c r="D43" s="53" t="s">
        <v>73</v>
      </c>
      <c r="E43" s="53"/>
      <c r="F43" s="69"/>
      <c r="G43" s="53"/>
      <c r="H43" s="69"/>
      <c r="I43" s="70">
        <f t="shared" si="4"/>
        <v>8092.1818181818189</v>
      </c>
    </row>
    <row r="44" spans="1:9" ht="15" customHeight="1">
      <c r="A44" s="65" t="e">
        <f t="shared" si="3"/>
        <v>#REF!</v>
      </c>
      <c r="B44" s="93">
        <f t="shared" si="3"/>
        <v>7803</v>
      </c>
      <c r="C44" s="67">
        <f t="shared" si="5"/>
        <v>8</v>
      </c>
      <c r="D44" s="53"/>
      <c r="E44" s="53"/>
      <c r="F44" s="69"/>
      <c r="G44" s="53"/>
      <c r="H44" s="69"/>
      <c r="I44" s="70">
        <f t="shared" si="4"/>
        <v>7890.6818181818189</v>
      </c>
    </row>
    <row r="45" spans="1:9" ht="15" customHeight="1">
      <c r="A45" s="65" t="e">
        <f t="shared" si="3"/>
        <v>#REF!</v>
      </c>
      <c r="B45" s="93">
        <f t="shared" si="3"/>
        <v>7699</v>
      </c>
      <c r="C45" s="67">
        <f t="shared" si="5"/>
        <v>9</v>
      </c>
      <c r="D45" s="53"/>
      <c r="E45" s="53"/>
      <c r="F45" s="69"/>
      <c r="G45" s="53"/>
      <c r="H45" s="69"/>
      <c r="I45" s="70">
        <f t="shared" si="4"/>
        <v>7689.1818181818189</v>
      </c>
    </row>
    <row r="46" spans="1:9" ht="15" customHeight="1" thickBot="1">
      <c r="A46" s="97" t="e">
        <f t="shared" si="3"/>
        <v>#REF!</v>
      </c>
      <c r="B46" s="98">
        <f t="shared" si="3"/>
        <v>7609</v>
      </c>
      <c r="C46" s="99">
        <f t="shared" si="5"/>
        <v>10</v>
      </c>
      <c r="D46" s="100"/>
      <c r="E46" s="100"/>
      <c r="F46" s="100"/>
      <c r="G46" s="101"/>
      <c r="H46" s="101"/>
      <c r="I46" s="102">
        <f t="shared" si="4"/>
        <v>7487.6818181818189</v>
      </c>
    </row>
    <row r="47" spans="1:9" ht="15" customHeight="1" thickTop="1">
      <c r="A47" s="80">
        <v>2008</v>
      </c>
      <c r="B47" s="81">
        <f t="shared" ref="B47:B64" si="6">ROUND(E$37*C47+E$38,0)</f>
        <v>7286</v>
      </c>
      <c r="C47" s="77">
        <f t="shared" si="5"/>
        <v>11</v>
      </c>
      <c r="D47" s="78"/>
      <c r="E47" s="78"/>
      <c r="F47" s="78"/>
      <c r="G47" s="256"/>
      <c r="H47" s="256"/>
      <c r="I47" s="79">
        <f t="shared" si="4"/>
        <v>7286.1818181818189</v>
      </c>
    </row>
    <row r="48" spans="1:9" ht="15" customHeight="1">
      <c r="A48" s="80">
        <v>2009</v>
      </c>
      <c r="B48" s="81">
        <f t="shared" si="6"/>
        <v>7085</v>
      </c>
      <c r="C48" s="67">
        <f t="shared" si="5"/>
        <v>12</v>
      </c>
      <c r="D48" s="69"/>
      <c r="E48" s="69"/>
      <c r="F48" s="69"/>
      <c r="G48" s="69"/>
      <c r="H48" s="69"/>
      <c r="I48" s="70">
        <f t="shared" si="4"/>
        <v>7084.6818181818189</v>
      </c>
    </row>
    <row r="49" spans="1:9" ht="15" customHeight="1">
      <c r="A49" s="80">
        <v>2010</v>
      </c>
      <c r="B49" s="81">
        <f t="shared" si="6"/>
        <v>6883</v>
      </c>
      <c r="C49" s="82">
        <f t="shared" si="5"/>
        <v>13</v>
      </c>
      <c r="D49" s="69"/>
      <c r="E49" s="69"/>
      <c r="F49" s="69"/>
      <c r="G49" s="69"/>
      <c r="H49" s="69"/>
      <c r="I49" s="70">
        <f t="shared" si="4"/>
        <v>6883.1818181818189</v>
      </c>
    </row>
    <row r="50" spans="1:9" ht="15" customHeight="1">
      <c r="A50" s="80">
        <v>2011</v>
      </c>
      <c r="B50" s="81">
        <f t="shared" si="6"/>
        <v>6682</v>
      </c>
      <c r="C50" s="82">
        <f t="shared" si="5"/>
        <v>14</v>
      </c>
      <c r="D50" s="69"/>
      <c r="E50" s="69"/>
      <c r="F50" s="69"/>
      <c r="G50" s="69"/>
      <c r="H50" s="69"/>
      <c r="I50" s="70">
        <f t="shared" si="4"/>
        <v>6681.6818181818198</v>
      </c>
    </row>
    <row r="51" spans="1:9" ht="15" customHeight="1">
      <c r="A51" s="80">
        <v>2012</v>
      </c>
      <c r="B51" s="81">
        <f t="shared" si="6"/>
        <v>6480</v>
      </c>
      <c r="C51" s="82">
        <f t="shared" si="5"/>
        <v>15</v>
      </c>
      <c r="D51" s="69"/>
      <c r="E51" s="69"/>
      <c r="F51" s="69"/>
      <c r="G51" s="69"/>
      <c r="H51" s="69"/>
      <c r="I51" s="70">
        <f t="shared" si="4"/>
        <v>6480.1818181818198</v>
      </c>
    </row>
    <row r="52" spans="1:9" ht="15" customHeight="1">
      <c r="A52" s="80">
        <v>2013</v>
      </c>
      <c r="B52" s="81">
        <f t="shared" si="6"/>
        <v>6279</v>
      </c>
      <c r="C52" s="82">
        <f t="shared" si="5"/>
        <v>16</v>
      </c>
      <c r="D52" s="69"/>
      <c r="E52" s="69"/>
      <c r="F52" s="69"/>
      <c r="G52" s="69"/>
      <c r="H52" s="69"/>
      <c r="I52" s="70">
        <f t="shared" si="4"/>
        <v>6278.6818181818198</v>
      </c>
    </row>
    <row r="53" spans="1:9" ht="15" customHeight="1">
      <c r="A53" s="80">
        <v>2014</v>
      </c>
      <c r="B53" s="81">
        <f t="shared" si="6"/>
        <v>6077</v>
      </c>
      <c r="C53" s="82">
        <f t="shared" si="5"/>
        <v>17</v>
      </c>
      <c r="D53" s="69"/>
      <c r="E53" s="69"/>
      <c r="F53" s="69"/>
      <c r="G53" s="69"/>
      <c r="H53" s="69"/>
      <c r="I53" s="70">
        <f t="shared" si="4"/>
        <v>6077.1818181818198</v>
      </c>
    </row>
    <row r="54" spans="1:9" ht="15" customHeight="1">
      <c r="A54" s="80">
        <v>2015</v>
      </c>
      <c r="B54" s="81">
        <f t="shared" si="6"/>
        <v>5876</v>
      </c>
      <c r="C54" s="82">
        <f t="shared" si="5"/>
        <v>18</v>
      </c>
      <c r="D54" s="69"/>
      <c r="E54" s="69"/>
      <c r="F54" s="69"/>
      <c r="G54" s="69"/>
      <c r="H54" s="69"/>
      <c r="I54" s="70">
        <f t="shared" si="4"/>
        <v>5875.6818181818198</v>
      </c>
    </row>
    <row r="55" spans="1:9" ht="15" customHeight="1">
      <c r="A55" s="80">
        <v>2016</v>
      </c>
      <c r="B55" s="81">
        <f t="shared" si="6"/>
        <v>5674</v>
      </c>
      <c r="C55" s="82">
        <f t="shared" si="5"/>
        <v>19</v>
      </c>
      <c r="D55" s="69"/>
      <c r="E55" s="69"/>
      <c r="F55" s="69"/>
      <c r="G55" s="69"/>
      <c r="H55" s="69"/>
      <c r="I55" s="70">
        <f t="shared" si="4"/>
        <v>5674.1818181818198</v>
      </c>
    </row>
    <row r="56" spans="1:9" ht="15" customHeight="1">
      <c r="A56" s="80">
        <v>2017</v>
      </c>
      <c r="B56" s="81">
        <f t="shared" si="6"/>
        <v>5473</v>
      </c>
      <c r="C56" s="82">
        <f t="shared" si="5"/>
        <v>20</v>
      </c>
      <c r="D56" s="69"/>
      <c r="E56" s="69"/>
      <c r="F56" s="69"/>
      <c r="G56" s="69"/>
      <c r="H56" s="69"/>
      <c r="I56" s="70">
        <f t="shared" si="4"/>
        <v>5472.6818181818198</v>
      </c>
    </row>
    <row r="57" spans="1:9" ht="15" customHeight="1">
      <c r="A57" s="80">
        <v>2018</v>
      </c>
      <c r="B57" s="81">
        <f t="shared" si="6"/>
        <v>5271</v>
      </c>
      <c r="C57" s="82">
        <f t="shared" si="5"/>
        <v>21</v>
      </c>
      <c r="D57" s="69"/>
      <c r="E57" s="69"/>
      <c r="F57" s="69"/>
      <c r="G57" s="69"/>
      <c r="H57" s="69"/>
      <c r="I57" s="70">
        <f t="shared" si="4"/>
        <v>5271.1818181818198</v>
      </c>
    </row>
    <row r="58" spans="1:9" ht="15" customHeight="1">
      <c r="A58" s="80">
        <v>2019</v>
      </c>
      <c r="B58" s="81">
        <f t="shared" si="6"/>
        <v>5070</v>
      </c>
      <c r="C58" s="82">
        <f t="shared" si="5"/>
        <v>22</v>
      </c>
      <c r="D58" s="69"/>
      <c r="E58" s="69"/>
      <c r="F58" s="69"/>
      <c r="G58" s="69"/>
      <c r="H58" s="69"/>
      <c r="I58" s="70">
        <f t="shared" si="4"/>
        <v>5069.6818181818198</v>
      </c>
    </row>
    <row r="59" spans="1:9" ht="15" customHeight="1">
      <c r="A59" s="80">
        <v>2020</v>
      </c>
      <c r="B59" s="81">
        <f t="shared" si="6"/>
        <v>4868</v>
      </c>
      <c r="C59" s="82">
        <f t="shared" si="5"/>
        <v>23</v>
      </c>
      <c r="D59" s="69"/>
      <c r="E59" s="69"/>
      <c r="F59" s="69"/>
      <c r="G59" s="69"/>
      <c r="H59" s="69"/>
      <c r="I59" s="70">
        <f t="shared" si="4"/>
        <v>4868.1818181818198</v>
      </c>
    </row>
    <row r="60" spans="1:9" ht="15" customHeight="1">
      <c r="A60" s="80">
        <v>2021</v>
      </c>
      <c r="B60" s="81">
        <f t="shared" si="6"/>
        <v>4667</v>
      </c>
      <c r="C60" s="82">
        <f t="shared" si="5"/>
        <v>24</v>
      </c>
      <c r="D60" s="69"/>
      <c r="E60" s="69"/>
      <c r="F60" s="69"/>
      <c r="G60" s="69"/>
      <c r="H60" s="69"/>
      <c r="I60" s="70">
        <f t="shared" si="4"/>
        <v>4666.6818181818198</v>
      </c>
    </row>
    <row r="61" spans="1:9" ht="15" customHeight="1">
      <c r="A61" s="80">
        <v>2022</v>
      </c>
      <c r="B61" s="81">
        <f t="shared" si="6"/>
        <v>4465</v>
      </c>
      <c r="C61" s="82">
        <f t="shared" si="5"/>
        <v>25</v>
      </c>
      <c r="D61" s="69"/>
      <c r="E61" s="69"/>
      <c r="F61" s="69"/>
      <c r="G61" s="69"/>
      <c r="H61" s="69"/>
      <c r="I61" s="70">
        <f t="shared" si="4"/>
        <v>4465.1818181818198</v>
      </c>
    </row>
    <row r="62" spans="1:9" ht="15" customHeight="1">
      <c r="A62" s="80">
        <v>2023</v>
      </c>
      <c r="B62" s="81">
        <f t="shared" si="6"/>
        <v>4264</v>
      </c>
      <c r="C62" s="82">
        <f t="shared" si="5"/>
        <v>26</v>
      </c>
      <c r="D62" s="69"/>
      <c r="E62" s="69"/>
      <c r="F62" s="69"/>
      <c r="G62" s="69"/>
      <c r="H62" s="69"/>
      <c r="I62" s="70">
        <f t="shared" si="4"/>
        <v>4263.6818181818198</v>
      </c>
    </row>
    <row r="63" spans="1:9" ht="15" customHeight="1">
      <c r="A63" s="80">
        <v>2024</v>
      </c>
      <c r="B63" s="81">
        <f t="shared" si="6"/>
        <v>4062</v>
      </c>
      <c r="C63" s="67">
        <f t="shared" si="5"/>
        <v>27</v>
      </c>
      <c r="D63" s="69"/>
      <c r="E63" s="69"/>
      <c r="F63" s="69"/>
      <c r="G63" s="69"/>
      <c r="H63" s="69"/>
      <c r="I63" s="70">
        <f t="shared" si="4"/>
        <v>4062.1818181818207</v>
      </c>
    </row>
    <row r="64" spans="1:9" ht="15" customHeight="1">
      <c r="A64" s="85">
        <v>2025</v>
      </c>
      <c r="B64" s="86">
        <f t="shared" si="6"/>
        <v>3861</v>
      </c>
      <c r="C64" s="87">
        <f t="shared" si="5"/>
        <v>28</v>
      </c>
      <c r="D64" s="89"/>
      <c r="E64" s="89"/>
      <c r="F64" s="89"/>
      <c r="G64" s="89"/>
      <c r="H64" s="89"/>
      <c r="I64" s="91">
        <f t="shared" si="4"/>
        <v>3860.6818181818207</v>
      </c>
    </row>
    <row r="65" spans="1:11" ht="15" customHeight="1">
      <c r="A65" s="56" t="s">
        <v>79</v>
      </c>
      <c r="B65" s="57"/>
    </row>
    <row r="66" spans="1:11" ht="15" customHeight="1">
      <c r="A66" s="58" t="s">
        <v>32</v>
      </c>
      <c r="B66" s="59" t="s">
        <v>40</v>
      </c>
      <c r="C66" s="59" t="s">
        <v>34</v>
      </c>
      <c r="D66" s="59" t="s">
        <v>33</v>
      </c>
      <c r="E66" s="103"/>
      <c r="F66" s="60"/>
      <c r="G66" s="61"/>
      <c r="H66" s="63" t="s">
        <v>256</v>
      </c>
      <c r="I66" s="64">
        <f>RSQ(I67:I77,B67:B77)</f>
        <v>0.99394396151599695</v>
      </c>
    </row>
    <row r="67" spans="1:11" ht="15" customHeight="1">
      <c r="A67" s="65">
        <v>1997</v>
      </c>
      <c r="B67" s="104">
        <f t="shared" ref="B67:B77" si="7">B5</f>
        <v>9504</v>
      </c>
      <c r="C67" s="105">
        <f t="shared" ref="C67:C95" si="8">LN(B67)</f>
        <v>9.1594680416024268</v>
      </c>
      <c r="D67" s="67">
        <v>0</v>
      </c>
      <c r="E67" s="106"/>
      <c r="F67" s="53"/>
      <c r="G67" s="69"/>
      <c r="H67" s="265"/>
      <c r="I67" s="109">
        <f t="shared" ref="I67:I95" si="9">ROUND($F$69*(1+$F$68)^(D67),1)</f>
        <v>9504</v>
      </c>
    </row>
    <row r="68" spans="1:11" ht="15" customHeight="1">
      <c r="A68" s="65" t="e">
        <f t="shared" ref="A68:A77" si="10">A6</f>
        <v>#REF!</v>
      </c>
      <c r="B68" s="104">
        <f t="shared" si="7"/>
        <v>9329</v>
      </c>
      <c r="C68" s="105">
        <f t="shared" si="8"/>
        <v>9.1408831069609615</v>
      </c>
      <c r="D68" s="67">
        <f>+D67+1</f>
        <v>1</v>
      </c>
      <c r="E68" s="106" t="s">
        <v>37</v>
      </c>
      <c r="F68" s="73">
        <f>ROUND((B77/B67)^(1/D77)-1,5)</f>
        <v>-2.1989999999999999E-2</v>
      </c>
      <c r="G68" s="107"/>
      <c r="H68" s="108"/>
      <c r="I68" s="109">
        <f t="shared" si="9"/>
        <v>9295</v>
      </c>
    </row>
    <row r="69" spans="1:11" ht="15" customHeight="1">
      <c r="A69" s="65" t="e">
        <f t="shared" si="10"/>
        <v>#REF!</v>
      </c>
      <c r="B69" s="104">
        <f t="shared" si="7"/>
        <v>9142</v>
      </c>
      <c r="C69" s="105">
        <f t="shared" si="8"/>
        <v>9.1206344588916899</v>
      </c>
      <c r="D69" s="67">
        <f t="shared" ref="D69:D95" si="11">D68+1</f>
        <v>2</v>
      </c>
      <c r="E69" s="106" t="s">
        <v>80</v>
      </c>
      <c r="F69" s="110">
        <f>B67</f>
        <v>9504</v>
      </c>
      <c r="G69" s="107"/>
      <c r="H69" s="108"/>
      <c r="I69" s="109">
        <f t="shared" si="9"/>
        <v>9090.6</v>
      </c>
      <c r="K69" s="111"/>
    </row>
    <row r="70" spans="1:11" ht="15" customHeight="1">
      <c r="A70" s="65" t="e">
        <f t="shared" si="10"/>
        <v>#REF!</v>
      </c>
      <c r="B70" s="104">
        <f t="shared" si="7"/>
        <v>8940</v>
      </c>
      <c r="C70" s="105">
        <f t="shared" si="8"/>
        <v>9.0982908681675596</v>
      </c>
      <c r="D70" s="67">
        <f t="shared" si="11"/>
        <v>3</v>
      </c>
      <c r="E70" s="106" t="s">
        <v>77</v>
      </c>
      <c r="F70" s="73">
        <f>I66</f>
        <v>0.99394396151599695</v>
      </c>
      <c r="G70" s="108"/>
      <c r="H70" s="108"/>
      <c r="I70" s="109">
        <f t="shared" si="9"/>
        <v>8890.7000000000007</v>
      </c>
    </row>
    <row r="71" spans="1:11" ht="15" customHeight="1">
      <c r="A71" s="65" t="e">
        <f t="shared" si="10"/>
        <v>#REF!</v>
      </c>
      <c r="B71" s="104">
        <f t="shared" si="7"/>
        <v>8630</v>
      </c>
      <c r="C71" s="105">
        <f t="shared" si="8"/>
        <v>9.0629997840774728</v>
      </c>
      <c r="D71" s="67">
        <f t="shared" si="11"/>
        <v>4</v>
      </c>
      <c r="E71" s="106"/>
      <c r="F71" s="73"/>
      <c r="G71" s="108"/>
      <c r="H71" s="108"/>
      <c r="I71" s="109">
        <f t="shared" si="9"/>
        <v>8695.2000000000007</v>
      </c>
    </row>
    <row r="72" spans="1:11" ht="15" customHeight="1">
      <c r="A72" s="65" t="e">
        <f t="shared" si="10"/>
        <v>#REF!</v>
      </c>
      <c r="B72" s="104">
        <f t="shared" si="7"/>
        <v>8501</v>
      </c>
      <c r="C72" s="105">
        <f t="shared" si="8"/>
        <v>9.0479390826173596</v>
      </c>
      <c r="D72" s="67">
        <f t="shared" si="11"/>
        <v>5</v>
      </c>
      <c r="E72" s="106" t="s">
        <v>81</v>
      </c>
      <c r="F72" s="72"/>
      <c r="G72" s="108"/>
      <c r="H72" s="108"/>
      <c r="I72" s="109">
        <f t="shared" si="9"/>
        <v>8504</v>
      </c>
    </row>
    <row r="73" spans="1:11" ht="15" customHeight="1">
      <c r="A73" s="65" t="e">
        <f t="shared" si="10"/>
        <v>#REF!</v>
      </c>
      <c r="B73" s="104">
        <f t="shared" si="7"/>
        <v>8223</v>
      </c>
      <c r="C73" s="105">
        <f t="shared" si="8"/>
        <v>9.0146903849708959</v>
      </c>
      <c r="D73" s="67">
        <f t="shared" si="11"/>
        <v>6</v>
      </c>
      <c r="E73" s="112"/>
      <c r="F73" s="113"/>
      <c r="G73" s="108"/>
      <c r="H73" s="108"/>
      <c r="I73" s="109">
        <f t="shared" si="9"/>
        <v>8317</v>
      </c>
    </row>
    <row r="74" spans="1:11" ht="15" customHeight="1">
      <c r="A74" s="65" t="e">
        <f t="shared" si="10"/>
        <v>#REF!</v>
      </c>
      <c r="B74" s="104">
        <f t="shared" si="7"/>
        <v>8067</v>
      </c>
      <c r="C74" s="105">
        <f t="shared" si="8"/>
        <v>8.9955369449369744</v>
      </c>
      <c r="D74" s="67">
        <f t="shared" si="11"/>
        <v>7</v>
      </c>
      <c r="E74" s="114"/>
      <c r="F74" s="113"/>
      <c r="G74" s="108"/>
      <c r="H74" s="108"/>
      <c r="I74" s="109">
        <f t="shared" si="9"/>
        <v>8134.1</v>
      </c>
    </row>
    <row r="75" spans="1:11" ht="15" customHeight="1">
      <c r="A75" s="65" t="e">
        <f t="shared" si="10"/>
        <v>#REF!</v>
      </c>
      <c r="B75" s="104">
        <f t="shared" si="7"/>
        <v>7803</v>
      </c>
      <c r="C75" s="105">
        <f t="shared" si="8"/>
        <v>8.9622635541167615</v>
      </c>
      <c r="D75" s="67">
        <f t="shared" si="11"/>
        <v>8</v>
      </c>
      <c r="E75" s="114"/>
      <c r="F75" s="113"/>
      <c r="G75" s="108"/>
      <c r="H75" s="108"/>
      <c r="I75" s="109">
        <f t="shared" si="9"/>
        <v>7955.2</v>
      </c>
    </row>
    <row r="76" spans="1:11" ht="15" customHeight="1">
      <c r="A76" s="65" t="e">
        <f t="shared" si="10"/>
        <v>#REF!</v>
      </c>
      <c r="B76" s="104">
        <f t="shared" si="7"/>
        <v>7699</v>
      </c>
      <c r="C76" s="105">
        <f t="shared" si="8"/>
        <v>8.9488457292780499</v>
      </c>
      <c r="D76" s="67">
        <f t="shared" si="11"/>
        <v>9</v>
      </c>
      <c r="E76" s="108"/>
      <c r="F76" s="108"/>
      <c r="G76" s="115"/>
      <c r="H76" s="108"/>
      <c r="I76" s="109">
        <f t="shared" si="9"/>
        <v>7780.3</v>
      </c>
    </row>
    <row r="77" spans="1:11" s="100" customFormat="1" ht="15" customHeight="1" thickBot="1">
      <c r="A77" s="97" t="e">
        <f t="shared" si="10"/>
        <v>#REF!</v>
      </c>
      <c r="B77" s="116">
        <f t="shared" si="7"/>
        <v>7609</v>
      </c>
      <c r="C77" s="117">
        <f t="shared" si="8"/>
        <v>8.9370870361765231</v>
      </c>
      <c r="D77" s="99">
        <f t="shared" si="11"/>
        <v>10</v>
      </c>
      <c r="E77" s="118"/>
      <c r="F77" s="118"/>
      <c r="G77" s="119"/>
      <c r="H77" s="118"/>
      <c r="I77" s="120">
        <f t="shared" si="9"/>
        <v>7609.2</v>
      </c>
    </row>
    <row r="78" spans="1:11" s="78" customFormat="1" ht="15" customHeight="1" thickTop="1">
      <c r="A78" s="80">
        <v>2008</v>
      </c>
      <c r="B78" s="81">
        <f t="shared" ref="B78:B95" si="12">ROUND(F$69*(1+F$68)^D78,0)</f>
        <v>7442</v>
      </c>
      <c r="C78" s="121">
        <f t="shared" si="8"/>
        <v>8.9148949089065681</v>
      </c>
      <c r="D78" s="77">
        <f t="shared" si="11"/>
        <v>11</v>
      </c>
      <c r="E78" s="259"/>
      <c r="F78" s="259"/>
      <c r="G78" s="260"/>
      <c r="H78" s="259"/>
      <c r="I78" s="123">
        <f t="shared" si="9"/>
        <v>7441.9</v>
      </c>
    </row>
    <row r="79" spans="1:11" ht="15" customHeight="1">
      <c r="A79" s="80">
        <v>2009</v>
      </c>
      <c r="B79" s="81">
        <f t="shared" si="12"/>
        <v>7278</v>
      </c>
      <c r="C79" s="105">
        <f t="shared" si="8"/>
        <v>8.8926113781721057</v>
      </c>
      <c r="D79" s="67">
        <f t="shared" si="11"/>
        <v>12</v>
      </c>
      <c r="E79" s="83"/>
      <c r="F79" s="69"/>
      <c r="G79" s="69"/>
      <c r="H79" s="69"/>
      <c r="I79" s="109">
        <f t="shared" si="9"/>
        <v>7278.2</v>
      </c>
    </row>
    <row r="80" spans="1:11" ht="15" customHeight="1">
      <c r="A80" s="80">
        <v>2010</v>
      </c>
      <c r="B80" s="81">
        <f t="shared" si="12"/>
        <v>7118</v>
      </c>
      <c r="C80" s="105">
        <f t="shared" si="8"/>
        <v>8.8703820660701371</v>
      </c>
      <c r="D80" s="67">
        <f t="shared" si="11"/>
        <v>13</v>
      </c>
      <c r="E80" s="83"/>
      <c r="F80" s="69"/>
      <c r="G80" s="69"/>
      <c r="H80" s="69"/>
      <c r="I80" s="109">
        <f t="shared" si="9"/>
        <v>7118.2</v>
      </c>
    </row>
    <row r="81" spans="1:9" ht="15" customHeight="1">
      <c r="A81" s="80">
        <v>2011</v>
      </c>
      <c r="B81" s="81">
        <f t="shared" si="12"/>
        <v>6962</v>
      </c>
      <c r="C81" s="105">
        <f t="shared" si="8"/>
        <v>8.8482220683713848</v>
      </c>
      <c r="D81" s="67">
        <f t="shared" si="11"/>
        <v>14</v>
      </c>
      <c r="E81" s="83"/>
      <c r="F81" s="69"/>
      <c r="G81" s="69"/>
      <c r="H81" s="69"/>
      <c r="I81" s="109">
        <f t="shared" si="9"/>
        <v>6961.7</v>
      </c>
    </row>
    <row r="82" spans="1:9" ht="15" customHeight="1">
      <c r="A82" s="80">
        <v>2012</v>
      </c>
      <c r="B82" s="81">
        <f t="shared" si="12"/>
        <v>6809</v>
      </c>
      <c r="C82" s="105">
        <f t="shared" si="8"/>
        <v>8.826000545482966</v>
      </c>
      <c r="D82" s="67">
        <f t="shared" si="11"/>
        <v>15</v>
      </c>
      <c r="E82" s="83"/>
      <c r="F82" s="69"/>
      <c r="G82" s="69"/>
      <c r="H82" s="69"/>
      <c r="I82" s="109">
        <f t="shared" si="9"/>
        <v>6808.6</v>
      </c>
    </row>
    <row r="83" spans="1:9" ht="15" customHeight="1">
      <c r="A83" s="80">
        <v>2013</v>
      </c>
      <c r="B83" s="81">
        <f t="shared" si="12"/>
        <v>6659</v>
      </c>
      <c r="C83" s="105">
        <f t="shared" si="8"/>
        <v>8.8037246021106217</v>
      </c>
      <c r="D83" s="67">
        <f t="shared" si="11"/>
        <v>16</v>
      </c>
      <c r="E83" s="83"/>
      <c r="F83" s="69"/>
      <c r="G83" s="69"/>
      <c r="H83" s="69"/>
      <c r="I83" s="109">
        <f t="shared" si="9"/>
        <v>6658.8</v>
      </c>
    </row>
    <row r="84" spans="1:9" ht="15" customHeight="1">
      <c r="A84" s="80">
        <v>2014</v>
      </c>
      <c r="B84" s="81">
        <f t="shared" si="12"/>
        <v>6512</v>
      </c>
      <c r="C84" s="105">
        <f t="shared" si="8"/>
        <v>8.7814019076823762</v>
      </c>
      <c r="D84" s="67">
        <f t="shared" si="11"/>
        <v>17</v>
      </c>
      <c r="E84" s="83"/>
      <c r="F84" s="69"/>
      <c r="G84" s="69"/>
      <c r="H84" s="69"/>
      <c r="I84" s="109">
        <f t="shared" si="9"/>
        <v>6512.4</v>
      </c>
    </row>
    <row r="85" spans="1:9" ht="15" customHeight="1">
      <c r="A85" s="80">
        <v>2015</v>
      </c>
      <c r="B85" s="81">
        <f t="shared" si="12"/>
        <v>6369</v>
      </c>
      <c r="C85" s="105">
        <f t="shared" si="8"/>
        <v>8.7591977503713654</v>
      </c>
      <c r="D85" s="67">
        <f t="shared" si="11"/>
        <v>18</v>
      </c>
      <c r="E85" s="83"/>
      <c r="F85" s="69"/>
      <c r="G85" s="69"/>
      <c r="H85" s="69"/>
      <c r="I85" s="109">
        <f t="shared" si="9"/>
        <v>6369.2</v>
      </c>
    </row>
    <row r="86" spans="1:9" ht="15" customHeight="1">
      <c r="A86" s="80">
        <v>2016</v>
      </c>
      <c r="B86" s="81">
        <f t="shared" si="12"/>
        <v>6229</v>
      </c>
      <c r="C86" s="105">
        <f t="shared" si="8"/>
        <v>8.7369710852541456</v>
      </c>
      <c r="D86" s="67">
        <f t="shared" si="11"/>
        <v>19</v>
      </c>
      <c r="E86" s="83"/>
      <c r="F86" s="69"/>
      <c r="G86" s="69"/>
      <c r="H86" s="69"/>
      <c r="I86" s="109">
        <f t="shared" si="9"/>
        <v>6229.2</v>
      </c>
    </row>
    <row r="87" spans="1:9" ht="15" customHeight="1">
      <c r="A87" s="80">
        <v>2017</v>
      </c>
      <c r="B87" s="81">
        <f t="shared" si="12"/>
        <v>6092</v>
      </c>
      <c r="C87" s="105">
        <f t="shared" si="8"/>
        <v>8.714731714015052</v>
      </c>
      <c r="D87" s="67">
        <f t="shared" si="11"/>
        <v>20</v>
      </c>
      <c r="E87" s="83"/>
      <c r="F87" s="69"/>
      <c r="G87" s="69"/>
      <c r="H87" s="69"/>
      <c r="I87" s="109">
        <f t="shared" si="9"/>
        <v>6092.2</v>
      </c>
    </row>
    <row r="88" spans="1:9" ht="15" customHeight="1">
      <c r="A88" s="80">
        <v>2018</v>
      </c>
      <c r="B88" s="81">
        <f t="shared" si="12"/>
        <v>5958</v>
      </c>
      <c r="C88" s="105">
        <f t="shared" si="8"/>
        <v>8.6924901332732283</v>
      </c>
      <c r="D88" s="67">
        <f t="shared" si="11"/>
        <v>21</v>
      </c>
      <c r="E88" s="83"/>
      <c r="F88" s="69"/>
      <c r="G88" s="69"/>
      <c r="H88" s="69"/>
      <c r="I88" s="109">
        <f t="shared" si="9"/>
        <v>5958.2</v>
      </c>
    </row>
    <row r="89" spans="1:9" ht="15" customHeight="1">
      <c r="A89" s="80">
        <v>2019</v>
      </c>
      <c r="B89" s="81">
        <f t="shared" si="12"/>
        <v>5827</v>
      </c>
      <c r="C89" s="105">
        <f t="shared" si="8"/>
        <v>8.6702575671430751</v>
      </c>
      <c r="D89" s="67">
        <f t="shared" si="11"/>
        <v>22</v>
      </c>
      <c r="E89" s="83"/>
      <c r="F89" s="69"/>
      <c r="G89" s="69"/>
      <c r="H89" s="69"/>
      <c r="I89" s="109">
        <f t="shared" si="9"/>
        <v>5827.2</v>
      </c>
    </row>
    <row r="90" spans="1:9" ht="15" customHeight="1">
      <c r="A90" s="80">
        <v>2020</v>
      </c>
      <c r="B90" s="81">
        <f t="shared" si="12"/>
        <v>5699</v>
      </c>
      <c r="C90" s="105">
        <f t="shared" si="8"/>
        <v>8.6480459998350003</v>
      </c>
      <c r="D90" s="67">
        <f t="shared" si="11"/>
        <v>23</v>
      </c>
      <c r="E90" s="83"/>
      <c r="F90" s="69"/>
      <c r="G90" s="69"/>
      <c r="H90" s="69"/>
      <c r="I90" s="109">
        <f t="shared" si="9"/>
        <v>5699</v>
      </c>
    </row>
    <row r="91" spans="1:9" ht="15" customHeight="1">
      <c r="A91" s="80">
        <v>2021</v>
      </c>
      <c r="B91" s="81">
        <f t="shared" si="12"/>
        <v>5574</v>
      </c>
      <c r="C91" s="105">
        <f t="shared" si="8"/>
        <v>8.6258682080418936</v>
      </c>
      <c r="D91" s="67">
        <f t="shared" si="11"/>
        <v>24</v>
      </c>
      <c r="E91" s="83"/>
      <c r="F91" s="69"/>
      <c r="G91" s="69"/>
      <c r="H91" s="69"/>
      <c r="I91" s="109">
        <f t="shared" si="9"/>
        <v>5573.7</v>
      </c>
    </row>
    <row r="92" spans="1:9" ht="15" customHeight="1">
      <c r="A92" s="80">
        <v>2022</v>
      </c>
      <c r="B92" s="81">
        <f t="shared" si="12"/>
        <v>5451</v>
      </c>
      <c r="C92" s="105">
        <f t="shared" si="8"/>
        <v>8.6035543570642812</v>
      </c>
      <c r="D92" s="67">
        <f t="shared" si="11"/>
        <v>25</v>
      </c>
      <c r="E92" s="83"/>
      <c r="F92" s="69"/>
      <c r="G92" s="69"/>
      <c r="H92" s="69"/>
      <c r="I92" s="109">
        <f t="shared" si="9"/>
        <v>5451.2</v>
      </c>
    </row>
    <row r="93" spans="1:9" ht="15" customHeight="1">
      <c r="A93" s="80">
        <v>2023</v>
      </c>
      <c r="B93" s="81">
        <f t="shared" si="12"/>
        <v>5331</v>
      </c>
      <c r="C93" s="105">
        <f t="shared" si="8"/>
        <v>8.581294116822761</v>
      </c>
      <c r="D93" s="67">
        <f t="shared" si="11"/>
        <v>26</v>
      </c>
      <c r="E93" s="83"/>
      <c r="F93" s="69"/>
      <c r="G93" s="69"/>
      <c r="H93" s="69"/>
      <c r="I93" s="109">
        <f t="shared" si="9"/>
        <v>5331.3</v>
      </c>
    </row>
    <row r="94" spans="1:9" ht="15" customHeight="1">
      <c r="A94" s="80">
        <v>2024</v>
      </c>
      <c r="B94" s="81">
        <f t="shared" si="12"/>
        <v>5214</v>
      </c>
      <c r="C94" s="105">
        <f t="shared" si="8"/>
        <v>8.5591025944934476</v>
      </c>
      <c r="D94" s="67">
        <f t="shared" si="11"/>
        <v>27</v>
      </c>
      <c r="E94" s="69"/>
      <c r="F94" s="69"/>
      <c r="G94" s="69"/>
      <c r="H94" s="69"/>
      <c r="I94" s="109">
        <f t="shared" si="9"/>
        <v>5214.1000000000004</v>
      </c>
    </row>
    <row r="95" spans="1:9" ht="15" customHeight="1">
      <c r="A95" s="85">
        <v>2025</v>
      </c>
      <c r="B95" s="86">
        <f t="shared" si="12"/>
        <v>5099</v>
      </c>
      <c r="C95" s="124">
        <f t="shared" si="8"/>
        <v>8.5367997210551554</v>
      </c>
      <c r="D95" s="87">
        <f t="shared" si="11"/>
        <v>28</v>
      </c>
      <c r="E95" s="89"/>
      <c r="F95" s="89"/>
      <c r="G95" s="89"/>
      <c r="H95" s="89"/>
      <c r="I95" s="125">
        <f t="shared" si="9"/>
        <v>5099.3999999999996</v>
      </c>
    </row>
    <row r="96" spans="1:9" ht="15" customHeight="1">
      <c r="A96" s="56" t="s">
        <v>82</v>
      </c>
      <c r="B96" s="57"/>
    </row>
    <row r="97" spans="1:9" ht="15" customHeight="1">
      <c r="A97" s="58" t="s">
        <v>32</v>
      </c>
      <c r="B97" s="59" t="s">
        <v>40</v>
      </c>
      <c r="C97" s="59" t="s">
        <v>83</v>
      </c>
      <c r="D97" s="59" t="s">
        <v>33</v>
      </c>
      <c r="E97" s="59" t="s">
        <v>35</v>
      </c>
      <c r="F97" s="103"/>
      <c r="G97" s="60"/>
      <c r="H97" s="63" t="s">
        <v>256</v>
      </c>
      <c r="I97" s="64" t="e">
        <f>RSQ(I98:I108,B98:B108)</f>
        <v>#VALUE!</v>
      </c>
    </row>
    <row r="98" spans="1:9" ht="15" customHeight="1">
      <c r="A98" s="65">
        <v>1997</v>
      </c>
      <c r="B98" s="104">
        <f t="shared" ref="B98:B108" si="13">B5</f>
        <v>9504</v>
      </c>
      <c r="C98" s="126"/>
      <c r="D98" s="67">
        <v>0</v>
      </c>
      <c r="E98" s="67"/>
      <c r="F98" s="106"/>
      <c r="G98" s="53"/>
      <c r="H98" s="265"/>
      <c r="I98" s="276" t="e">
        <f>$B$98+$G$103*D98^$G$99</f>
        <v>#VALUE!</v>
      </c>
    </row>
    <row r="99" spans="1:9" ht="15" customHeight="1">
      <c r="A99" s="65" t="e">
        <f t="shared" ref="A99:A108" si="14">A6</f>
        <v>#REF!</v>
      </c>
      <c r="B99" s="104">
        <f t="shared" si="13"/>
        <v>9329</v>
      </c>
      <c r="C99" s="126" t="e">
        <f t="shared" ref="C99:C108" si="15">LN(-B$98+B99)</f>
        <v>#NUM!</v>
      </c>
      <c r="D99" s="67">
        <f>+D98+1</f>
        <v>1</v>
      </c>
      <c r="E99" s="67">
        <f t="shared" ref="E99:E108" si="16">LN(D99)</f>
        <v>0</v>
      </c>
      <c r="F99" s="106" t="s">
        <v>75</v>
      </c>
      <c r="G99" s="73" t="e">
        <f>INDEX(LINEST(C99:C108,E99:E108),1)</f>
        <v>#VALUE!</v>
      </c>
      <c r="H99" s="127"/>
      <c r="I99" s="128" t="e">
        <f t="shared" ref="I99:I126" si="17">$B$98+$G$103*D99^$G$99</f>
        <v>#VALUE!</v>
      </c>
    </row>
    <row r="100" spans="1:9" ht="15" customHeight="1">
      <c r="A100" s="65" t="e">
        <f t="shared" si="14"/>
        <v>#REF!</v>
      </c>
      <c r="B100" s="104">
        <f t="shared" si="13"/>
        <v>9142</v>
      </c>
      <c r="C100" s="126" t="e">
        <f t="shared" si="15"/>
        <v>#NUM!</v>
      </c>
      <c r="D100" s="67">
        <f t="shared" ref="D100:D126" si="18">D99+1</f>
        <v>2</v>
      </c>
      <c r="E100" s="67">
        <f t="shared" si="16"/>
        <v>0.69314718055994529</v>
      </c>
      <c r="F100" s="106" t="s">
        <v>76</v>
      </c>
      <c r="G100" s="73" t="e">
        <f>INDEX(LINEST(C99:C108,E99:E108),2)</f>
        <v>#VALUE!</v>
      </c>
      <c r="H100" s="129" t="s">
        <v>84</v>
      </c>
      <c r="I100" s="128" t="e">
        <f t="shared" si="17"/>
        <v>#VALUE!</v>
      </c>
    </row>
    <row r="101" spans="1:9" ht="15" customHeight="1">
      <c r="A101" s="65" t="e">
        <f t="shared" si="14"/>
        <v>#REF!</v>
      </c>
      <c r="B101" s="104">
        <f t="shared" si="13"/>
        <v>8940</v>
      </c>
      <c r="C101" s="126" t="e">
        <f t="shared" si="15"/>
        <v>#NUM!</v>
      </c>
      <c r="D101" s="67">
        <f t="shared" si="18"/>
        <v>3</v>
      </c>
      <c r="E101" s="67">
        <f t="shared" si="16"/>
        <v>1.0986122886681098</v>
      </c>
      <c r="F101" s="69"/>
      <c r="G101" s="130"/>
      <c r="H101" s="127"/>
      <c r="I101" s="128" t="e">
        <f t="shared" si="17"/>
        <v>#VALUE!</v>
      </c>
    </row>
    <row r="102" spans="1:9" ht="15" customHeight="1">
      <c r="A102" s="65" t="e">
        <f t="shared" si="14"/>
        <v>#REF!</v>
      </c>
      <c r="B102" s="104">
        <f t="shared" si="13"/>
        <v>8630</v>
      </c>
      <c r="C102" s="126" t="e">
        <f t="shared" si="15"/>
        <v>#NUM!</v>
      </c>
      <c r="D102" s="67">
        <f t="shared" si="18"/>
        <v>4</v>
      </c>
      <c r="E102" s="67">
        <f t="shared" si="16"/>
        <v>1.3862943611198906</v>
      </c>
      <c r="F102" s="106" t="s">
        <v>77</v>
      </c>
      <c r="G102" s="73" t="e">
        <f>I97</f>
        <v>#VALUE!</v>
      </c>
      <c r="H102" s="127"/>
      <c r="I102" s="128" t="e">
        <f t="shared" si="17"/>
        <v>#VALUE!</v>
      </c>
    </row>
    <row r="103" spans="1:9" ht="15" customHeight="1">
      <c r="A103" s="65" t="e">
        <f t="shared" si="14"/>
        <v>#REF!</v>
      </c>
      <c r="B103" s="104">
        <f t="shared" si="13"/>
        <v>8501</v>
      </c>
      <c r="C103" s="126" t="e">
        <f t="shared" si="15"/>
        <v>#NUM!</v>
      </c>
      <c r="D103" s="67">
        <f t="shared" si="18"/>
        <v>5</v>
      </c>
      <c r="E103" s="67">
        <f t="shared" si="16"/>
        <v>1.6094379124341003</v>
      </c>
      <c r="F103" s="106" t="s">
        <v>38</v>
      </c>
      <c r="G103" s="131" t="e">
        <f>EXP(G100)</f>
        <v>#VALUE!</v>
      </c>
      <c r="H103" s="127"/>
      <c r="I103" s="128" t="e">
        <f t="shared" si="17"/>
        <v>#VALUE!</v>
      </c>
    </row>
    <row r="104" spans="1:9" ht="15" customHeight="1">
      <c r="A104" s="65" t="e">
        <f t="shared" si="14"/>
        <v>#REF!</v>
      </c>
      <c r="B104" s="104">
        <f t="shared" si="13"/>
        <v>8223</v>
      </c>
      <c r="C104" s="126" t="e">
        <f t="shared" si="15"/>
        <v>#NUM!</v>
      </c>
      <c r="D104" s="67">
        <f t="shared" si="18"/>
        <v>6</v>
      </c>
      <c r="E104" s="67">
        <f t="shared" si="16"/>
        <v>1.791759469228055</v>
      </c>
      <c r="F104" s="106"/>
      <c r="G104" s="53"/>
      <c r="H104" s="127"/>
      <c r="I104" s="128" t="e">
        <f t="shared" si="17"/>
        <v>#VALUE!</v>
      </c>
    </row>
    <row r="105" spans="1:9" ht="15" customHeight="1">
      <c r="A105" s="65" t="e">
        <f t="shared" si="14"/>
        <v>#REF!</v>
      </c>
      <c r="B105" s="104">
        <f t="shared" si="13"/>
        <v>8067</v>
      </c>
      <c r="C105" s="126" t="e">
        <f t="shared" si="15"/>
        <v>#NUM!</v>
      </c>
      <c r="D105" s="67">
        <f t="shared" si="18"/>
        <v>7</v>
      </c>
      <c r="E105" s="67">
        <f t="shared" si="16"/>
        <v>1.9459101490553132</v>
      </c>
      <c r="F105" s="106"/>
      <c r="G105" s="53"/>
      <c r="H105" s="127"/>
      <c r="I105" s="128" t="e">
        <f t="shared" si="17"/>
        <v>#VALUE!</v>
      </c>
    </row>
    <row r="106" spans="1:9" ht="15" customHeight="1">
      <c r="A106" s="65" t="e">
        <f t="shared" si="14"/>
        <v>#REF!</v>
      </c>
      <c r="B106" s="104">
        <f t="shared" si="13"/>
        <v>7803</v>
      </c>
      <c r="C106" s="126" t="e">
        <f t="shared" si="15"/>
        <v>#NUM!</v>
      </c>
      <c r="D106" s="67">
        <f t="shared" si="18"/>
        <v>8</v>
      </c>
      <c r="E106" s="67">
        <f t="shared" si="16"/>
        <v>2.0794415416798357</v>
      </c>
      <c r="F106" s="132" t="s">
        <v>85</v>
      </c>
      <c r="G106" s="53"/>
      <c r="H106" s="127"/>
      <c r="I106" s="128" t="e">
        <f t="shared" si="17"/>
        <v>#VALUE!</v>
      </c>
    </row>
    <row r="107" spans="1:9" ht="15" customHeight="1">
      <c r="A107" s="65" t="e">
        <f t="shared" si="14"/>
        <v>#REF!</v>
      </c>
      <c r="B107" s="104">
        <f t="shared" si="13"/>
        <v>7699</v>
      </c>
      <c r="C107" s="126" t="e">
        <f t="shared" si="15"/>
        <v>#NUM!</v>
      </c>
      <c r="D107" s="67">
        <f t="shared" si="18"/>
        <v>9</v>
      </c>
      <c r="E107" s="67">
        <f t="shared" si="16"/>
        <v>2.1972245773362196</v>
      </c>
      <c r="F107" s="132" t="s">
        <v>86</v>
      </c>
      <c r="G107" s="53"/>
      <c r="H107" s="127"/>
      <c r="I107" s="128" t="e">
        <f t="shared" si="17"/>
        <v>#VALUE!</v>
      </c>
    </row>
    <row r="108" spans="1:9" s="100" customFormat="1" ht="15" customHeight="1" thickBot="1">
      <c r="A108" s="97" t="e">
        <f t="shared" si="14"/>
        <v>#REF!</v>
      </c>
      <c r="B108" s="116">
        <f t="shared" si="13"/>
        <v>7609</v>
      </c>
      <c r="C108" s="126" t="e">
        <f t="shared" si="15"/>
        <v>#NUM!</v>
      </c>
      <c r="D108" s="99">
        <f t="shared" si="18"/>
        <v>10</v>
      </c>
      <c r="E108" s="99">
        <f t="shared" si="16"/>
        <v>2.3025850929940459</v>
      </c>
      <c r="F108" s="182"/>
      <c r="G108" s="101"/>
      <c r="H108" s="143"/>
      <c r="I108" s="144" t="e">
        <f t="shared" si="17"/>
        <v>#VALUE!</v>
      </c>
    </row>
    <row r="109" spans="1:9" s="78" customFormat="1" ht="15" customHeight="1" thickTop="1">
      <c r="A109" s="80">
        <v>2008</v>
      </c>
      <c r="B109" s="81" t="e">
        <f>ROUND(LOOKUP(0,D$98:D$108,B$98:B$108)+G$103*D109^G$99,0)</f>
        <v>#VALUE!</v>
      </c>
      <c r="C109" s="257"/>
      <c r="D109" s="77">
        <f t="shared" si="18"/>
        <v>11</v>
      </c>
      <c r="E109" s="77"/>
      <c r="F109" s="266"/>
      <c r="G109" s="256"/>
      <c r="H109" s="258"/>
      <c r="I109" s="133" t="e">
        <f t="shared" si="17"/>
        <v>#VALUE!</v>
      </c>
    </row>
    <row r="110" spans="1:9" ht="15" customHeight="1">
      <c r="A110" s="80">
        <v>2009</v>
      </c>
      <c r="B110" s="81" t="e">
        <f t="shared" ref="B110:B126" si="19">ROUND(LOOKUP(0,D$98:D$108,B$98:B$108)+G$103*D110^G$99,0)</f>
        <v>#VALUE!</v>
      </c>
      <c r="C110" s="134"/>
      <c r="D110" s="67">
        <f t="shared" si="18"/>
        <v>12</v>
      </c>
      <c r="E110" s="67"/>
      <c r="F110" s="83"/>
      <c r="G110" s="69"/>
      <c r="H110" s="84"/>
      <c r="I110" s="128" t="e">
        <f t="shared" si="17"/>
        <v>#VALUE!</v>
      </c>
    </row>
    <row r="111" spans="1:9" ht="15" customHeight="1">
      <c r="A111" s="80">
        <v>2010</v>
      </c>
      <c r="B111" s="81" t="e">
        <f t="shared" si="19"/>
        <v>#VALUE!</v>
      </c>
      <c r="C111" s="134"/>
      <c r="D111" s="67">
        <f t="shared" si="18"/>
        <v>13</v>
      </c>
      <c r="E111" s="67"/>
      <c r="F111" s="83"/>
      <c r="G111" s="69"/>
      <c r="H111" s="84"/>
      <c r="I111" s="128" t="e">
        <f t="shared" si="17"/>
        <v>#VALUE!</v>
      </c>
    </row>
    <row r="112" spans="1:9" ht="15" customHeight="1">
      <c r="A112" s="80">
        <v>2011</v>
      </c>
      <c r="B112" s="81" t="e">
        <f t="shared" si="19"/>
        <v>#VALUE!</v>
      </c>
      <c r="C112" s="134"/>
      <c r="D112" s="67">
        <f t="shared" si="18"/>
        <v>14</v>
      </c>
      <c r="E112" s="67"/>
      <c r="F112" s="83"/>
      <c r="G112" s="69"/>
      <c r="H112" s="84"/>
      <c r="I112" s="128" t="e">
        <f t="shared" si="17"/>
        <v>#VALUE!</v>
      </c>
    </row>
    <row r="113" spans="1:9" ht="15" customHeight="1">
      <c r="A113" s="80">
        <v>2012</v>
      </c>
      <c r="B113" s="81" t="e">
        <f t="shared" si="19"/>
        <v>#VALUE!</v>
      </c>
      <c r="C113" s="134"/>
      <c r="D113" s="67">
        <f t="shared" si="18"/>
        <v>15</v>
      </c>
      <c r="E113" s="67"/>
      <c r="F113" s="83"/>
      <c r="G113" s="69"/>
      <c r="H113" s="84"/>
      <c r="I113" s="128" t="e">
        <f t="shared" si="17"/>
        <v>#VALUE!</v>
      </c>
    </row>
    <row r="114" spans="1:9" ht="15" customHeight="1">
      <c r="A114" s="80">
        <v>2013</v>
      </c>
      <c r="B114" s="81" t="e">
        <f t="shared" si="19"/>
        <v>#VALUE!</v>
      </c>
      <c r="C114" s="134"/>
      <c r="D114" s="67">
        <f t="shared" si="18"/>
        <v>16</v>
      </c>
      <c r="E114" s="67"/>
      <c r="F114" s="83"/>
      <c r="G114" s="69"/>
      <c r="H114" s="84"/>
      <c r="I114" s="128" t="e">
        <f t="shared" si="17"/>
        <v>#VALUE!</v>
      </c>
    </row>
    <row r="115" spans="1:9" ht="15" customHeight="1">
      <c r="A115" s="80">
        <v>2014</v>
      </c>
      <c r="B115" s="81" t="e">
        <f t="shared" si="19"/>
        <v>#VALUE!</v>
      </c>
      <c r="C115" s="134"/>
      <c r="D115" s="67">
        <f t="shared" si="18"/>
        <v>17</v>
      </c>
      <c r="E115" s="67"/>
      <c r="F115" s="83"/>
      <c r="G115" s="69"/>
      <c r="H115" s="84"/>
      <c r="I115" s="128" t="e">
        <f t="shared" si="17"/>
        <v>#VALUE!</v>
      </c>
    </row>
    <row r="116" spans="1:9" ht="15" customHeight="1">
      <c r="A116" s="80">
        <v>2015</v>
      </c>
      <c r="B116" s="81" t="e">
        <f t="shared" si="19"/>
        <v>#VALUE!</v>
      </c>
      <c r="C116" s="134"/>
      <c r="D116" s="67">
        <f t="shared" si="18"/>
        <v>18</v>
      </c>
      <c r="E116" s="67"/>
      <c r="F116" s="83"/>
      <c r="G116" s="69"/>
      <c r="H116" s="84"/>
      <c r="I116" s="128" t="e">
        <f t="shared" si="17"/>
        <v>#VALUE!</v>
      </c>
    </row>
    <row r="117" spans="1:9" ht="15" customHeight="1">
      <c r="A117" s="80">
        <v>2016</v>
      </c>
      <c r="B117" s="81" t="e">
        <f t="shared" si="19"/>
        <v>#VALUE!</v>
      </c>
      <c r="C117" s="134"/>
      <c r="D117" s="67">
        <f t="shared" si="18"/>
        <v>19</v>
      </c>
      <c r="E117" s="67"/>
      <c r="F117" s="83"/>
      <c r="G117" s="69"/>
      <c r="H117" s="84"/>
      <c r="I117" s="128" t="e">
        <f t="shared" si="17"/>
        <v>#VALUE!</v>
      </c>
    </row>
    <row r="118" spans="1:9" ht="15" customHeight="1">
      <c r="A118" s="80">
        <v>2017</v>
      </c>
      <c r="B118" s="81" t="e">
        <f t="shared" si="19"/>
        <v>#VALUE!</v>
      </c>
      <c r="C118" s="134"/>
      <c r="D118" s="67">
        <f t="shared" si="18"/>
        <v>20</v>
      </c>
      <c r="E118" s="67"/>
      <c r="F118" s="83"/>
      <c r="G118" s="69"/>
      <c r="H118" s="84"/>
      <c r="I118" s="128" t="e">
        <f t="shared" si="17"/>
        <v>#VALUE!</v>
      </c>
    </row>
    <row r="119" spans="1:9" ht="15" customHeight="1">
      <c r="A119" s="80">
        <v>2018</v>
      </c>
      <c r="B119" s="81" t="e">
        <f t="shared" si="19"/>
        <v>#VALUE!</v>
      </c>
      <c r="C119" s="134"/>
      <c r="D119" s="67">
        <f t="shared" si="18"/>
        <v>21</v>
      </c>
      <c r="E119" s="67"/>
      <c r="F119" s="83"/>
      <c r="G119" s="69"/>
      <c r="H119" s="84"/>
      <c r="I119" s="128" t="e">
        <f t="shared" si="17"/>
        <v>#VALUE!</v>
      </c>
    </row>
    <row r="120" spans="1:9" ht="15" customHeight="1">
      <c r="A120" s="80">
        <v>2019</v>
      </c>
      <c r="B120" s="81" t="e">
        <f t="shared" si="19"/>
        <v>#VALUE!</v>
      </c>
      <c r="C120" s="134"/>
      <c r="D120" s="67">
        <f t="shared" si="18"/>
        <v>22</v>
      </c>
      <c r="E120" s="67"/>
      <c r="F120" s="83"/>
      <c r="G120" s="69"/>
      <c r="H120" s="84"/>
      <c r="I120" s="128" t="e">
        <f t="shared" si="17"/>
        <v>#VALUE!</v>
      </c>
    </row>
    <row r="121" spans="1:9" ht="15" customHeight="1">
      <c r="A121" s="80">
        <v>2020</v>
      </c>
      <c r="B121" s="81" t="e">
        <f t="shared" si="19"/>
        <v>#VALUE!</v>
      </c>
      <c r="C121" s="134"/>
      <c r="D121" s="67">
        <f t="shared" si="18"/>
        <v>23</v>
      </c>
      <c r="E121" s="67"/>
      <c r="F121" s="83"/>
      <c r="G121" s="69"/>
      <c r="H121" s="84"/>
      <c r="I121" s="128" t="e">
        <f t="shared" si="17"/>
        <v>#VALUE!</v>
      </c>
    </row>
    <row r="122" spans="1:9" ht="15" customHeight="1">
      <c r="A122" s="80">
        <v>2021</v>
      </c>
      <c r="B122" s="81" t="e">
        <f t="shared" si="19"/>
        <v>#VALUE!</v>
      </c>
      <c r="C122" s="134"/>
      <c r="D122" s="67">
        <f t="shared" si="18"/>
        <v>24</v>
      </c>
      <c r="E122" s="67"/>
      <c r="F122" s="83"/>
      <c r="G122" s="69"/>
      <c r="H122" s="84"/>
      <c r="I122" s="128" t="e">
        <f t="shared" si="17"/>
        <v>#VALUE!</v>
      </c>
    </row>
    <row r="123" spans="1:9" ht="15" customHeight="1">
      <c r="A123" s="80">
        <v>2022</v>
      </c>
      <c r="B123" s="81" t="e">
        <f t="shared" si="19"/>
        <v>#VALUE!</v>
      </c>
      <c r="C123" s="134"/>
      <c r="D123" s="67">
        <f t="shared" si="18"/>
        <v>25</v>
      </c>
      <c r="E123" s="67"/>
      <c r="F123" s="83"/>
      <c r="G123" s="69"/>
      <c r="H123" s="84"/>
      <c r="I123" s="128" t="e">
        <f t="shared" si="17"/>
        <v>#VALUE!</v>
      </c>
    </row>
    <row r="124" spans="1:9" ht="15" customHeight="1">
      <c r="A124" s="80">
        <v>2023</v>
      </c>
      <c r="B124" s="81" t="e">
        <f t="shared" si="19"/>
        <v>#VALUE!</v>
      </c>
      <c r="C124" s="134"/>
      <c r="D124" s="67">
        <f t="shared" si="18"/>
        <v>26</v>
      </c>
      <c r="E124" s="67"/>
      <c r="F124" s="83"/>
      <c r="G124" s="69"/>
      <c r="H124" s="84"/>
      <c r="I124" s="128" t="e">
        <f t="shared" si="17"/>
        <v>#VALUE!</v>
      </c>
    </row>
    <row r="125" spans="1:9" ht="15" customHeight="1">
      <c r="A125" s="80">
        <v>2024</v>
      </c>
      <c r="B125" s="81" t="e">
        <f t="shared" si="19"/>
        <v>#VALUE!</v>
      </c>
      <c r="C125" s="135"/>
      <c r="D125" s="67">
        <f t="shared" si="18"/>
        <v>27</v>
      </c>
      <c r="E125" s="67"/>
      <c r="F125" s="69"/>
      <c r="G125" s="69"/>
      <c r="H125" s="69"/>
      <c r="I125" s="136" t="e">
        <f t="shared" si="17"/>
        <v>#VALUE!</v>
      </c>
    </row>
    <row r="126" spans="1:9" ht="15" customHeight="1">
      <c r="A126" s="85">
        <v>2025</v>
      </c>
      <c r="B126" s="86" t="e">
        <f t="shared" si="19"/>
        <v>#VALUE!</v>
      </c>
      <c r="C126" s="137"/>
      <c r="D126" s="87">
        <f t="shared" si="18"/>
        <v>28</v>
      </c>
      <c r="E126" s="87"/>
      <c r="F126" s="89"/>
      <c r="G126" s="89"/>
      <c r="H126" s="89"/>
      <c r="I126" s="138" t="e">
        <f t="shared" si="17"/>
        <v>#VALUE!</v>
      </c>
    </row>
    <row r="127" spans="1:9" ht="15" customHeight="1">
      <c r="A127" s="56" t="s">
        <v>87</v>
      </c>
      <c r="B127" s="57"/>
    </row>
    <row r="128" spans="1:9" ht="15" customHeight="1">
      <c r="A128" s="58" t="s">
        <v>32</v>
      </c>
      <c r="B128" s="59" t="s">
        <v>40</v>
      </c>
      <c r="C128" s="59" t="s">
        <v>36</v>
      </c>
      <c r="D128" s="59" t="s">
        <v>33</v>
      </c>
      <c r="E128" s="103"/>
      <c r="F128" s="60"/>
      <c r="G128" s="61"/>
      <c r="H128" s="63" t="s">
        <v>256</v>
      </c>
      <c r="I128" s="64">
        <f>RSQ(I129:I139,B129:B139)</f>
        <v>0.99253862458385045</v>
      </c>
    </row>
    <row r="129" spans="1:9" ht="15" customHeight="1">
      <c r="A129" s="65">
        <v>1997</v>
      </c>
      <c r="B129" s="104">
        <f t="shared" ref="B129:B139" si="20">+B5</f>
        <v>9504</v>
      </c>
      <c r="C129" s="126">
        <f t="shared" ref="C129:C139" si="21">LN(F$133/B129-1)</f>
        <v>0</v>
      </c>
      <c r="D129" s="67">
        <v>0</v>
      </c>
      <c r="E129" s="106"/>
      <c r="F129" s="53"/>
      <c r="G129" s="69"/>
      <c r="H129" s="265"/>
      <c r="I129" s="267">
        <f t="shared" ref="I129:I157" si="22">$F$133/(1+EXP($F$131+$F$130*D129))</f>
        <v>9507.8480736910169</v>
      </c>
    </row>
    <row r="130" spans="1:9" ht="15" customHeight="1">
      <c r="A130" s="65" t="e">
        <f t="shared" ref="A130:A139" si="23">A6</f>
        <v>#REF!</v>
      </c>
      <c r="B130" s="104">
        <f t="shared" si="20"/>
        <v>9329</v>
      </c>
      <c r="C130" s="126">
        <f t="shared" si="21"/>
        <v>3.6830762188127641E-2</v>
      </c>
      <c r="D130" s="67">
        <f>+D129+1</f>
        <v>1</v>
      </c>
      <c r="E130" s="106" t="s">
        <v>75</v>
      </c>
      <c r="F130" s="139">
        <f>INDEX(LINEST(C129:C139,D129:D139),1)</f>
        <v>4.2974410177065298E-2</v>
      </c>
      <c r="G130" s="140" t="s">
        <v>88</v>
      </c>
      <c r="H130" s="127"/>
      <c r="I130" s="128">
        <f t="shared" si="22"/>
        <v>9303.6633566698911</v>
      </c>
    </row>
    <row r="131" spans="1:9" ht="15" customHeight="1">
      <c r="A131" s="65" t="e">
        <f t="shared" si="23"/>
        <v>#REF!</v>
      </c>
      <c r="B131" s="104">
        <f t="shared" si="20"/>
        <v>9142</v>
      </c>
      <c r="C131" s="126">
        <f t="shared" si="21"/>
        <v>7.6215322901994051E-2</v>
      </c>
      <c r="D131" s="67">
        <f t="shared" ref="D131:D157" si="24">D130+1</f>
        <v>2</v>
      </c>
      <c r="E131" s="106" t="s">
        <v>76</v>
      </c>
      <c r="F131" s="139">
        <f>INDEX(LINEST(C129:C139,D129:D139),2)</f>
        <v>-8.097798613836138E-4</v>
      </c>
      <c r="G131" s="69"/>
      <c r="H131" s="127"/>
      <c r="I131" s="128">
        <f t="shared" si="22"/>
        <v>9099.6634914387087</v>
      </c>
    </row>
    <row r="132" spans="1:9" ht="15" customHeight="1">
      <c r="A132" s="65" t="e">
        <f t="shared" si="23"/>
        <v>#REF!</v>
      </c>
      <c r="B132" s="104">
        <f t="shared" si="20"/>
        <v>8940</v>
      </c>
      <c r="C132" s="126">
        <f t="shared" si="21"/>
        <v>0.11882648808764662</v>
      </c>
      <c r="D132" s="67">
        <f t="shared" si="24"/>
        <v>3</v>
      </c>
      <c r="E132" s="106" t="s">
        <v>77</v>
      </c>
      <c r="F132" s="73">
        <f>I128</f>
        <v>0.99253862458385045</v>
      </c>
      <c r="G132" s="69"/>
      <c r="H132" s="127"/>
      <c r="I132" s="128">
        <f t="shared" si="22"/>
        <v>8896.036200372293</v>
      </c>
    </row>
    <row r="133" spans="1:9" ht="15" customHeight="1">
      <c r="A133" s="65" t="e">
        <f t="shared" si="23"/>
        <v>#REF!</v>
      </c>
      <c r="B133" s="104">
        <f t="shared" si="20"/>
        <v>8630</v>
      </c>
      <c r="C133" s="126">
        <f t="shared" si="21"/>
        <v>0.18444367585021137</v>
      </c>
      <c r="D133" s="67">
        <f t="shared" si="24"/>
        <v>4</v>
      </c>
      <c r="E133" s="106" t="s">
        <v>39</v>
      </c>
      <c r="F133" s="110">
        <f>MAX(B129:B139)*2</f>
        <v>19008</v>
      </c>
      <c r="G133" s="69"/>
      <c r="H133" s="127"/>
      <c r="I133" s="128">
        <f t="shared" si="22"/>
        <v>8692.9678348079215</v>
      </c>
    </row>
    <row r="134" spans="1:9" ht="15" customHeight="1">
      <c r="A134" s="65" t="e">
        <f t="shared" si="23"/>
        <v>#REF!</v>
      </c>
      <c r="B134" s="104">
        <f t="shared" si="20"/>
        <v>8501</v>
      </c>
      <c r="C134" s="126">
        <f t="shared" si="21"/>
        <v>0.21185789807141628</v>
      </c>
      <c r="D134" s="67">
        <f t="shared" si="24"/>
        <v>5</v>
      </c>
      <c r="E134" s="106"/>
      <c r="F134" s="53"/>
      <c r="G134" s="69"/>
      <c r="H134" s="127"/>
      <c r="I134" s="128">
        <f t="shared" si="22"/>
        <v>8490.6426963396843</v>
      </c>
    </row>
    <row r="135" spans="1:9" ht="15" customHeight="1">
      <c r="A135" s="65" t="e">
        <f t="shared" si="23"/>
        <v>#REF!</v>
      </c>
      <c r="B135" s="104">
        <f t="shared" si="20"/>
        <v>8223</v>
      </c>
      <c r="C135" s="126">
        <f t="shared" si="21"/>
        <v>0.27122117385236111</v>
      </c>
      <c r="D135" s="67">
        <f t="shared" si="24"/>
        <v>6</v>
      </c>
      <c r="E135" s="106"/>
      <c r="F135" s="53"/>
      <c r="G135" s="69"/>
      <c r="H135" s="127"/>
      <c r="I135" s="128">
        <f t="shared" si="22"/>
        <v>8289.2423740349495</v>
      </c>
    </row>
    <row r="136" spans="1:9" ht="15" customHeight="1">
      <c r="A136" s="65" t="e">
        <f t="shared" si="23"/>
        <v>#REF!</v>
      </c>
      <c r="B136" s="104">
        <f t="shared" si="20"/>
        <v>8067</v>
      </c>
      <c r="C136" s="126">
        <f t="shared" si="21"/>
        <v>0.30473553453981556</v>
      </c>
      <c r="D136" s="67">
        <f t="shared" si="24"/>
        <v>7</v>
      </c>
      <c r="E136" s="132" t="s">
        <v>89</v>
      </c>
      <c r="F136" s="53"/>
      <c r="G136" s="69"/>
      <c r="H136" s="127"/>
      <c r="I136" s="128">
        <f t="shared" si="22"/>
        <v>8088.945102583898</v>
      </c>
    </row>
    <row r="137" spans="1:9" ht="15" customHeight="1">
      <c r="A137" s="65" t="e">
        <f t="shared" si="23"/>
        <v>#REF!</v>
      </c>
      <c r="B137" s="104">
        <f t="shared" si="20"/>
        <v>7803</v>
      </c>
      <c r="C137" s="126">
        <f t="shared" si="21"/>
        <v>0.36185183211826616</v>
      </c>
      <c r="D137" s="67">
        <f t="shared" si="24"/>
        <v>8</v>
      </c>
      <c r="E137" s="132" t="s">
        <v>90</v>
      </c>
      <c r="F137" s="53"/>
      <c r="G137" s="69"/>
      <c r="H137" s="127"/>
      <c r="I137" s="128">
        <f t="shared" si="22"/>
        <v>7889.9251461172953</v>
      </c>
    </row>
    <row r="138" spans="1:9" ht="15" customHeight="1">
      <c r="A138" s="65" t="e">
        <f t="shared" si="23"/>
        <v>#REF!</v>
      </c>
      <c r="B138" s="104">
        <f t="shared" si="20"/>
        <v>7699</v>
      </c>
      <c r="C138" s="126">
        <f t="shared" si="21"/>
        <v>0.38450841859327728</v>
      </c>
      <c r="D138" s="67">
        <f t="shared" si="24"/>
        <v>9</v>
      </c>
      <c r="E138" s="132"/>
      <c r="F138" s="53"/>
      <c r="G138" s="69"/>
      <c r="H138" s="127"/>
      <c r="I138" s="128">
        <f t="shared" si="22"/>
        <v>7692.352212093223</v>
      </c>
    </row>
    <row r="139" spans="1:9" ht="15" customHeight="1" thickBot="1">
      <c r="A139" s="97" t="e">
        <f t="shared" si="23"/>
        <v>#REF!</v>
      </c>
      <c r="B139" s="116">
        <f t="shared" si="20"/>
        <v>7609</v>
      </c>
      <c r="C139" s="141">
        <f t="shared" si="21"/>
        <v>0.40419387506025567</v>
      </c>
      <c r="D139" s="99">
        <f t="shared" si="24"/>
        <v>10</v>
      </c>
      <c r="E139" s="182"/>
      <c r="F139" s="101"/>
      <c r="G139" s="100"/>
      <c r="H139" s="143"/>
      <c r="I139" s="144">
        <f t="shared" si="22"/>
        <v>7496.3908992668548</v>
      </c>
    </row>
    <row r="140" spans="1:9" ht="15" customHeight="1" thickTop="1">
      <c r="A140" s="80">
        <v>2008</v>
      </c>
      <c r="B140" s="81">
        <f t="shared" ref="B140:B157" si="25">ROUND(F$133/(1+EXP(F$131+F$130*D140)),0)</f>
        <v>7302</v>
      </c>
      <c r="C140" s="257"/>
      <c r="D140" s="77">
        <f t="shared" si="24"/>
        <v>11</v>
      </c>
      <c r="E140" s="266"/>
      <c r="F140" s="256"/>
      <c r="G140" s="78"/>
      <c r="H140" s="258"/>
      <c r="I140" s="133">
        <f t="shared" si="22"/>
        <v>7302.2001833260983</v>
      </c>
    </row>
    <row r="141" spans="1:9" ht="15" customHeight="1">
      <c r="A141" s="80">
        <v>2009</v>
      </c>
      <c r="B141" s="81">
        <f t="shared" si="25"/>
        <v>7110</v>
      </c>
      <c r="C141" s="134"/>
      <c r="D141" s="67">
        <f t="shared" si="24"/>
        <v>12</v>
      </c>
      <c r="E141" s="83"/>
      <c r="F141" s="69"/>
      <c r="G141" s="69"/>
      <c r="H141" s="84"/>
      <c r="I141" s="128">
        <f t="shared" si="22"/>
        <v>7109.9329433083085</v>
      </c>
    </row>
    <row r="142" spans="1:9" ht="15" customHeight="1">
      <c r="A142" s="80">
        <v>2010</v>
      </c>
      <c r="B142" s="81">
        <f t="shared" si="25"/>
        <v>6920</v>
      </c>
      <c r="C142" s="134"/>
      <c r="D142" s="67">
        <f t="shared" si="24"/>
        <v>13</v>
      </c>
      <c r="E142" s="83"/>
      <c r="F142" s="69"/>
      <c r="G142" s="69"/>
      <c r="H142" s="84"/>
      <c r="I142" s="128">
        <f t="shared" si="22"/>
        <v>6919.7355314178294</v>
      </c>
    </row>
    <row r="143" spans="1:9" ht="15" customHeight="1">
      <c r="A143" s="80">
        <v>2011</v>
      </c>
      <c r="B143" s="81">
        <f t="shared" si="25"/>
        <v>6732</v>
      </c>
      <c r="C143" s="134"/>
      <c r="D143" s="67">
        <f t="shared" si="24"/>
        <v>14</v>
      </c>
      <c r="E143" s="83"/>
      <c r="F143" s="69"/>
      <c r="G143" s="69"/>
      <c r="H143" s="84"/>
      <c r="I143" s="128">
        <f t="shared" si="22"/>
        <v>6731.7473883500215</v>
      </c>
    </row>
    <row r="144" spans="1:9" ht="15" customHeight="1">
      <c r="A144" s="80">
        <v>2012</v>
      </c>
      <c r="B144" s="81">
        <f t="shared" si="25"/>
        <v>6546</v>
      </c>
      <c r="C144" s="134"/>
      <c r="D144" s="67">
        <f t="shared" si="24"/>
        <v>15</v>
      </c>
      <c r="E144" s="83"/>
      <c r="F144" s="69"/>
      <c r="G144" s="69"/>
      <c r="H144" s="84"/>
      <c r="I144" s="128">
        <f t="shared" si="22"/>
        <v>6546.1007057034076</v>
      </c>
    </row>
    <row r="145" spans="1:10" ht="15" customHeight="1">
      <c r="A145" s="80">
        <v>2013</v>
      </c>
      <c r="B145" s="81">
        <f t="shared" si="25"/>
        <v>6363</v>
      </c>
      <c r="C145" s="134"/>
      <c r="D145" s="67">
        <f t="shared" si="24"/>
        <v>16</v>
      </c>
      <c r="E145" s="83"/>
      <c r="F145" s="69"/>
      <c r="G145" s="69"/>
      <c r="H145" s="84"/>
      <c r="I145" s="128">
        <f t="shared" si="22"/>
        <v>6362.920136536648</v>
      </c>
    </row>
    <row r="146" spans="1:10" ht="15" customHeight="1">
      <c r="A146" s="80">
        <v>2014</v>
      </c>
      <c r="B146" s="81">
        <f t="shared" si="25"/>
        <v>6182</v>
      </c>
      <c r="C146" s="134"/>
      <c r="D146" s="67">
        <f t="shared" si="24"/>
        <v>17</v>
      </c>
      <c r="E146" s="83"/>
      <c r="F146" s="69"/>
      <c r="G146" s="69"/>
      <c r="H146" s="84"/>
      <c r="I146" s="128">
        <f t="shared" si="22"/>
        <v>6182.3225546095518</v>
      </c>
    </row>
    <row r="147" spans="1:10" ht="15" customHeight="1">
      <c r="A147" s="80">
        <v>2015</v>
      </c>
      <c r="B147" s="81">
        <f t="shared" si="25"/>
        <v>6004</v>
      </c>
      <c r="C147" s="134"/>
      <c r="D147" s="67">
        <f t="shared" si="24"/>
        <v>18</v>
      </c>
      <c r="E147" s="83"/>
      <c r="F147" s="69"/>
      <c r="G147" s="69"/>
      <c r="H147" s="84"/>
      <c r="I147" s="128">
        <f t="shared" si="22"/>
        <v>6004.4168623450632</v>
      </c>
    </row>
    <row r="148" spans="1:10" ht="15" customHeight="1">
      <c r="A148" s="80">
        <v>2016</v>
      </c>
      <c r="B148" s="81">
        <f t="shared" si="25"/>
        <v>5829</v>
      </c>
      <c r="C148" s="134"/>
      <c r="D148" s="67">
        <f t="shared" si="24"/>
        <v>19</v>
      </c>
      <c r="E148" s="83"/>
      <c r="F148" s="69"/>
      <c r="G148" s="69"/>
      <c r="H148" s="84"/>
      <c r="I148" s="128">
        <f t="shared" si="22"/>
        <v>5829.3038470695556</v>
      </c>
    </row>
    <row r="149" spans="1:10" ht="15" customHeight="1">
      <c r="A149" s="80">
        <v>2017</v>
      </c>
      <c r="B149" s="81">
        <f t="shared" si="25"/>
        <v>5657</v>
      </c>
      <c r="C149" s="134"/>
      <c r="D149" s="67">
        <f t="shared" si="24"/>
        <v>20</v>
      </c>
      <c r="E149" s="83"/>
      <c r="F149" s="69"/>
      <c r="G149" s="69"/>
      <c r="H149" s="84"/>
      <c r="I149" s="128">
        <f t="shared" si="22"/>
        <v>5657.0760846377852</v>
      </c>
    </row>
    <row r="150" spans="1:10" ht="15" customHeight="1">
      <c r="A150" s="80">
        <v>2018</v>
      </c>
      <c r="B150" s="81">
        <f t="shared" si="25"/>
        <v>5488</v>
      </c>
      <c r="C150" s="134"/>
      <c r="D150" s="67">
        <f t="shared" si="24"/>
        <v>21</v>
      </c>
      <c r="E150" s="83"/>
      <c r="F150" s="69"/>
      <c r="G150" s="69"/>
      <c r="H150" s="84"/>
      <c r="I150" s="128">
        <f t="shared" si="22"/>
        <v>5487.8178891322823</v>
      </c>
    </row>
    <row r="151" spans="1:10" ht="15" customHeight="1">
      <c r="A151" s="80">
        <v>2019</v>
      </c>
      <c r="B151" s="81">
        <f t="shared" si="25"/>
        <v>5322</v>
      </c>
      <c r="C151" s="134"/>
      <c r="D151" s="67">
        <f t="shared" si="24"/>
        <v>22</v>
      </c>
      <c r="E151" s="83"/>
      <c r="F151" s="69"/>
      <c r="G151" s="69"/>
      <c r="H151" s="84"/>
      <c r="I151" s="128">
        <f t="shared" si="22"/>
        <v>5321.6053069490235</v>
      </c>
    </row>
    <row r="152" spans="1:10" ht="15" customHeight="1">
      <c r="A152" s="80">
        <v>2020</v>
      </c>
      <c r="B152" s="81">
        <f t="shared" si="25"/>
        <v>5159</v>
      </c>
      <c r="C152" s="134"/>
      <c r="D152" s="67">
        <f t="shared" si="24"/>
        <v>23</v>
      </c>
      <c r="E152" s="83"/>
      <c r="F152" s="69"/>
      <c r="G152" s="69"/>
      <c r="H152" s="84"/>
      <c r="I152" s="128">
        <f t="shared" si="22"/>
        <v>5158.5061532453892</v>
      </c>
    </row>
    <row r="153" spans="1:10" ht="15" customHeight="1">
      <c r="A153" s="80">
        <v>2021</v>
      </c>
      <c r="B153" s="81">
        <f t="shared" si="25"/>
        <v>4999</v>
      </c>
      <c r="C153" s="134"/>
      <c r="D153" s="67">
        <f t="shared" si="24"/>
        <v>24</v>
      </c>
      <c r="E153" s="83"/>
      <c r="F153" s="69"/>
      <c r="G153" s="69"/>
      <c r="H153" s="84"/>
      <c r="I153" s="128">
        <f t="shared" si="22"/>
        <v>4998.5800884351102</v>
      </c>
    </row>
    <row r="154" spans="1:10" ht="15" customHeight="1">
      <c r="A154" s="80">
        <v>2022</v>
      </c>
      <c r="B154" s="81">
        <f t="shared" si="25"/>
        <v>4842</v>
      </c>
      <c r="C154" s="134"/>
      <c r="D154" s="67">
        <f t="shared" si="24"/>
        <v>25</v>
      </c>
      <c r="E154" s="83"/>
      <c r="F154" s="69"/>
      <c r="G154" s="69"/>
      <c r="H154" s="84"/>
      <c r="I154" s="128">
        <f t="shared" si="22"/>
        <v>4841.878732169559</v>
      </c>
    </row>
    <row r="155" spans="1:10" ht="15" customHeight="1">
      <c r="A155" s="80">
        <v>2023</v>
      </c>
      <c r="B155" s="81">
        <f t="shared" si="25"/>
        <v>4688</v>
      </c>
      <c r="C155" s="134"/>
      <c r="D155" s="67">
        <f t="shared" si="24"/>
        <v>26</v>
      </c>
      <c r="E155" s="83"/>
      <c r="F155" s="69"/>
      <c r="G155" s="69"/>
      <c r="H155" s="84"/>
      <c r="I155" s="128">
        <f t="shared" si="22"/>
        <v>4688.4458120457375</v>
      </c>
    </row>
    <row r="156" spans="1:10" ht="15" customHeight="1">
      <c r="A156" s="80">
        <v>2024</v>
      </c>
      <c r="B156" s="81">
        <f t="shared" si="25"/>
        <v>4538</v>
      </c>
      <c r="C156" s="135"/>
      <c r="D156" s="67">
        <f t="shared" si="24"/>
        <v>27</v>
      </c>
      <c r="E156" s="69"/>
      <c r="F156" s="69"/>
      <c r="G156" s="69"/>
      <c r="H156" s="69"/>
      <c r="I156" s="136">
        <f t="shared" si="22"/>
        <v>4538.3173441283507</v>
      </c>
    </row>
    <row r="157" spans="1:10" ht="15" customHeight="1">
      <c r="A157" s="85">
        <v>2025</v>
      </c>
      <c r="B157" s="86">
        <f t="shared" si="25"/>
        <v>4392</v>
      </c>
      <c r="C157" s="137"/>
      <c r="D157" s="87">
        <f t="shared" si="24"/>
        <v>28</v>
      </c>
      <c r="E157" s="89"/>
      <c r="F157" s="89"/>
      <c r="G157" s="89"/>
      <c r="H157" s="89"/>
      <c r="I157" s="138">
        <f t="shared" si="22"/>
        <v>4391.5218422651305</v>
      </c>
    </row>
    <row r="158" spans="1:10" ht="15" customHeight="1">
      <c r="A158" s="56" t="s">
        <v>257</v>
      </c>
      <c r="B158" s="57"/>
    </row>
    <row r="159" spans="1:10" ht="15" customHeight="1">
      <c r="A159" s="56"/>
      <c r="B159" s="57"/>
    </row>
    <row r="160" spans="1:10" ht="24">
      <c r="A160" s="145" t="s">
        <v>32</v>
      </c>
      <c r="B160" s="146" t="s">
        <v>91</v>
      </c>
      <c r="C160" s="147" t="s">
        <v>72</v>
      </c>
      <c r="D160" s="147" t="s">
        <v>92</v>
      </c>
      <c r="E160" s="147" t="s">
        <v>93</v>
      </c>
      <c r="F160" s="147" t="s">
        <v>94</v>
      </c>
      <c r="G160" s="147" t="s">
        <v>95</v>
      </c>
      <c r="H160" s="148" t="s">
        <v>96</v>
      </c>
      <c r="I160" s="149" t="s">
        <v>258</v>
      </c>
      <c r="J160" s="150" t="s">
        <v>259</v>
      </c>
    </row>
    <row r="161" spans="1:12" ht="20.100000000000001" customHeight="1">
      <c r="A161" s="65">
        <v>2008</v>
      </c>
      <c r="B161" s="151">
        <f t="shared" ref="B161:B178" si="26">B16</f>
        <v>7420</v>
      </c>
      <c r="C161" s="152">
        <f t="shared" ref="C161:C178" si="27">B47</f>
        <v>7286</v>
      </c>
      <c r="D161" s="152">
        <f t="shared" ref="D161:D178" si="28">B78</f>
        <v>7442</v>
      </c>
      <c r="E161" s="268"/>
      <c r="F161" s="152">
        <f t="shared" ref="F161:F178" si="29">B140</f>
        <v>7302</v>
      </c>
      <c r="G161" s="152">
        <f t="shared" ref="G161:G178" si="30">ROUND(AVERAGE(B161:F161),1)</f>
        <v>7362.5</v>
      </c>
      <c r="H161" s="152">
        <f t="shared" ref="H161:H178" si="31">ROUND((SUM(B161:F161)-MAX(B161:F161)-MIN(B161:F161))/(COUNT(B161:F161)-2),1)</f>
        <v>7361</v>
      </c>
      <c r="I161" s="153">
        <f t="shared" ref="I161:I178" si="32">ROUND(SUMIF(B$179:H$179,"○",B161:H161),0)</f>
        <v>7363</v>
      </c>
      <c r="J161" s="261"/>
    </row>
    <row r="162" spans="1:12" ht="20.100000000000001" customHeight="1">
      <c r="A162" s="80">
        <v>2009</v>
      </c>
      <c r="B162" s="151">
        <f t="shared" si="26"/>
        <v>7230</v>
      </c>
      <c r="C162" s="152">
        <f t="shared" si="27"/>
        <v>7085</v>
      </c>
      <c r="D162" s="152">
        <f t="shared" si="28"/>
        <v>7278</v>
      </c>
      <c r="E162" s="268"/>
      <c r="F162" s="152">
        <f t="shared" si="29"/>
        <v>7110</v>
      </c>
      <c r="G162" s="152">
        <f t="shared" si="30"/>
        <v>7175.8</v>
      </c>
      <c r="H162" s="152">
        <f t="shared" si="31"/>
        <v>7170</v>
      </c>
      <c r="I162" s="153">
        <f t="shared" si="32"/>
        <v>7176</v>
      </c>
      <c r="J162" s="154"/>
    </row>
    <row r="163" spans="1:12" ht="20.100000000000001" customHeight="1">
      <c r="A163" s="80">
        <v>2010</v>
      </c>
      <c r="B163" s="151">
        <f t="shared" si="26"/>
        <v>7041</v>
      </c>
      <c r="C163" s="152">
        <f t="shared" si="27"/>
        <v>6883</v>
      </c>
      <c r="D163" s="152">
        <f t="shared" si="28"/>
        <v>7118</v>
      </c>
      <c r="E163" s="268"/>
      <c r="F163" s="152">
        <f t="shared" si="29"/>
        <v>6920</v>
      </c>
      <c r="G163" s="152">
        <f t="shared" si="30"/>
        <v>6990.5</v>
      </c>
      <c r="H163" s="152">
        <f t="shared" si="31"/>
        <v>6980.5</v>
      </c>
      <c r="I163" s="153">
        <f t="shared" si="32"/>
        <v>6991</v>
      </c>
      <c r="J163" s="154"/>
    </row>
    <row r="164" spans="1:12" ht="20.100000000000001" customHeight="1">
      <c r="A164" s="80">
        <v>2011</v>
      </c>
      <c r="B164" s="151">
        <f t="shared" si="26"/>
        <v>6851</v>
      </c>
      <c r="C164" s="152">
        <f t="shared" si="27"/>
        <v>6682</v>
      </c>
      <c r="D164" s="152">
        <f t="shared" si="28"/>
        <v>6962</v>
      </c>
      <c r="E164" s="268"/>
      <c r="F164" s="152">
        <f t="shared" si="29"/>
        <v>6732</v>
      </c>
      <c r="G164" s="152">
        <f t="shared" si="30"/>
        <v>6806.8</v>
      </c>
      <c r="H164" s="152">
        <f t="shared" si="31"/>
        <v>6791.5</v>
      </c>
      <c r="I164" s="153">
        <f t="shared" si="32"/>
        <v>6807</v>
      </c>
      <c r="J164" s="154"/>
    </row>
    <row r="165" spans="1:12" ht="20.100000000000001" customHeight="1">
      <c r="A165" s="80">
        <v>2012</v>
      </c>
      <c r="B165" s="151">
        <f t="shared" si="26"/>
        <v>6662</v>
      </c>
      <c r="C165" s="152">
        <f t="shared" si="27"/>
        <v>6480</v>
      </c>
      <c r="D165" s="152">
        <f t="shared" si="28"/>
        <v>6809</v>
      </c>
      <c r="E165" s="268"/>
      <c r="F165" s="152">
        <f t="shared" si="29"/>
        <v>6546</v>
      </c>
      <c r="G165" s="152">
        <f t="shared" si="30"/>
        <v>6624.3</v>
      </c>
      <c r="H165" s="152">
        <f t="shared" si="31"/>
        <v>6604</v>
      </c>
      <c r="I165" s="153">
        <f t="shared" si="32"/>
        <v>6624</v>
      </c>
      <c r="J165" s="154"/>
    </row>
    <row r="166" spans="1:12" ht="20.100000000000001" customHeight="1">
      <c r="A166" s="80">
        <v>2013</v>
      </c>
      <c r="B166" s="151">
        <f t="shared" si="26"/>
        <v>6472</v>
      </c>
      <c r="C166" s="152">
        <f t="shared" si="27"/>
        <v>6279</v>
      </c>
      <c r="D166" s="152">
        <f t="shared" si="28"/>
        <v>6659</v>
      </c>
      <c r="E166" s="268"/>
      <c r="F166" s="152">
        <f t="shared" si="29"/>
        <v>6363</v>
      </c>
      <c r="G166" s="152">
        <f t="shared" si="30"/>
        <v>6443.3</v>
      </c>
      <c r="H166" s="152">
        <f t="shared" si="31"/>
        <v>6417.5</v>
      </c>
      <c r="I166" s="153">
        <f t="shared" si="32"/>
        <v>6443</v>
      </c>
      <c r="J166" s="154"/>
    </row>
    <row r="167" spans="1:12" ht="20.100000000000001" customHeight="1">
      <c r="A167" s="80">
        <v>2014</v>
      </c>
      <c r="B167" s="151">
        <f t="shared" si="26"/>
        <v>6283</v>
      </c>
      <c r="C167" s="152">
        <f t="shared" si="27"/>
        <v>6077</v>
      </c>
      <c r="D167" s="152">
        <f t="shared" si="28"/>
        <v>6512</v>
      </c>
      <c r="E167" s="268"/>
      <c r="F167" s="152">
        <f t="shared" si="29"/>
        <v>6182</v>
      </c>
      <c r="G167" s="152">
        <f t="shared" si="30"/>
        <v>6263.5</v>
      </c>
      <c r="H167" s="152">
        <f t="shared" si="31"/>
        <v>6232.5</v>
      </c>
      <c r="I167" s="153">
        <f t="shared" si="32"/>
        <v>6264</v>
      </c>
      <c r="J167" s="154"/>
    </row>
    <row r="168" spans="1:12" ht="20.100000000000001" customHeight="1">
      <c r="A168" s="80">
        <v>2015</v>
      </c>
      <c r="B168" s="151">
        <f t="shared" si="26"/>
        <v>6093</v>
      </c>
      <c r="C168" s="152">
        <f t="shared" si="27"/>
        <v>5876</v>
      </c>
      <c r="D168" s="152">
        <f t="shared" si="28"/>
        <v>6369</v>
      </c>
      <c r="E168" s="268"/>
      <c r="F168" s="152">
        <f t="shared" si="29"/>
        <v>6004</v>
      </c>
      <c r="G168" s="152">
        <f t="shared" si="30"/>
        <v>6085.5</v>
      </c>
      <c r="H168" s="152">
        <f t="shared" si="31"/>
        <v>6048.5</v>
      </c>
      <c r="I168" s="153">
        <f t="shared" si="32"/>
        <v>6086</v>
      </c>
      <c r="J168" s="154"/>
    </row>
    <row r="169" spans="1:12" ht="20.100000000000001" customHeight="1">
      <c r="A169" s="80">
        <v>2016</v>
      </c>
      <c r="B169" s="151">
        <f t="shared" si="26"/>
        <v>5904</v>
      </c>
      <c r="C169" s="152">
        <f t="shared" si="27"/>
        <v>5674</v>
      </c>
      <c r="D169" s="152">
        <f t="shared" si="28"/>
        <v>6229</v>
      </c>
      <c r="E169" s="268"/>
      <c r="F169" s="152">
        <f t="shared" si="29"/>
        <v>5829</v>
      </c>
      <c r="G169" s="152">
        <f t="shared" si="30"/>
        <v>5909</v>
      </c>
      <c r="H169" s="152">
        <f t="shared" si="31"/>
        <v>5866.5</v>
      </c>
      <c r="I169" s="153">
        <f t="shared" si="32"/>
        <v>5909</v>
      </c>
      <c r="J169" s="154"/>
    </row>
    <row r="170" spans="1:12" ht="20.100000000000001" customHeight="1">
      <c r="A170" s="80">
        <v>2017</v>
      </c>
      <c r="B170" s="151">
        <f t="shared" si="26"/>
        <v>5714</v>
      </c>
      <c r="C170" s="152">
        <f t="shared" si="27"/>
        <v>5473</v>
      </c>
      <c r="D170" s="152">
        <f t="shared" si="28"/>
        <v>6092</v>
      </c>
      <c r="E170" s="268"/>
      <c r="F170" s="152">
        <f t="shared" si="29"/>
        <v>5657</v>
      </c>
      <c r="G170" s="152">
        <f t="shared" si="30"/>
        <v>5734</v>
      </c>
      <c r="H170" s="152">
        <f t="shared" si="31"/>
        <v>5685.5</v>
      </c>
      <c r="I170" s="153">
        <f t="shared" si="32"/>
        <v>5734</v>
      </c>
      <c r="J170" s="154"/>
    </row>
    <row r="171" spans="1:12" ht="20.100000000000001" customHeight="1">
      <c r="A171" s="80">
        <v>2018</v>
      </c>
      <c r="B171" s="151">
        <f t="shared" si="26"/>
        <v>5525</v>
      </c>
      <c r="C171" s="152">
        <f t="shared" si="27"/>
        <v>5271</v>
      </c>
      <c r="D171" s="152">
        <f t="shared" si="28"/>
        <v>5958</v>
      </c>
      <c r="E171" s="268"/>
      <c r="F171" s="152">
        <f t="shared" si="29"/>
        <v>5488</v>
      </c>
      <c r="G171" s="152">
        <f t="shared" si="30"/>
        <v>5560.5</v>
      </c>
      <c r="H171" s="152">
        <f t="shared" si="31"/>
        <v>5506.5</v>
      </c>
      <c r="I171" s="153">
        <f t="shared" si="32"/>
        <v>5561</v>
      </c>
      <c r="J171" s="154"/>
    </row>
    <row r="172" spans="1:12" ht="20.100000000000001" customHeight="1">
      <c r="A172" s="80">
        <v>2019</v>
      </c>
      <c r="B172" s="151">
        <f t="shared" si="26"/>
        <v>5335</v>
      </c>
      <c r="C172" s="152">
        <f t="shared" si="27"/>
        <v>5070</v>
      </c>
      <c r="D172" s="152">
        <f t="shared" si="28"/>
        <v>5827</v>
      </c>
      <c r="E172" s="268"/>
      <c r="F172" s="152">
        <f t="shared" si="29"/>
        <v>5322</v>
      </c>
      <c r="G172" s="152">
        <f t="shared" si="30"/>
        <v>5388.5</v>
      </c>
      <c r="H172" s="152">
        <f t="shared" si="31"/>
        <v>5328.5</v>
      </c>
      <c r="I172" s="153">
        <f t="shared" si="32"/>
        <v>5389</v>
      </c>
      <c r="J172" s="154"/>
    </row>
    <row r="173" spans="1:12" ht="20.100000000000001" customHeight="1">
      <c r="A173" s="80">
        <v>2020</v>
      </c>
      <c r="B173" s="151">
        <f t="shared" si="26"/>
        <v>5146</v>
      </c>
      <c r="C173" s="152">
        <f t="shared" si="27"/>
        <v>4868</v>
      </c>
      <c r="D173" s="152">
        <f t="shared" si="28"/>
        <v>5699</v>
      </c>
      <c r="E173" s="268"/>
      <c r="F173" s="152">
        <f t="shared" si="29"/>
        <v>5159</v>
      </c>
      <c r="G173" s="152">
        <f t="shared" si="30"/>
        <v>5218</v>
      </c>
      <c r="H173" s="152">
        <f t="shared" si="31"/>
        <v>5152.5</v>
      </c>
      <c r="I173" s="153">
        <f t="shared" si="32"/>
        <v>5218</v>
      </c>
      <c r="J173" s="154"/>
    </row>
    <row r="174" spans="1:12" ht="20.100000000000001" customHeight="1">
      <c r="A174" s="80">
        <v>2021</v>
      </c>
      <c r="B174" s="151">
        <f t="shared" si="26"/>
        <v>4956</v>
      </c>
      <c r="C174" s="152">
        <f t="shared" si="27"/>
        <v>4667</v>
      </c>
      <c r="D174" s="152">
        <f t="shared" si="28"/>
        <v>5574</v>
      </c>
      <c r="E174" s="268"/>
      <c r="F174" s="152">
        <f t="shared" si="29"/>
        <v>4999</v>
      </c>
      <c r="G174" s="152">
        <f t="shared" si="30"/>
        <v>5049</v>
      </c>
      <c r="H174" s="152">
        <f t="shared" si="31"/>
        <v>4977.5</v>
      </c>
      <c r="I174" s="153">
        <f t="shared" si="32"/>
        <v>5049</v>
      </c>
      <c r="J174" s="154"/>
    </row>
    <row r="175" spans="1:12" ht="20.100000000000001" customHeight="1">
      <c r="A175" s="80">
        <v>2022</v>
      </c>
      <c r="B175" s="151">
        <f t="shared" si="26"/>
        <v>4767</v>
      </c>
      <c r="C175" s="152">
        <f t="shared" si="27"/>
        <v>4465</v>
      </c>
      <c r="D175" s="152">
        <f t="shared" si="28"/>
        <v>5451</v>
      </c>
      <c r="E175" s="268"/>
      <c r="F175" s="152">
        <f t="shared" si="29"/>
        <v>4842</v>
      </c>
      <c r="G175" s="152">
        <f t="shared" si="30"/>
        <v>4881.3</v>
      </c>
      <c r="H175" s="152">
        <f t="shared" si="31"/>
        <v>4804.5</v>
      </c>
      <c r="I175" s="153">
        <f t="shared" si="32"/>
        <v>4881</v>
      </c>
      <c r="J175" s="154"/>
    </row>
    <row r="176" spans="1:12" ht="20.100000000000001" customHeight="1">
      <c r="A176" s="80">
        <v>2023</v>
      </c>
      <c r="B176" s="151">
        <f t="shared" si="26"/>
        <v>4577</v>
      </c>
      <c r="C176" s="152">
        <f t="shared" si="27"/>
        <v>4264</v>
      </c>
      <c r="D176" s="152">
        <f t="shared" si="28"/>
        <v>5331</v>
      </c>
      <c r="E176" s="268"/>
      <c r="F176" s="152">
        <f t="shared" si="29"/>
        <v>4688</v>
      </c>
      <c r="G176" s="152">
        <f t="shared" si="30"/>
        <v>4715</v>
      </c>
      <c r="H176" s="152">
        <f t="shared" si="31"/>
        <v>4632.5</v>
      </c>
      <c r="I176" s="153">
        <f t="shared" si="32"/>
        <v>4715</v>
      </c>
      <c r="J176" s="154"/>
      <c r="L176" s="55">
        <v>806200</v>
      </c>
    </row>
    <row r="177" spans="1:41" ht="20.100000000000001" customHeight="1">
      <c r="A177" s="80">
        <v>2024</v>
      </c>
      <c r="B177" s="151">
        <f t="shared" si="26"/>
        <v>4388</v>
      </c>
      <c r="C177" s="152">
        <f t="shared" si="27"/>
        <v>4062</v>
      </c>
      <c r="D177" s="152">
        <f t="shared" si="28"/>
        <v>5214</v>
      </c>
      <c r="E177" s="268"/>
      <c r="F177" s="152">
        <f t="shared" si="29"/>
        <v>4538</v>
      </c>
      <c r="G177" s="152">
        <f t="shared" si="30"/>
        <v>4550.5</v>
      </c>
      <c r="H177" s="152">
        <f t="shared" si="31"/>
        <v>4463</v>
      </c>
      <c r="I177" s="153">
        <f t="shared" si="32"/>
        <v>4551</v>
      </c>
      <c r="J177" s="154"/>
      <c r="K177" s="55">
        <v>51000</v>
      </c>
      <c r="L177" s="75">
        <f>+K177+E177</f>
        <v>51000</v>
      </c>
      <c r="M177" s="75"/>
    </row>
    <row r="178" spans="1:41" ht="20.100000000000001" customHeight="1">
      <c r="A178" s="80">
        <v>2025</v>
      </c>
      <c r="B178" s="151">
        <f t="shared" si="26"/>
        <v>4198</v>
      </c>
      <c r="C178" s="152">
        <f t="shared" si="27"/>
        <v>3861</v>
      </c>
      <c r="D178" s="152">
        <f t="shared" si="28"/>
        <v>5099</v>
      </c>
      <c r="E178" s="268"/>
      <c r="F178" s="152">
        <f t="shared" si="29"/>
        <v>4392</v>
      </c>
      <c r="G178" s="152">
        <f t="shared" si="30"/>
        <v>4387.5</v>
      </c>
      <c r="H178" s="152">
        <f t="shared" si="31"/>
        <v>4295</v>
      </c>
      <c r="I178" s="153">
        <f t="shared" si="32"/>
        <v>4388</v>
      </c>
      <c r="J178" s="154"/>
      <c r="L178" s="75">
        <f>+L176-L177</f>
        <v>755200</v>
      </c>
      <c r="M178" s="75"/>
    </row>
    <row r="179" spans="1:41" ht="20.100000000000001" customHeight="1">
      <c r="A179" s="155" t="s">
        <v>97</v>
      </c>
      <c r="B179" s="156"/>
      <c r="C179" s="157"/>
      <c r="D179" s="157"/>
      <c r="E179" s="157"/>
      <c r="F179" s="156"/>
      <c r="G179" s="269" t="s">
        <v>260</v>
      </c>
      <c r="H179" s="157"/>
      <c r="I179" s="159"/>
      <c r="J179" s="160"/>
      <c r="K179" s="161"/>
      <c r="L179" s="162">
        <f>B129</f>
        <v>9504</v>
      </c>
      <c r="M179" s="162">
        <f>+B130</f>
        <v>9329</v>
      </c>
      <c r="N179" s="162">
        <f>B131</f>
        <v>9142</v>
      </c>
      <c r="O179" s="161">
        <f>B132</f>
        <v>8940</v>
      </c>
      <c r="P179" s="162">
        <f>B133</f>
        <v>8630</v>
      </c>
      <c r="Q179" s="161">
        <f>B134</f>
        <v>8501</v>
      </c>
      <c r="R179" s="162">
        <f>B135</f>
        <v>8223</v>
      </c>
      <c r="S179" s="162">
        <f>B136</f>
        <v>8067</v>
      </c>
      <c r="T179" s="162">
        <f>B137</f>
        <v>7803</v>
      </c>
      <c r="U179" s="162">
        <f>B138</f>
        <v>7699</v>
      </c>
      <c r="V179" s="162">
        <f>B139</f>
        <v>7609</v>
      </c>
      <c r="W179" s="162">
        <f>B16</f>
        <v>7420</v>
      </c>
      <c r="X179" s="162"/>
      <c r="Y179" s="161"/>
      <c r="Z179" s="161"/>
      <c r="AA179" s="161"/>
      <c r="AB179" s="161"/>
      <c r="AC179" s="161"/>
      <c r="AD179" s="161"/>
      <c r="AE179" s="161"/>
      <c r="AF179" s="161"/>
      <c r="AG179" s="161"/>
      <c r="AH179" s="161"/>
      <c r="AI179" s="161"/>
      <c r="AJ179" s="161"/>
      <c r="AK179" s="161"/>
      <c r="AL179" s="161"/>
      <c r="AM179" s="161"/>
      <c r="AN179" s="161"/>
    </row>
    <row r="180" spans="1:41" ht="20.100000000000001" hidden="1" customHeight="1">
      <c r="A180" s="85"/>
      <c r="B180" s="163"/>
      <c r="C180" s="164"/>
      <c r="D180" s="164"/>
      <c r="E180" s="164"/>
      <c r="F180" s="164"/>
      <c r="G180" s="164"/>
      <c r="H180" s="164"/>
      <c r="I180" s="165"/>
      <c r="J180" s="166"/>
      <c r="K180" s="161"/>
      <c r="L180" s="161"/>
      <c r="M180" s="161"/>
      <c r="N180" s="161"/>
      <c r="O180" s="161"/>
      <c r="P180" s="161"/>
      <c r="Q180" s="161"/>
      <c r="R180" s="161"/>
      <c r="S180" s="161"/>
      <c r="T180" s="161"/>
      <c r="U180" s="161"/>
      <c r="V180" s="161"/>
      <c r="W180" s="161"/>
      <c r="X180" s="161"/>
      <c r="Y180" s="161"/>
      <c r="Z180" s="161"/>
      <c r="AA180" s="161"/>
      <c r="AB180" s="161"/>
      <c r="AC180" s="161"/>
      <c r="AD180" s="161"/>
      <c r="AE180" s="161"/>
      <c r="AF180" s="161"/>
      <c r="AG180" s="161"/>
      <c r="AH180" s="161"/>
      <c r="AI180" s="161"/>
      <c r="AJ180" s="161"/>
      <c r="AK180" s="161"/>
      <c r="AL180" s="161"/>
      <c r="AM180" s="161"/>
      <c r="AN180" s="161"/>
    </row>
    <row r="181" spans="1:41" s="161" customFormat="1" ht="20.100000000000001" customHeight="1">
      <c r="A181" s="167" t="s">
        <v>98</v>
      </c>
      <c r="B181" s="168">
        <f>I4</f>
        <v>0.99179953451838765</v>
      </c>
      <c r="C181" s="169">
        <f>I35</f>
        <v>0.99179953451838809</v>
      </c>
      <c r="D181" s="169">
        <f>I66</f>
        <v>0.99394396151599695</v>
      </c>
      <c r="E181" s="169"/>
      <c r="F181" s="169">
        <f>I128</f>
        <v>0.99253862458385045</v>
      </c>
      <c r="G181" s="170"/>
      <c r="H181" s="171"/>
      <c r="I181" s="172"/>
      <c r="J181" s="173"/>
      <c r="K181" s="174">
        <f>MAX(B181:I181,F181)</f>
        <v>0.99394396151599695</v>
      </c>
      <c r="L181" s="161">
        <v>1997</v>
      </c>
      <c r="M181" s="161">
        <v>1998</v>
      </c>
      <c r="N181" s="161">
        <f>+M181+1</f>
        <v>1999</v>
      </c>
      <c r="O181" s="161">
        <f t="shared" ref="O181:AO181" si="33">+N181+1</f>
        <v>2000</v>
      </c>
      <c r="P181" s="161">
        <f t="shared" si="33"/>
        <v>2001</v>
      </c>
      <c r="Q181" s="161">
        <f t="shared" si="33"/>
        <v>2002</v>
      </c>
      <c r="R181" s="161">
        <f t="shared" si="33"/>
        <v>2003</v>
      </c>
      <c r="S181" s="161">
        <f t="shared" si="33"/>
        <v>2004</v>
      </c>
      <c r="T181" s="161">
        <f t="shared" si="33"/>
        <v>2005</v>
      </c>
      <c r="U181" s="161">
        <f t="shared" si="33"/>
        <v>2006</v>
      </c>
      <c r="V181" s="161">
        <f t="shared" si="33"/>
        <v>2007</v>
      </c>
      <c r="W181" s="161">
        <f t="shared" si="33"/>
        <v>2008</v>
      </c>
      <c r="X181" s="161">
        <f t="shared" si="33"/>
        <v>2009</v>
      </c>
      <c r="Y181" s="161">
        <f t="shared" si="33"/>
        <v>2010</v>
      </c>
      <c r="Z181" s="161">
        <f t="shared" si="33"/>
        <v>2011</v>
      </c>
      <c r="AA181" s="161">
        <f t="shared" si="33"/>
        <v>2012</v>
      </c>
      <c r="AB181" s="161">
        <f t="shared" si="33"/>
        <v>2013</v>
      </c>
      <c r="AC181" s="161">
        <f t="shared" si="33"/>
        <v>2014</v>
      </c>
      <c r="AD181" s="161">
        <f t="shared" si="33"/>
        <v>2015</v>
      </c>
      <c r="AE181" s="161">
        <f t="shared" si="33"/>
        <v>2016</v>
      </c>
      <c r="AF181" s="161">
        <f t="shared" si="33"/>
        <v>2017</v>
      </c>
      <c r="AG181" s="161">
        <f t="shared" si="33"/>
        <v>2018</v>
      </c>
      <c r="AH181" s="161">
        <f t="shared" si="33"/>
        <v>2019</v>
      </c>
      <c r="AI181" s="161">
        <f t="shared" si="33"/>
        <v>2020</v>
      </c>
      <c r="AJ181" s="161">
        <f t="shared" si="33"/>
        <v>2021</v>
      </c>
      <c r="AK181" s="161">
        <f t="shared" si="33"/>
        <v>2022</v>
      </c>
      <c r="AL181" s="161">
        <f t="shared" si="33"/>
        <v>2023</v>
      </c>
      <c r="AM181" s="161">
        <f t="shared" si="33"/>
        <v>2024</v>
      </c>
      <c r="AN181" s="161">
        <f t="shared" si="33"/>
        <v>2025</v>
      </c>
      <c r="AO181" s="161">
        <f t="shared" si="33"/>
        <v>2026</v>
      </c>
    </row>
    <row r="182" spans="1:41" ht="20.100000000000001" customHeight="1">
      <c r="K182" s="161" t="s">
        <v>99</v>
      </c>
      <c r="L182" s="161"/>
      <c r="M182" s="161"/>
      <c r="N182" s="161"/>
      <c r="O182" s="161"/>
      <c r="P182" s="161"/>
      <c r="Q182" s="161"/>
      <c r="R182" s="161"/>
      <c r="S182" s="161"/>
      <c r="T182" s="161"/>
      <c r="U182" s="161"/>
      <c r="V182" s="162">
        <f>+V179</f>
        <v>7609</v>
      </c>
      <c r="W182" s="175">
        <f>+B16</f>
        <v>7420</v>
      </c>
      <c r="X182" s="162">
        <f>B17</f>
        <v>7230</v>
      </c>
      <c r="Y182" s="162">
        <f>B18</f>
        <v>7041</v>
      </c>
      <c r="Z182" s="162">
        <f>B19</f>
        <v>6851</v>
      </c>
      <c r="AA182" s="162">
        <f>B20</f>
        <v>6662</v>
      </c>
      <c r="AB182" s="162">
        <f>B21</f>
        <v>6472</v>
      </c>
      <c r="AC182" s="162">
        <f>B22</f>
        <v>6283</v>
      </c>
      <c r="AD182" s="162">
        <f>B23</f>
        <v>6093</v>
      </c>
      <c r="AE182" s="162">
        <f>B24</f>
        <v>5904</v>
      </c>
      <c r="AF182" s="162">
        <f>B25</f>
        <v>5714</v>
      </c>
      <c r="AG182" s="162">
        <f>B26</f>
        <v>5525</v>
      </c>
      <c r="AH182" s="162">
        <f>B27</f>
        <v>5335</v>
      </c>
      <c r="AI182" s="162">
        <f>B28</f>
        <v>5146</v>
      </c>
      <c r="AJ182" s="162">
        <f>B29</f>
        <v>4956</v>
      </c>
      <c r="AK182" s="162">
        <f>B30</f>
        <v>4767</v>
      </c>
      <c r="AL182" s="162">
        <f>B31</f>
        <v>4577</v>
      </c>
      <c r="AM182" s="162">
        <f>B32</f>
        <v>4388</v>
      </c>
      <c r="AN182" s="162">
        <f>B33</f>
        <v>4198</v>
      </c>
      <c r="AO182" s="161" t="s">
        <v>99</v>
      </c>
    </row>
    <row r="183" spans="1:41" ht="20.100000000000001" customHeight="1">
      <c r="K183" s="161" t="s">
        <v>100</v>
      </c>
      <c r="L183" s="161"/>
      <c r="M183" s="161"/>
      <c r="N183" s="161"/>
      <c r="O183" s="161"/>
      <c r="P183" s="161"/>
      <c r="Q183" s="161"/>
      <c r="R183" s="161"/>
      <c r="S183" s="161"/>
      <c r="T183" s="161"/>
      <c r="U183" s="161"/>
      <c r="V183" s="162">
        <f>+V182</f>
        <v>7609</v>
      </c>
      <c r="W183" s="175">
        <f>+B47</f>
        <v>7286</v>
      </c>
      <c r="X183" s="162">
        <f>B48</f>
        <v>7085</v>
      </c>
      <c r="Y183" s="162">
        <f>B49</f>
        <v>6883</v>
      </c>
      <c r="Z183" s="162">
        <f>B50</f>
        <v>6682</v>
      </c>
      <c r="AA183" s="162">
        <f>B51</f>
        <v>6480</v>
      </c>
      <c r="AB183" s="162">
        <f>B52</f>
        <v>6279</v>
      </c>
      <c r="AC183" s="162">
        <f>B53</f>
        <v>6077</v>
      </c>
      <c r="AD183" s="162">
        <f>B54</f>
        <v>5876</v>
      </c>
      <c r="AE183" s="162">
        <f>B55</f>
        <v>5674</v>
      </c>
      <c r="AF183" s="162">
        <f>B56</f>
        <v>5473</v>
      </c>
      <c r="AG183" s="162">
        <f>B57</f>
        <v>5271</v>
      </c>
      <c r="AH183" s="162">
        <f>B58</f>
        <v>5070</v>
      </c>
      <c r="AI183" s="162">
        <f>B59</f>
        <v>4868</v>
      </c>
      <c r="AJ183" s="162">
        <f>B60</f>
        <v>4667</v>
      </c>
      <c r="AK183" s="162">
        <f>B61</f>
        <v>4465</v>
      </c>
      <c r="AL183" s="162">
        <f>B62</f>
        <v>4264</v>
      </c>
      <c r="AM183" s="162">
        <f>B63</f>
        <v>4062</v>
      </c>
      <c r="AN183" s="162">
        <f>B64</f>
        <v>3861</v>
      </c>
      <c r="AO183" s="161" t="s">
        <v>100</v>
      </c>
    </row>
    <row r="184" spans="1:41" ht="20.100000000000001" customHeight="1">
      <c r="K184" s="161" t="s">
        <v>101</v>
      </c>
      <c r="L184" s="161"/>
      <c r="M184" s="161"/>
      <c r="N184" s="161"/>
      <c r="O184" s="161"/>
      <c r="P184" s="161"/>
      <c r="Q184" s="161"/>
      <c r="R184" s="161"/>
      <c r="S184" s="161"/>
      <c r="T184" s="161"/>
      <c r="U184" s="161"/>
      <c r="V184" s="162">
        <f>+V183</f>
        <v>7609</v>
      </c>
      <c r="W184" s="175">
        <f>+B78</f>
        <v>7442</v>
      </c>
      <c r="X184" s="162">
        <f>B79</f>
        <v>7278</v>
      </c>
      <c r="Y184" s="162">
        <f>B80</f>
        <v>7118</v>
      </c>
      <c r="Z184" s="162">
        <f>B81</f>
        <v>6962</v>
      </c>
      <c r="AA184" s="162">
        <f>B82</f>
        <v>6809</v>
      </c>
      <c r="AB184" s="162">
        <f>B83</f>
        <v>6659</v>
      </c>
      <c r="AC184" s="162">
        <f>B84</f>
        <v>6512</v>
      </c>
      <c r="AD184" s="162">
        <f>B85</f>
        <v>6369</v>
      </c>
      <c r="AE184" s="162">
        <f>B86</f>
        <v>6229</v>
      </c>
      <c r="AF184" s="162">
        <f>B87</f>
        <v>6092</v>
      </c>
      <c r="AG184" s="162">
        <f>B88</f>
        <v>5958</v>
      </c>
      <c r="AH184" s="162">
        <f>B89</f>
        <v>5827</v>
      </c>
      <c r="AI184" s="162">
        <f>B90</f>
        <v>5699</v>
      </c>
      <c r="AJ184" s="162">
        <f>B91</f>
        <v>5574</v>
      </c>
      <c r="AK184" s="162">
        <f>B92</f>
        <v>5451</v>
      </c>
      <c r="AL184" s="162">
        <f>B93</f>
        <v>5331</v>
      </c>
      <c r="AM184" s="162">
        <f>B94</f>
        <v>5214</v>
      </c>
      <c r="AN184" s="162">
        <f>B95</f>
        <v>5099</v>
      </c>
      <c r="AO184" s="161" t="s">
        <v>101</v>
      </c>
    </row>
    <row r="185" spans="1:41" ht="20.100000000000001" customHeight="1">
      <c r="K185" s="161" t="s">
        <v>102</v>
      </c>
      <c r="L185" s="161"/>
      <c r="M185" s="161"/>
      <c r="N185" s="161"/>
      <c r="O185" s="161"/>
      <c r="P185" s="161"/>
      <c r="Q185" s="161"/>
      <c r="R185" s="161"/>
      <c r="S185" s="161"/>
      <c r="T185" s="161"/>
      <c r="U185" s="161"/>
      <c r="V185" s="162">
        <f>+V184</f>
        <v>7609</v>
      </c>
      <c r="W185" s="175"/>
      <c r="X185" s="161"/>
      <c r="Y185" s="161"/>
      <c r="Z185" s="161"/>
      <c r="AA185" s="161"/>
      <c r="AB185" s="161"/>
      <c r="AC185" s="161"/>
      <c r="AD185" s="161"/>
      <c r="AE185" s="161"/>
      <c r="AF185" s="161"/>
      <c r="AG185" s="161"/>
      <c r="AH185" s="161"/>
      <c r="AI185" s="161"/>
      <c r="AJ185" s="161"/>
      <c r="AK185" s="161"/>
      <c r="AL185" s="161"/>
      <c r="AM185" s="161"/>
      <c r="AN185" s="161"/>
      <c r="AO185" s="161" t="s">
        <v>102</v>
      </c>
    </row>
    <row r="186" spans="1:41" ht="20.100000000000001" customHeight="1">
      <c r="K186" s="161" t="s">
        <v>103</v>
      </c>
      <c r="L186" s="161"/>
      <c r="M186" s="161"/>
      <c r="N186" s="161"/>
      <c r="O186" s="161"/>
      <c r="P186" s="161"/>
      <c r="Q186" s="161"/>
      <c r="R186" s="161"/>
      <c r="S186" s="161"/>
      <c r="T186" s="161"/>
      <c r="U186" s="161"/>
      <c r="V186" s="162">
        <f>+V185</f>
        <v>7609</v>
      </c>
      <c r="W186" s="175">
        <f>+B140</f>
        <v>7302</v>
      </c>
      <c r="X186" s="162">
        <f>B141</f>
        <v>7110</v>
      </c>
      <c r="Y186" s="162">
        <f>B142</f>
        <v>6920</v>
      </c>
      <c r="Z186" s="162">
        <f>B143</f>
        <v>6732</v>
      </c>
      <c r="AA186" s="162">
        <f>B144</f>
        <v>6546</v>
      </c>
      <c r="AB186" s="162">
        <f>B145</f>
        <v>6363</v>
      </c>
      <c r="AC186" s="162">
        <f>B146</f>
        <v>6182</v>
      </c>
      <c r="AD186" s="162">
        <f>B147</f>
        <v>6004</v>
      </c>
      <c r="AE186" s="162">
        <f>B148</f>
        <v>5829</v>
      </c>
      <c r="AF186" s="162">
        <f>B149</f>
        <v>5657</v>
      </c>
      <c r="AG186" s="162">
        <f>B150</f>
        <v>5488</v>
      </c>
      <c r="AH186" s="162">
        <f>B151</f>
        <v>5322</v>
      </c>
      <c r="AI186" s="162">
        <f>B152</f>
        <v>5159</v>
      </c>
      <c r="AJ186" s="162">
        <f>B153</f>
        <v>4999</v>
      </c>
      <c r="AK186" s="162">
        <f>B154</f>
        <v>4842</v>
      </c>
      <c r="AL186" s="162">
        <f>B155</f>
        <v>4688</v>
      </c>
      <c r="AM186" s="162">
        <f>B156</f>
        <v>4538</v>
      </c>
      <c r="AN186" s="162">
        <f>B157</f>
        <v>4392</v>
      </c>
      <c r="AO186" s="161" t="s">
        <v>103</v>
      </c>
    </row>
    <row r="187" spans="1:41" ht="20.100000000000001" customHeight="1">
      <c r="K187" s="161" t="s">
        <v>95</v>
      </c>
      <c r="L187" s="161"/>
      <c r="M187" s="161"/>
      <c r="N187" s="161"/>
      <c r="O187" s="161"/>
      <c r="P187" s="161"/>
      <c r="Q187" s="161"/>
      <c r="R187" s="161"/>
      <c r="S187" s="161"/>
      <c r="T187" s="161"/>
      <c r="U187" s="161"/>
      <c r="V187" s="162">
        <f>+V186</f>
        <v>7609</v>
      </c>
      <c r="W187" s="175">
        <f>+G161</f>
        <v>7362.5</v>
      </c>
      <c r="X187" s="206">
        <f>+G162</f>
        <v>7175.8</v>
      </c>
      <c r="Y187" s="206">
        <f>+G163</f>
        <v>6990.5</v>
      </c>
      <c r="Z187" s="206">
        <f>+F164</f>
        <v>6732</v>
      </c>
      <c r="AA187" s="206">
        <f>+F165</f>
        <v>6546</v>
      </c>
      <c r="AB187" s="206">
        <f>+F166</f>
        <v>6363</v>
      </c>
      <c r="AC187" s="206">
        <f>+F167</f>
        <v>6182</v>
      </c>
      <c r="AD187" s="206">
        <f>+F168</f>
        <v>6004</v>
      </c>
      <c r="AE187" s="206">
        <f>+F169</f>
        <v>5829</v>
      </c>
      <c r="AF187" s="206">
        <f>+F170</f>
        <v>5657</v>
      </c>
      <c r="AG187" s="206">
        <f>+F171</f>
        <v>5488</v>
      </c>
      <c r="AH187" s="206">
        <f>+F172</f>
        <v>5322</v>
      </c>
      <c r="AI187" s="206">
        <f>+F173</f>
        <v>5159</v>
      </c>
      <c r="AJ187" s="206">
        <f>+F174</f>
        <v>4999</v>
      </c>
      <c r="AK187" s="206">
        <f>+F175</f>
        <v>4842</v>
      </c>
      <c r="AL187" s="206">
        <f>+F176</f>
        <v>4688</v>
      </c>
      <c r="AM187" s="206">
        <f>+F177</f>
        <v>4538</v>
      </c>
      <c r="AN187" s="206">
        <f>+F178</f>
        <v>4392</v>
      </c>
      <c r="AO187" s="161" t="s">
        <v>95</v>
      </c>
    </row>
    <row r="188" spans="1:41" ht="20.100000000000001" customHeight="1"/>
    <row r="189" spans="1:41" ht="20.100000000000001" customHeight="1"/>
    <row r="190" spans="1:41" ht="20.100000000000001" customHeight="1"/>
    <row r="191" spans="1:41" ht="20.100000000000001" customHeight="1"/>
    <row r="192" spans="1:41" ht="20.100000000000001" customHeight="1"/>
    <row r="193" ht="20.100000000000001" customHeight="1"/>
    <row r="194" ht="20.100000000000001" customHeight="1"/>
    <row r="195" ht="20.100000000000001" customHeight="1"/>
    <row r="196" ht="20.100000000000001" customHeight="1"/>
    <row r="197" ht="20.100000000000001" customHeight="1"/>
    <row r="198" ht="20.100000000000001" customHeight="1"/>
    <row r="199" ht="20.100000000000001" customHeight="1"/>
    <row r="200" ht="20.100000000000001" customHeight="1"/>
    <row r="201" ht="20.100000000000001" customHeight="1"/>
    <row r="202" ht="20.100000000000001" customHeight="1"/>
    <row r="203" ht="20.100000000000001" customHeight="1"/>
    <row r="204" ht="20.100000000000001" customHeight="1"/>
  </sheetData>
  <phoneticPr fontId="50" type="noConversion"/>
  <pageMargins left="0.74803149606299213" right="0.74803149606299213" top="0.78740157480314965" bottom="0.78740157480314965" header="0.51181102362204722" footer="0.51181102362204722"/>
  <pageSetup paperSize="9" scale="70" fitToHeight="3" orientation="portrait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>
  <sheetPr codeName="Sheet40">
    <tabColor indexed="41"/>
  </sheetPr>
  <dimension ref="A1:AO179"/>
  <sheetViews>
    <sheetView workbookViewId="0"/>
  </sheetViews>
  <sheetFormatPr defaultRowHeight="15" customHeight="1"/>
  <cols>
    <col min="1" max="1" width="8.88671875" style="55"/>
    <col min="2" max="2" width="9.21875" style="55" customWidth="1"/>
    <col min="3" max="3" width="9.5546875" style="55" customWidth="1"/>
    <col min="4" max="4" width="9" style="55" customWidth="1"/>
    <col min="5" max="5" width="11.33203125" style="55" customWidth="1"/>
    <col min="6" max="6" width="9.44140625" style="55" customWidth="1"/>
    <col min="7" max="7" width="15.109375" style="55" bestFit="1" customWidth="1"/>
    <col min="8" max="8" width="12.88671875" style="55" bestFit="1" customWidth="1"/>
    <col min="9" max="9" width="11.5546875" style="55" bestFit="1" customWidth="1"/>
    <col min="10" max="16384" width="8.88671875" style="55"/>
  </cols>
  <sheetData>
    <row r="1" spans="1:12" ht="15" customHeight="1">
      <c r="A1" s="54" t="s">
        <v>300</v>
      </c>
    </row>
    <row r="2" spans="1:12" ht="15" customHeight="1">
      <c r="A2" s="54"/>
    </row>
    <row r="3" spans="1:12" ht="15" customHeight="1">
      <c r="A3" s="56" t="s">
        <v>74</v>
      </c>
      <c r="B3" s="57"/>
    </row>
    <row r="4" spans="1:12" ht="15" customHeight="1">
      <c r="A4" s="58" t="s">
        <v>32</v>
      </c>
      <c r="B4" s="59" t="s">
        <v>40</v>
      </c>
      <c r="C4" s="59" t="s">
        <v>33</v>
      </c>
      <c r="D4" s="60"/>
      <c r="E4" s="60"/>
      <c r="F4" s="61"/>
      <c r="G4" s="62"/>
      <c r="H4" s="63" t="s">
        <v>292</v>
      </c>
      <c r="I4" s="64">
        <f>RSQ(I6:I11,B6:B11)</f>
        <v>0.97587333071825988</v>
      </c>
    </row>
    <row r="5" spans="1:12" ht="15" customHeight="1">
      <c r="A5" s="176">
        <v>2002</v>
      </c>
      <c r="B5" s="183">
        <f>+부곡동10!B10</f>
        <v>8501</v>
      </c>
      <c r="C5" s="177">
        <v>0</v>
      </c>
      <c r="D5" s="178"/>
      <c r="E5" s="178"/>
      <c r="F5" s="179"/>
      <c r="G5" s="262"/>
      <c r="H5" s="263"/>
      <c r="I5" s="70">
        <f t="shared" ref="I5:I28" si="0">$E$6*C5+$E$7</f>
        <v>8501</v>
      </c>
    </row>
    <row r="6" spans="1:12" ht="15" customHeight="1">
      <c r="A6" s="65">
        <v>2003</v>
      </c>
      <c r="B6" s="184">
        <f>+부곡동10!B11</f>
        <v>8223</v>
      </c>
      <c r="C6" s="67">
        <f>+C5+1</f>
        <v>1</v>
      </c>
      <c r="D6" s="53" t="s">
        <v>75</v>
      </c>
      <c r="E6" s="68">
        <f>(B10-B5)/C10</f>
        <v>-178.4</v>
      </c>
      <c r="F6" s="69"/>
      <c r="G6" s="53"/>
      <c r="H6" s="69"/>
      <c r="I6" s="70">
        <f t="shared" si="0"/>
        <v>8322.6</v>
      </c>
      <c r="J6" s="71">
        <v>570570</v>
      </c>
      <c r="K6" s="55">
        <v>570570</v>
      </c>
      <c r="L6" s="55">
        <v>766</v>
      </c>
    </row>
    <row r="7" spans="1:12" ht="15" customHeight="1">
      <c r="A7" s="65">
        <v>2004</v>
      </c>
      <c r="B7" s="184">
        <f>+부곡동10!B12</f>
        <v>8067</v>
      </c>
      <c r="C7" s="67">
        <f t="shared" ref="C7:C28" si="1">C6+1</f>
        <v>2</v>
      </c>
      <c r="D7" s="53" t="s">
        <v>76</v>
      </c>
      <c r="E7" s="72">
        <f>B5</f>
        <v>8501</v>
      </c>
      <c r="F7" s="69"/>
      <c r="G7" s="53"/>
      <c r="H7" s="69"/>
      <c r="I7" s="70">
        <f t="shared" si="0"/>
        <v>8144.2</v>
      </c>
      <c r="J7" s="71">
        <v>583230</v>
      </c>
      <c r="K7" s="55">
        <v>583230</v>
      </c>
      <c r="L7" s="55">
        <v>1094</v>
      </c>
    </row>
    <row r="8" spans="1:12" ht="15" customHeight="1">
      <c r="A8" s="65">
        <v>2005</v>
      </c>
      <c r="B8" s="184">
        <f>+부곡동10!B13</f>
        <v>7803</v>
      </c>
      <c r="C8" s="67">
        <f t="shared" si="1"/>
        <v>3</v>
      </c>
      <c r="D8" s="53" t="s">
        <v>77</v>
      </c>
      <c r="E8" s="73">
        <f>I4</f>
        <v>0.97587333071825988</v>
      </c>
      <c r="F8" s="69"/>
      <c r="G8" s="53"/>
      <c r="H8" s="69"/>
      <c r="I8" s="70">
        <f t="shared" si="0"/>
        <v>7965.8</v>
      </c>
      <c r="J8" s="71">
        <v>590162</v>
      </c>
      <c r="K8" s="55">
        <v>590162</v>
      </c>
      <c r="L8" s="55">
        <v>1277</v>
      </c>
    </row>
    <row r="9" spans="1:12" ht="15" customHeight="1">
      <c r="A9" s="65">
        <v>2006</v>
      </c>
      <c r="B9" s="184">
        <f>+부곡동10!B14</f>
        <v>7699</v>
      </c>
      <c r="C9" s="67">
        <f t="shared" si="1"/>
        <v>4</v>
      </c>
      <c r="D9" s="53"/>
      <c r="E9" s="53"/>
      <c r="F9" s="69"/>
      <c r="G9" s="53"/>
      <c r="H9" s="69"/>
      <c r="I9" s="70">
        <f t="shared" si="0"/>
        <v>7787.4</v>
      </c>
      <c r="J9" s="71">
        <v>600343</v>
      </c>
      <c r="K9" s="55">
        <v>600343</v>
      </c>
      <c r="L9" s="55">
        <v>1147</v>
      </c>
    </row>
    <row r="10" spans="1:12" ht="15" customHeight="1" thickBot="1">
      <c r="A10" s="97">
        <v>2007</v>
      </c>
      <c r="B10" s="185">
        <f>+부곡동10!B15</f>
        <v>7609</v>
      </c>
      <c r="C10" s="99">
        <f t="shared" si="1"/>
        <v>5</v>
      </c>
      <c r="D10" s="101" t="s">
        <v>73</v>
      </c>
      <c r="E10" s="101"/>
      <c r="F10" s="100"/>
      <c r="G10" s="101"/>
      <c r="H10" s="100"/>
      <c r="I10" s="102">
        <f t="shared" si="0"/>
        <v>7609</v>
      </c>
      <c r="J10" s="71">
        <v>611921</v>
      </c>
      <c r="K10" s="55">
        <v>611921</v>
      </c>
      <c r="L10" s="55">
        <v>1355</v>
      </c>
    </row>
    <row r="11" spans="1:12" ht="15" customHeight="1" thickTop="1">
      <c r="A11" s="255">
        <v>2008</v>
      </c>
      <c r="B11" s="81">
        <f t="shared" ref="B11:B28" si="2">ROUND($E$6*C11+$E$7,0)</f>
        <v>7431</v>
      </c>
      <c r="C11" s="77">
        <f t="shared" si="1"/>
        <v>6</v>
      </c>
      <c r="D11" s="256"/>
      <c r="E11" s="256"/>
      <c r="F11" s="78"/>
      <c r="G11" s="256"/>
      <c r="H11" s="78"/>
      <c r="I11" s="79">
        <f t="shared" si="0"/>
        <v>7430.6</v>
      </c>
      <c r="J11" s="74">
        <v>622238</v>
      </c>
      <c r="K11" s="55">
        <v>622238</v>
      </c>
      <c r="L11" s="55">
        <v>1717</v>
      </c>
    </row>
    <row r="12" spans="1:12" ht="15" customHeight="1">
      <c r="A12" s="80">
        <v>2009</v>
      </c>
      <c r="B12" s="81">
        <f t="shared" si="2"/>
        <v>7252</v>
      </c>
      <c r="C12" s="67">
        <f t="shared" si="1"/>
        <v>7</v>
      </c>
      <c r="D12" s="69"/>
      <c r="E12" s="69"/>
      <c r="F12" s="69"/>
      <c r="G12" s="69"/>
      <c r="H12" s="69"/>
      <c r="I12" s="70">
        <f t="shared" si="0"/>
        <v>7252.2</v>
      </c>
    </row>
    <row r="13" spans="1:12" ht="15" customHeight="1">
      <c r="A13" s="186">
        <v>2010</v>
      </c>
      <c r="B13" s="187">
        <f t="shared" si="2"/>
        <v>7074</v>
      </c>
      <c r="C13" s="188">
        <f t="shared" si="1"/>
        <v>8</v>
      </c>
      <c r="D13" s="189"/>
      <c r="E13" s="189"/>
      <c r="F13" s="189"/>
      <c r="G13" s="189"/>
      <c r="H13" s="189"/>
      <c r="I13" s="190">
        <f t="shared" si="0"/>
        <v>7073.8</v>
      </c>
    </row>
    <row r="14" spans="1:12" ht="15" customHeight="1">
      <c r="A14" s="80">
        <v>2011</v>
      </c>
      <c r="B14" s="81">
        <f t="shared" si="2"/>
        <v>6895</v>
      </c>
      <c r="C14" s="82">
        <f t="shared" si="1"/>
        <v>9</v>
      </c>
      <c r="D14" s="69"/>
      <c r="E14" s="69"/>
      <c r="F14" s="69"/>
      <c r="G14" s="69"/>
      <c r="H14" s="69"/>
      <c r="I14" s="70">
        <f t="shared" si="0"/>
        <v>6895.4</v>
      </c>
    </row>
    <row r="15" spans="1:12" ht="15" customHeight="1">
      <c r="A15" s="80">
        <v>2012</v>
      </c>
      <c r="B15" s="81">
        <f t="shared" si="2"/>
        <v>6717</v>
      </c>
      <c r="C15" s="82">
        <f t="shared" si="1"/>
        <v>10</v>
      </c>
      <c r="D15" s="69"/>
      <c r="E15" s="69"/>
      <c r="F15" s="69"/>
      <c r="G15" s="69"/>
      <c r="H15" s="69"/>
      <c r="I15" s="70">
        <f t="shared" si="0"/>
        <v>6717</v>
      </c>
    </row>
    <row r="16" spans="1:12" ht="15" customHeight="1">
      <c r="A16" s="80">
        <v>2013</v>
      </c>
      <c r="B16" s="81">
        <f t="shared" si="2"/>
        <v>6539</v>
      </c>
      <c r="C16" s="82">
        <f t="shared" si="1"/>
        <v>11</v>
      </c>
      <c r="D16" s="69"/>
      <c r="E16" s="69"/>
      <c r="F16" s="69"/>
      <c r="G16" s="69"/>
      <c r="H16" s="69"/>
      <c r="I16" s="70">
        <f t="shared" si="0"/>
        <v>6538.6</v>
      </c>
    </row>
    <row r="17" spans="1:9" ht="15" customHeight="1">
      <c r="A17" s="80">
        <v>2014</v>
      </c>
      <c r="B17" s="81">
        <f t="shared" si="2"/>
        <v>6360</v>
      </c>
      <c r="C17" s="82">
        <f t="shared" si="1"/>
        <v>12</v>
      </c>
      <c r="D17" s="69"/>
      <c r="E17" s="69"/>
      <c r="F17" s="69"/>
      <c r="G17" s="69"/>
      <c r="H17" s="69"/>
      <c r="I17" s="70">
        <f t="shared" si="0"/>
        <v>6360.2</v>
      </c>
    </row>
    <row r="18" spans="1:9" ht="15" customHeight="1">
      <c r="A18" s="186">
        <v>2015</v>
      </c>
      <c r="B18" s="187">
        <f t="shared" si="2"/>
        <v>6182</v>
      </c>
      <c r="C18" s="188">
        <f t="shared" si="1"/>
        <v>13</v>
      </c>
      <c r="D18" s="189"/>
      <c r="E18" s="189"/>
      <c r="F18" s="189"/>
      <c r="G18" s="189"/>
      <c r="H18" s="189"/>
      <c r="I18" s="190">
        <f t="shared" si="0"/>
        <v>6181.7999999999993</v>
      </c>
    </row>
    <row r="19" spans="1:9" ht="15" customHeight="1">
      <c r="A19" s="80">
        <v>2016</v>
      </c>
      <c r="B19" s="81">
        <f t="shared" si="2"/>
        <v>6003</v>
      </c>
      <c r="C19" s="82">
        <f t="shared" si="1"/>
        <v>14</v>
      </c>
      <c r="D19" s="69"/>
      <c r="E19" s="69"/>
      <c r="F19" s="69"/>
      <c r="G19" s="69"/>
      <c r="H19" s="69"/>
      <c r="I19" s="70">
        <f t="shared" si="0"/>
        <v>6003.4</v>
      </c>
    </row>
    <row r="20" spans="1:9" ht="15" customHeight="1">
      <c r="A20" s="80">
        <v>2017</v>
      </c>
      <c r="B20" s="81">
        <f t="shared" si="2"/>
        <v>5825</v>
      </c>
      <c r="C20" s="82">
        <f t="shared" si="1"/>
        <v>15</v>
      </c>
      <c r="D20" s="69"/>
      <c r="E20" s="69"/>
      <c r="F20" s="69"/>
      <c r="G20" s="69"/>
      <c r="H20" s="69"/>
      <c r="I20" s="70">
        <f t="shared" si="0"/>
        <v>5825</v>
      </c>
    </row>
    <row r="21" spans="1:9" ht="15" customHeight="1">
      <c r="A21" s="80">
        <v>2018</v>
      </c>
      <c r="B21" s="81">
        <f t="shared" si="2"/>
        <v>5647</v>
      </c>
      <c r="C21" s="82">
        <f t="shared" si="1"/>
        <v>16</v>
      </c>
      <c r="D21" s="69"/>
      <c r="E21" s="69"/>
      <c r="F21" s="69"/>
      <c r="G21" s="69"/>
      <c r="H21" s="69"/>
      <c r="I21" s="70">
        <f t="shared" si="0"/>
        <v>5646.6</v>
      </c>
    </row>
    <row r="22" spans="1:9" ht="15" customHeight="1">
      <c r="A22" s="80">
        <v>2019</v>
      </c>
      <c r="B22" s="81">
        <f t="shared" si="2"/>
        <v>5468</v>
      </c>
      <c r="C22" s="82">
        <f t="shared" si="1"/>
        <v>17</v>
      </c>
      <c r="D22" s="69"/>
      <c r="E22" s="69"/>
      <c r="F22" s="69"/>
      <c r="G22" s="69"/>
      <c r="H22" s="69"/>
      <c r="I22" s="70">
        <f t="shared" si="0"/>
        <v>5468.2</v>
      </c>
    </row>
    <row r="23" spans="1:9" ht="15" customHeight="1">
      <c r="A23" s="186">
        <v>2020</v>
      </c>
      <c r="B23" s="187">
        <f t="shared" si="2"/>
        <v>5290</v>
      </c>
      <c r="C23" s="188">
        <f t="shared" si="1"/>
        <v>18</v>
      </c>
      <c r="D23" s="189"/>
      <c r="E23" s="189"/>
      <c r="F23" s="189"/>
      <c r="G23" s="189"/>
      <c r="H23" s="189"/>
      <c r="I23" s="190">
        <f t="shared" si="0"/>
        <v>5289.7999999999993</v>
      </c>
    </row>
    <row r="24" spans="1:9" ht="15" customHeight="1">
      <c r="A24" s="80">
        <v>2021</v>
      </c>
      <c r="B24" s="81">
        <f t="shared" si="2"/>
        <v>5111</v>
      </c>
      <c r="C24" s="82">
        <f t="shared" si="1"/>
        <v>19</v>
      </c>
      <c r="D24" s="69"/>
      <c r="E24" s="69"/>
      <c r="F24" s="69"/>
      <c r="G24" s="69"/>
      <c r="H24" s="69"/>
      <c r="I24" s="70">
        <f t="shared" si="0"/>
        <v>5111.3999999999996</v>
      </c>
    </row>
    <row r="25" spans="1:9" ht="15" customHeight="1">
      <c r="A25" s="80">
        <v>2022</v>
      </c>
      <c r="B25" s="81">
        <f t="shared" si="2"/>
        <v>4933</v>
      </c>
      <c r="C25" s="82">
        <f t="shared" si="1"/>
        <v>20</v>
      </c>
      <c r="D25" s="69"/>
      <c r="E25" s="69"/>
      <c r="F25" s="69"/>
      <c r="G25" s="69"/>
      <c r="H25" s="69"/>
      <c r="I25" s="70">
        <f t="shared" si="0"/>
        <v>4933</v>
      </c>
    </row>
    <row r="26" spans="1:9" ht="15" customHeight="1">
      <c r="A26" s="80">
        <v>2023</v>
      </c>
      <c r="B26" s="81">
        <f t="shared" si="2"/>
        <v>4755</v>
      </c>
      <c r="C26" s="82">
        <f t="shared" si="1"/>
        <v>21</v>
      </c>
      <c r="D26" s="69"/>
      <c r="E26" s="69"/>
      <c r="F26" s="69"/>
      <c r="G26" s="69"/>
      <c r="H26" s="69"/>
      <c r="I26" s="70">
        <f t="shared" si="0"/>
        <v>4754.6000000000004</v>
      </c>
    </row>
    <row r="27" spans="1:9" ht="15" customHeight="1">
      <c r="A27" s="80">
        <v>2024</v>
      </c>
      <c r="B27" s="81">
        <f t="shared" si="2"/>
        <v>4576</v>
      </c>
      <c r="C27" s="67">
        <f t="shared" si="1"/>
        <v>22</v>
      </c>
      <c r="D27" s="83"/>
      <c r="E27" s="69"/>
      <c r="F27" s="69"/>
      <c r="G27" s="69"/>
      <c r="H27" s="84"/>
      <c r="I27" s="70">
        <f t="shared" si="0"/>
        <v>4576.2</v>
      </c>
    </row>
    <row r="28" spans="1:9" ht="15" customHeight="1">
      <c r="A28" s="191">
        <v>2025</v>
      </c>
      <c r="B28" s="192">
        <f t="shared" si="2"/>
        <v>4398</v>
      </c>
      <c r="C28" s="193">
        <f t="shared" si="1"/>
        <v>23</v>
      </c>
      <c r="D28" s="194"/>
      <c r="E28" s="195"/>
      <c r="F28" s="195"/>
      <c r="G28" s="195"/>
      <c r="H28" s="196"/>
      <c r="I28" s="197">
        <f t="shared" si="0"/>
        <v>4397.8</v>
      </c>
    </row>
    <row r="29" spans="1:9" ht="15" customHeight="1">
      <c r="A29" s="56" t="s">
        <v>78</v>
      </c>
      <c r="B29" s="92"/>
      <c r="I29" s="89"/>
    </row>
    <row r="30" spans="1:9" ht="15" customHeight="1">
      <c r="A30" s="58" t="s">
        <v>32</v>
      </c>
      <c r="B30" s="59" t="s">
        <v>40</v>
      </c>
      <c r="C30" s="59" t="s">
        <v>33</v>
      </c>
      <c r="D30" s="60"/>
      <c r="E30" s="60"/>
      <c r="F30" s="61"/>
      <c r="G30" s="62"/>
      <c r="H30" s="63" t="s">
        <v>292</v>
      </c>
      <c r="I30" s="64">
        <f>RSQ(I32:I37,B32:B37)</f>
        <v>0.9776037019818149</v>
      </c>
    </row>
    <row r="31" spans="1:9" ht="15" customHeight="1">
      <c r="A31" s="65">
        <v>2002</v>
      </c>
      <c r="B31" s="93">
        <f t="shared" ref="B31:B36" si="3">B5</f>
        <v>8501</v>
      </c>
      <c r="C31" s="67">
        <v>0</v>
      </c>
      <c r="D31" s="53"/>
      <c r="E31" s="53"/>
      <c r="F31" s="69"/>
      <c r="G31" s="264"/>
      <c r="H31" s="265"/>
      <c r="I31" s="94">
        <f t="shared" ref="I31:I54" si="4">$E$32*C31+$E$33</f>
        <v>8433.3809523809523</v>
      </c>
    </row>
    <row r="32" spans="1:9" ht="15" customHeight="1">
      <c r="A32" s="65">
        <f t="shared" ref="A32:A37" si="5">A6</f>
        <v>2003</v>
      </c>
      <c r="B32" s="93">
        <f t="shared" si="3"/>
        <v>8223</v>
      </c>
      <c r="C32" s="67">
        <f>+C31+1</f>
        <v>1</v>
      </c>
      <c r="D32" s="53" t="s">
        <v>75</v>
      </c>
      <c r="E32" s="68">
        <f>INDEX(LINEST(B31:B36,C31:C36),1)</f>
        <v>-179.88571428571427</v>
      </c>
      <c r="F32" s="69"/>
      <c r="G32" s="53"/>
      <c r="H32" s="69"/>
      <c r="I32" s="70">
        <f t="shared" si="4"/>
        <v>8253.4952380952382</v>
      </c>
    </row>
    <row r="33" spans="1:9" ht="15" customHeight="1">
      <c r="A33" s="65">
        <f t="shared" si="5"/>
        <v>2004</v>
      </c>
      <c r="B33" s="93">
        <f t="shared" si="3"/>
        <v>8067</v>
      </c>
      <c r="C33" s="67">
        <f t="shared" ref="C33:C54" si="6">C32+1</f>
        <v>2</v>
      </c>
      <c r="D33" s="53" t="s">
        <v>76</v>
      </c>
      <c r="E33" s="72">
        <f>INDEX(LINEST(B31:B36,C31:C36),2)</f>
        <v>8433.3809523809523</v>
      </c>
      <c r="F33" s="69"/>
      <c r="G33" s="53"/>
      <c r="H33" s="69"/>
      <c r="I33" s="70">
        <f t="shared" si="4"/>
        <v>8073.609523809524</v>
      </c>
    </row>
    <row r="34" spans="1:9" ht="15" customHeight="1">
      <c r="A34" s="65">
        <f t="shared" si="5"/>
        <v>2005</v>
      </c>
      <c r="B34" s="93">
        <f t="shared" si="3"/>
        <v>7803</v>
      </c>
      <c r="C34" s="67">
        <f t="shared" si="6"/>
        <v>3</v>
      </c>
      <c r="D34" s="53" t="s">
        <v>77</v>
      </c>
      <c r="E34" s="73">
        <f>I30</f>
        <v>0.9776037019818149</v>
      </c>
      <c r="F34" s="69"/>
      <c r="G34" s="53"/>
      <c r="H34" s="69"/>
      <c r="I34" s="70">
        <f t="shared" si="4"/>
        <v>7893.7238095238099</v>
      </c>
    </row>
    <row r="35" spans="1:9" ht="15" customHeight="1">
      <c r="A35" s="65">
        <f t="shared" si="5"/>
        <v>2006</v>
      </c>
      <c r="B35" s="93">
        <f t="shared" si="3"/>
        <v>7699</v>
      </c>
      <c r="C35" s="67">
        <f t="shared" si="6"/>
        <v>4</v>
      </c>
      <c r="D35" s="53"/>
      <c r="E35" s="53"/>
      <c r="F35" s="69"/>
      <c r="G35" s="53"/>
      <c r="H35" s="69"/>
      <c r="I35" s="70">
        <f t="shared" si="4"/>
        <v>7713.8380952380949</v>
      </c>
    </row>
    <row r="36" spans="1:9" ht="15" customHeight="1" thickBot="1">
      <c r="A36" s="97">
        <f t="shared" si="5"/>
        <v>2007</v>
      </c>
      <c r="B36" s="98">
        <f t="shared" si="3"/>
        <v>7609</v>
      </c>
      <c r="C36" s="99">
        <f t="shared" si="6"/>
        <v>5</v>
      </c>
      <c r="D36" s="101" t="s">
        <v>73</v>
      </c>
      <c r="E36" s="101"/>
      <c r="F36" s="100"/>
      <c r="G36" s="270"/>
      <c r="H36" s="100"/>
      <c r="I36" s="102">
        <f t="shared" si="4"/>
        <v>7533.9523809523807</v>
      </c>
    </row>
    <row r="37" spans="1:9" ht="15" customHeight="1" thickTop="1">
      <c r="A37" s="255">
        <f t="shared" si="5"/>
        <v>2008</v>
      </c>
      <c r="B37" s="81">
        <f t="shared" ref="B37:B54" si="7">ROUND(E$32*C37+E$33,0)</f>
        <v>7354</v>
      </c>
      <c r="C37" s="77">
        <f t="shared" si="6"/>
        <v>6</v>
      </c>
      <c r="D37" s="256"/>
      <c r="E37" s="256"/>
      <c r="F37" s="78"/>
      <c r="G37" s="256"/>
      <c r="H37" s="78"/>
      <c r="I37" s="79">
        <f t="shared" si="4"/>
        <v>7354.0666666666666</v>
      </c>
    </row>
    <row r="38" spans="1:9" ht="15" customHeight="1">
      <c r="A38" s="80">
        <v>2009</v>
      </c>
      <c r="B38" s="81">
        <f t="shared" si="7"/>
        <v>7174</v>
      </c>
      <c r="C38" s="67">
        <f t="shared" si="6"/>
        <v>7</v>
      </c>
      <c r="D38" s="69"/>
      <c r="E38" s="69"/>
      <c r="F38" s="69"/>
      <c r="G38" s="69"/>
      <c r="H38" s="69"/>
      <c r="I38" s="70">
        <f t="shared" si="4"/>
        <v>7174.1809523809525</v>
      </c>
    </row>
    <row r="39" spans="1:9" ht="15" customHeight="1">
      <c r="A39" s="186">
        <v>2010</v>
      </c>
      <c r="B39" s="187">
        <f t="shared" si="7"/>
        <v>6994</v>
      </c>
      <c r="C39" s="188">
        <f t="shared" si="6"/>
        <v>8</v>
      </c>
      <c r="D39" s="189"/>
      <c r="E39" s="189"/>
      <c r="F39" s="189"/>
      <c r="G39" s="189"/>
      <c r="H39" s="189"/>
      <c r="I39" s="190">
        <f t="shared" si="4"/>
        <v>6994.2952380952383</v>
      </c>
    </row>
    <row r="40" spans="1:9" ht="15" customHeight="1">
      <c r="A40" s="80">
        <v>2011</v>
      </c>
      <c r="B40" s="81">
        <f t="shared" si="7"/>
        <v>6814</v>
      </c>
      <c r="C40" s="82">
        <f t="shared" si="6"/>
        <v>9</v>
      </c>
      <c r="D40" s="69"/>
      <c r="E40" s="69"/>
      <c r="F40" s="69"/>
      <c r="G40" s="69"/>
      <c r="H40" s="69"/>
      <c r="I40" s="70">
        <f t="shared" si="4"/>
        <v>6814.4095238095233</v>
      </c>
    </row>
    <row r="41" spans="1:9" ht="15" customHeight="1">
      <c r="A41" s="80">
        <v>2012</v>
      </c>
      <c r="B41" s="81">
        <f t="shared" si="7"/>
        <v>6635</v>
      </c>
      <c r="C41" s="82">
        <f t="shared" si="6"/>
        <v>10</v>
      </c>
      <c r="D41" s="69"/>
      <c r="E41" s="69"/>
      <c r="F41" s="69"/>
      <c r="G41" s="69"/>
      <c r="H41" s="69"/>
      <c r="I41" s="70">
        <f t="shared" si="4"/>
        <v>6634.5238095238092</v>
      </c>
    </row>
    <row r="42" spans="1:9" ht="15" customHeight="1">
      <c r="A42" s="80">
        <v>2013</v>
      </c>
      <c r="B42" s="81">
        <f t="shared" si="7"/>
        <v>6455</v>
      </c>
      <c r="C42" s="82">
        <f t="shared" si="6"/>
        <v>11</v>
      </c>
      <c r="D42" s="69"/>
      <c r="E42" s="69"/>
      <c r="F42" s="69"/>
      <c r="G42" s="69"/>
      <c r="H42" s="69"/>
      <c r="I42" s="70">
        <f t="shared" si="4"/>
        <v>6454.638095238095</v>
      </c>
    </row>
    <row r="43" spans="1:9" ht="15" customHeight="1">
      <c r="A43" s="80">
        <v>2014</v>
      </c>
      <c r="B43" s="81">
        <f t="shared" si="7"/>
        <v>6275</v>
      </c>
      <c r="C43" s="82">
        <f t="shared" si="6"/>
        <v>12</v>
      </c>
      <c r="D43" s="69"/>
      <c r="E43" s="69"/>
      <c r="F43" s="69"/>
      <c r="G43" s="69"/>
      <c r="H43" s="69"/>
      <c r="I43" s="70">
        <f t="shared" si="4"/>
        <v>6274.7523809523809</v>
      </c>
    </row>
    <row r="44" spans="1:9" ht="15" customHeight="1">
      <c r="A44" s="186">
        <v>2015</v>
      </c>
      <c r="B44" s="187">
        <f t="shared" si="7"/>
        <v>6095</v>
      </c>
      <c r="C44" s="188">
        <f t="shared" si="6"/>
        <v>13</v>
      </c>
      <c r="D44" s="189"/>
      <c r="E44" s="189"/>
      <c r="F44" s="189"/>
      <c r="G44" s="189"/>
      <c r="H44" s="189"/>
      <c r="I44" s="190">
        <f t="shared" si="4"/>
        <v>6094.8666666666668</v>
      </c>
    </row>
    <row r="45" spans="1:9" ht="15" customHeight="1">
      <c r="A45" s="80">
        <v>2016</v>
      </c>
      <c r="B45" s="81">
        <f t="shared" si="7"/>
        <v>5915</v>
      </c>
      <c r="C45" s="82">
        <f t="shared" si="6"/>
        <v>14</v>
      </c>
      <c r="D45" s="69"/>
      <c r="E45" s="69"/>
      <c r="F45" s="69"/>
      <c r="G45" s="69"/>
      <c r="H45" s="69"/>
      <c r="I45" s="70">
        <f t="shared" si="4"/>
        <v>5914.9809523809527</v>
      </c>
    </row>
    <row r="46" spans="1:9" ht="15" customHeight="1">
      <c r="A46" s="80">
        <v>2017</v>
      </c>
      <c r="B46" s="81">
        <f t="shared" si="7"/>
        <v>5735</v>
      </c>
      <c r="C46" s="82">
        <f t="shared" si="6"/>
        <v>15</v>
      </c>
      <c r="D46" s="69"/>
      <c r="E46" s="69"/>
      <c r="F46" s="69"/>
      <c r="G46" s="69"/>
      <c r="H46" s="69"/>
      <c r="I46" s="70">
        <f t="shared" si="4"/>
        <v>5735.0952380952385</v>
      </c>
    </row>
    <row r="47" spans="1:9" ht="15" customHeight="1">
      <c r="A47" s="80">
        <v>2018</v>
      </c>
      <c r="B47" s="81">
        <f t="shared" si="7"/>
        <v>5555</v>
      </c>
      <c r="C47" s="82">
        <f t="shared" si="6"/>
        <v>16</v>
      </c>
      <c r="D47" s="69"/>
      <c r="E47" s="69"/>
      <c r="F47" s="69"/>
      <c r="G47" s="69"/>
      <c r="H47" s="69"/>
      <c r="I47" s="70">
        <f t="shared" si="4"/>
        <v>5555.2095238095244</v>
      </c>
    </row>
    <row r="48" spans="1:9" ht="15" customHeight="1">
      <c r="A48" s="80">
        <v>2019</v>
      </c>
      <c r="B48" s="81">
        <f t="shared" si="7"/>
        <v>5375</v>
      </c>
      <c r="C48" s="82">
        <f t="shared" si="6"/>
        <v>17</v>
      </c>
      <c r="D48" s="69"/>
      <c r="E48" s="69"/>
      <c r="F48" s="69"/>
      <c r="G48" s="69"/>
      <c r="H48" s="69"/>
      <c r="I48" s="70">
        <f t="shared" si="4"/>
        <v>5375.3238095238103</v>
      </c>
    </row>
    <row r="49" spans="1:11" ht="15" customHeight="1">
      <c r="A49" s="186">
        <v>2020</v>
      </c>
      <c r="B49" s="187">
        <f t="shared" si="7"/>
        <v>5195</v>
      </c>
      <c r="C49" s="188">
        <f t="shared" si="6"/>
        <v>18</v>
      </c>
      <c r="D49" s="189"/>
      <c r="E49" s="189"/>
      <c r="F49" s="189"/>
      <c r="G49" s="189"/>
      <c r="H49" s="189"/>
      <c r="I49" s="190">
        <f t="shared" si="4"/>
        <v>5195.4380952380952</v>
      </c>
    </row>
    <row r="50" spans="1:11" ht="15" customHeight="1">
      <c r="A50" s="80">
        <v>2021</v>
      </c>
      <c r="B50" s="81">
        <f t="shared" si="7"/>
        <v>5016</v>
      </c>
      <c r="C50" s="82">
        <f t="shared" si="6"/>
        <v>19</v>
      </c>
      <c r="D50" s="69"/>
      <c r="E50" s="69"/>
      <c r="F50" s="69"/>
      <c r="G50" s="69"/>
      <c r="H50" s="69"/>
      <c r="I50" s="70">
        <f t="shared" si="4"/>
        <v>5015.5523809523811</v>
      </c>
    </row>
    <row r="51" spans="1:11" ht="15" customHeight="1">
      <c r="A51" s="80">
        <v>2022</v>
      </c>
      <c r="B51" s="81">
        <f t="shared" si="7"/>
        <v>4836</v>
      </c>
      <c r="C51" s="82">
        <f t="shared" si="6"/>
        <v>20</v>
      </c>
      <c r="D51" s="69"/>
      <c r="E51" s="69"/>
      <c r="F51" s="69"/>
      <c r="G51" s="69"/>
      <c r="H51" s="69"/>
      <c r="I51" s="70">
        <f t="shared" si="4"/>
        <v>4835.666666666667</v>
      </c>
    </row>
    <row r="52" spans="1:11" ht="15" customHeight="1">
      <c r="A52" s="80">
        <v>2023</v>
      </c>
      <c r="B52" s="81">
        <f t="shared" si="7"/>
        <v>4656</v>
      </c>
      <c r="C52" s="82">
        <f t="shared" si="6"/>
        <v>21</v>
      </c>
      <c r="D52" s="69"/>
      <c r="E52" s="69"/>
      <c r="F52" s="69"/>
      <c r="G52" s="69"/>
      <c r="H52" s="69"/>
      <c r="I52" s="70">
        <f t="shared" si="4"/>
        <v>4655.7809523809519</v>
      </c>
    </row>
    <row r="53" spans="1:11" ht="15" customHeight="1">
      <c r="A53" s="80">
        <v>2024</v>
      </c>
      <c r="B53" s="81">
        <f t="shared" si="7"/>
        <v>4476</v>
      </c>
      <c r="C53" s="67">
        <f t="shared" si="6"/>
        <v>22</v>
      </c>
      <c r="D53" s="69"/>
      <c r="E53" s="69"/>
      <c r="F53" s="69"/>
      <c r="G53" s="69"/>
      <c r="H53" s="69"/>
      <c r="I53" s="70">
        <f t="shared" si="4"/>
        <v>4475.8952380952378</v>
      </c>
    </row>
    <row r="54" spans="1:11" ht="15" customHeight="1">
      <c r="A54" s="191">
        <v>2025</v>
      </c>
      <c r="B54" s="192">
        <f t="shared" si="7"/>
        <v>4296</v>
      </c>
      <c r="C54" s="193">
        <f t="shared" si="6"/>
        <v>23</v>
      </c>
      <c r="D54" s="195"/>
      <c r="E54" s="195"/>
      <c r="F54" s="195"/>
      <c r="G54" s="195"/>
      <c r="H54" s="195"/>
      <c r="I54" s="197">
        <f t="shared" si="4"/>
        <v>4296.0095238095237</v>
      </c>
    </row>
    <row r="55" spans="1:11" ht="15" customHeight="1">
      <c r="A55" s="56" t="s">
        <v>79</v>
      </c>
      <c r="B55" s="57"/>
    </row>
    <row r="56" spans="1:11" ht="15" customHeight="1">
      <c r="A56" s="58" t="s">
        <v>32</v>
      </c>
      <c r="B56" s="59" t="s">
        <v>40</v>
      </c>
      <c r="C56" s="59" t="s">
        <v>34</v>
      </c>
      <c r="D56" s="59" t="s">
        <v>33</v>
      </c>
      <c r="E56" s="103"/>
      <c r="F56" s="60"/>
      <c r="G56" s="61"/>
      <c r="H56" s="63" t="s">
        <v>292</v>
      </c>
      <c r="I56" s="64">
        <f>RSQ(I58:I63,B58:B63)</f>
        <v>0.97773104396851296</v>
      </c>
    </row>
    <row r="57" spans="1:11" ht="15" customHeight="1">
      <c r="A57" s="65">
        <v>2002</v>
      </c>
      <c r="B57" s="104">
        <f t="shared" ref="B57:B62" si="8">B5</f>
        <v>8501</v>
      </c>
      <c r="C57" s="105">
        <f t="shared" ref="C57:C80" si="9">LN(B57)</f>
        <v>9.0479390826173596</v>
      </c>
      <c r="D57" s="67">
        <v>0</v>
      </c>
      <c r="E57" s="106"/>
      <c r="F57" s="53"/>
      <c r="G57" s="69"/>
      <c r="H57" s="265"/>
      <c r="I57" s="109">
        <f t="shared" ref="I57:I80" si="10">ROUND($F$59*(1+$F$58)^(D57),1)</f>
        <v>8501</v>
      </c>
    </row>
    <row r="58" spans="1:11" ht="15" customHeight="1">
      <c r="A58" s="65">
        <f t="shared" ref="A58:A63" si="11">A6</f>
        <v>2003</v>
      </c>
      <c r="B58" s="104">
        <f t="shared" si="8"/>
        <v>8223</v>
      </c>
      <c r="C58" s="105">
        <f t="shared" si="9"/>
        <v>9.0146903849708959</v>
      </c>
      <c r="D58" s="67">
        <f>+D57+1</f>
        <v>1</v>
      </c>
      <c r="E58" s="106" t="s">
        <v>37</v>
      </c>
      <c r="F58" s="73">
        <f>ROUND((B62/B57)^(1/D62)-1,5)</f>
        <v>-2.1930000000000002E-2</v>
      </c>
      <c r="G58" s="107"/>
      <c r="H58" s="108"/>
      <c r="I58" s="109">
        <f t="shared" si="10"/>
        <v>8314.6</v>
      </c>
    </row>
    <row r="59" spans="1:11" ht="15" customHeight="1">
      <c r="A59" s="65">
        <f t="shared" si="11"/>
        <v>2004</v>
      </c>
      <c r="B59" s="104">
        <f t="shared" si="8"/>
        <v>8067</v>
      </c>
      <c r="C59" s="105">
        <f t="shared" si="9"/>
        <v>8.9955369449369744</v>
      </c>
      <c r="D59" s="67">
        <f t="shared" ref="D59:D80" si="12">D58+1</f>
        <v>2</v>
      </c>
      <c r="E59" s="106" t="s">
        <v>80</v>
      </c>
      <c r="F59" s="110">
        <f>B57</f>
        <v>8501</v>
      </c>
      <c r="G59" s="107"/>
      <c r="H59" s="108"/>
      <c r="I59" s="109">
        <f t="shared" si="10"/>
        <v>8132.2</v>
      </c>
      <c r="K59" s="111"/>
    </row>
    <row r="60" spans="1:11" ht="15" customHeight="1">
      <c r="A60" s="65">
        <f t="shared" si="11"/>
        <v>2005</v>
      </c>
      <c r="B60" s="104">
        <f t="shared" si="8"/>
        <v>7803</v>
      </c>
      <c r="C60" s="105">
        <f t="shared" si="9"/>
        <v>8.9622635541167615</v>
      </c>
      <c r="D60" s="67">
        <f t="shared" si="12"/>
        <v>3</v>
      </c>
      <c r="E60" s="106" t="s">
        <v>77</v>
      </c>
      <c r="F60" s="73">
        <f>I56</f>
        <v>0.97773104396851296</v>
      </c>
      <c r="G60" s="108"/>
      <c r="H60" s="108"/>
      <c r="I60" s="109">
        <f t="shared" si="10"/>
        <v>7953.9</v>
      </c>
    </row>
    <row r="61" spans="1:11" ht="15" customHeight="1">
      <c r="A61" s="65">
        <f t="shared" si="11"/>
        <v>2006</v>
      </c>
      <c r="B61" s="104">
        <f t="shared" si="8"/>
        <v>7699</v>
      </c>
      <c r="C61" s="105">
        <f t="shared" si="9"/>
        <v>8.9488457292780499</v>
      </c>
      <c r="D61" s="67">
        <f t="shared" si="12"/>
        <v>4</v>
      </c>
      <c r="E61" s="106"/>
      <c r="F61" s="73"/>
      <c r="G61" s="108"/>
      <c r="H61" s="108"/>
      <c r="I61" s="109">
        <f t="shared" si="10"/>
        <v>7779.5</v>
      </c>
    </row>
    <row r="62" spans="1:11" ht="15" customHeight="1" thickBot="1">
      <c r="A62" s="97">
        <f t="shared" si="11"/>
        <v>2007</v>
      </c>
      <c r="B62" s="116">
        <f t="shared" si="8"/>
        <v>7609</v>
      </c>
      <c r="C62" s="117">
        <f t="shared" si="9"/>
        <v>8.9370870361765231</v>
      </c>
      <c r="D62" s="99">
        <f t="shared" si="12"/>
        <v>5</v>
      </c>
      <c r="E62" s="205" t="s">
        <v>81</v>
      </c>
      <c r="F62" s="271"/>
      <c r="G62" s="118"/>
      <c r="H62" s="118"/>
      <c r="I62" s="120">
        <f t="shared" si="10"/>
        <v>7608.9</v>
      </c>
    </row>
    <row r="63" spans="1:11" ht="15" customHeight="1" thickTop="1">
      <c r="A63" s="255">
        <f t="shared" si="11"/>
        <v>2008</v>
      </c>
      <c r="B63" s="81">
        <f t="shared" ref="B63:B80" si="13">ROUND(F$59*(1+F$58)^D63,0)</f>
        <v>7442</v>
      </c>
      <c r="C63" s="121">
        <f t="shared" si="9"/>
        <v>8.9148949089065681</v>
      </c>
      <c r="D63" s="77">
        <f t="shared" si="12"/>
        <v>6</v>
      </c>
      <c r="E63" s="272"/>
      <c r="F63" s="273"/>
      <c r="G63" s="259"/>
      <c r="H63" s="259"/>
      <c r="I63" s="123">
        <f t="shared" si="10"/>
        <v>7442</v>
      </c>
    </row>
    <row r="64" spans="1:11" ht="15" customHeight="1">
      <c r="A64" s="80">
        <v>2009</v>
      </c>
      <c r="B64" s="81">
        <f t="shared" si="13"/>
        <v>7279</v>
      </c>
      <c r="C64" s="105">
        <f t="shared" si="9"/>
        <v>8.8927487691182581</v>
      </c>
      <c r="D64" s="67">
        <f t="shared" si="12"/>
        <v>7</v>
      </c>
      <c r="E64" s="83"/>
      <c r="F64" s="69"/>
      <c r="G64" s="69"/>
      <c r="H64" s="69"/>
      <c r="I64" s="109">
        <f t="shared" si="10"/>
        <v>7278.8</v>
      </c>
    </row>
    <row r="65" spans="1:9" ht="15" customHeight="1">
      <c r="A65" s="186">
        <v>2010</v>
      </c>
      <c r="B65" s="187">
        <f t="shared" si="13"/>
        <v>7119</v>
      </c>
      <c r="C65" s="198">
        <f t="shared" si="9"/>
        <v>8.8705225451038725</v>
      </c>
      <c r="D65" s="199">
        <f t="shared" si="12"/>
        <v>8</v>
      </c>
      <c r="E65" s="200"/>
      <c r="F65" s="189"/>
      <c r="G65" s="189"/>
      <c r="H65" s="189"/>
      <c r="I65" s="201">
        <f t="shared" si="10"/>
        <v>7119.2</v>
      </c>
    </row>
    <row r="66" spans="1:9" ht="15" customHeight="1">
      <c r="A66" s="80">
        <v>2011</v>
      </c>
      <c r="B66" s="81">
        <f t="shared" si="13"/>
        <v>6963</v>
      </c>
      <c r="C66" s="105">
        <f t="shared" si="9"/>
        <v>8.8483656949425473</v>
      </c>
      <c r="D66" s="67">
        <f t="shared" si="12"/>
        <v>9</v>
      </c>
      <c r="E66" s="83"/>
      <c r="F66" s="69"/>
      <c r="G66" s="69"/>
      <c r="H66" s="69"/>
      <c r="I66" s="109">
        <f t="shared" si="10"/>
        <v>6963</v>
      </c>
    </row>
    <row r="67" spans="1:9" ht="15" customHeight="1">
      <c r="A67" s="80">
        <v>2012</v>
      </c>
      <c r="B67" s="81">
        <f t="shared" si="13"/>
        <v>6810</v>
      </c>
      <c r="C67" s="105">
        <f t="shared" si="9"/>
        <v>8.8261473991435579</v>
      </c>
      <c r="D67" s="67">
        <f t="shared" si="12"/>
        <v>10</v>
      </c>
      <c r="E67" s="83"/>
      <c r="F67" s="69"/>
      <c r="G67" s="69"/>
      <c r="H67" s="69"/>
      <c r="I67" s="109">
        <f t="shared" si="10"/>
        <v>6810.3</v>
      </c>
    </row>
    <row r="68" spans="1:9" ht="15" customHeight="1">
      <c r="A68" s="80">
        <v>2013</v>
      </c>
      <c r="B68" s="81">
        <f t="shared" si="13"/>
        <v>6661</v>
      </c>
      <c r="C68" s="105">
        <f t="shared" si="9"/>
        <v>8.8040249024131789</v>
      </c>
      <c r="D68" s="67">
        <f t="shared" si="12"/>
        <v>11</v>
      </c>
      <c r="E68" s="83"/>
      <c r="F68" s="69"/>
      <c r="G68" s="69"/>
      <c r="H68" s="69"/>
      <c r="I68" s="109">
        <f t="shared" si="10"/>
        <v>6661</v>
      </c>
    </row>
    <row r="69" spans="1:9" ht="15" customHeight="1">
      <c r="A69" s="80">
        <v>2014</v>
      </c>
      <c r="B69" s="81">
        <f t="shared" si="13"/>
        <v>6515</v>
      </c>
      <c r="C69" s="105">
        <f t="shared" si="9"/>
        <v>8.7818624895589448</v>
      </c>
      <c r="D69" s="67">
        <f t="shared" si="12"/>
        <v>12</v>
      </c>
      <c r="E69" s="83"/>
      <c r="F69" s="69"/>
      <c r="G69" s="69"/>
      <c r="H69" s="69"/>
      <c r="I69" s="109">
        <f t="shared" si="10"/>
        <v>6514.9</v>
      </c>
    </row>
    <row r="70" spans="1:9" ht="15" customHeight="1">
      <c r="A70" s="186">
        <v>2015</v>
      </c>
      <c r="B70" s="187">
        <f t="shared" si="13"/>
        <v>6372</v>
      </c>
      <c r="C70" s="198">
        <f t="shared" si="9"/>
        <v>8.7596686710299387</v>
      </c>
      <c r="D70" s="199">
        <f t="shared" si="12"/>
        <v>13</v>
      </c>
      <c r="E70" s="200"/>
      <c r="F70" s="189"/>
      <c r="G70" s="189"/>
      <c r="H70" s="189"/>
      <c r="I70" s="201">
        <f t="shared" si="10"/>
        <v>6372.1</v>
      </c>
    </row>
    <row r="71" spans="1:9" ht="15" customHeight="1">
      <c r="A71" s="80">
        <v>2016</v>
      </c>
      <c r="B71" s="81">
        <f t="shared" si="13"/>
        <v>6232</v>
      </c>
      <c r="C71" s="105">
        <f t="shared" si="9"/>
        <v>8.7374525875505835</v>
      </c>
      <c r="D71" s="67">
        <f t="shared" si="12"/>
        <v>14</v>
      </c>
      <c r="E71" s="83"/>
      <c r="F71" s="69"/>
      <c r="G71" s="69"/>
      <c r="H71" s="69"/>
      <c r="I71" s="109">
        <f t="shared" si="10"/>
        <v>6232.3</v>
      </c>
    </row>
    <row r="72" spans="1:9" ht="15" customHeight="1">
      <c r="A72" s="80">
        <v>2017</v>
      </c>
      <c r="B72" s="81">
        <f t="shared" si="13"/>
        <v>6096</v>
      </c>
      <c r="C72" s="105">
        <f t="shared" si="9"/>
        <v>8.7153880973664819</v>
      </c>
      <c r="D72" s="67">
        <f t="shared" si="12"/>
        <v>15</v>
      </c>
      <c r="E72" s="83"/>
      <c r="F72" s="69"/>
      <c r="G72" s="69"/>
      <c r="H72" s="69"/>
      <c r="I72" s="109">
        <f t="shared" si="10"/>
        <v>6095.6</v>
      </c>
    </row>
    <row r="73" spans="1:9" ht="15" customHeight="1">
      <c r="A73" s="80">
        <v>2018</v>
      </c>
      <c r="B73" s="81">
        <f t="shared" si="13"/>
        <v>5962</v>
      </c>
      <c r="C73" s="105">
        <f t="shared" si="9"/>
        <v>8.6931612742380171</v>
      </c>
      <c r="D73" s="67">
        <f t="shared" si="12"/>
        <v>16</v>
      </c>
      <c r="E73" s="83"/>
      <c r="F73" s="69"/>
      <c r="G73" s="69"/>
      <c r="H73" s="69"/>
      <c r="I73" s="109">
        <f t="shared" si="10"/>
        <v>5962</v>
      </c>
    </row>
    <row r="74" spans="1:9" ht="15" customHeight="1">
      <c r="A74" s="80">
        <v>2019</v>
      </c>
      <c r="B74" s="81">
        <f t="shared" si="13"/>
        <v>5831</v>
      </c>
      <c r="C74" s="105">
        <f t="shared" si="9"/>
        <v>8.6709437912221556</v>
      </c>
      <c r="D74" s="67">
        <f t="shared" si="12"/>
        <v>17</v>
      </c>
      <c r="E74" s="83"/>
      <c r="F74" s="69"/>
      <c r="G74" s="69"/>
      <c r="H74" s="69"/>
      <c r="I74" s="109">
        <f t="shared" si="10"/>
        <v>5831.2</v>
      </c>
    </row>
    <row r="75" spans="1:9" ht="15" customHeight="1">
      <c r="A75" s="186">
        <v>2020</v>
      </c>
      <c r="B75" s="187">
        <f t="shared" si="13"/>
        <v>5703</v>
      </c>
      <c r="C75" s="198">
        <f t="shared" si="9"/>
        <v>8.6487476311565388</v>
      </c>
      <c r="D75" s="199">
        <f t="shared" si="12"/>
        <v>18</v>
      </c>
      <c r="E75" s="200"/>
      <c r="F75" s="189"/>
      <c r="G75" s="189"/>
      <c r="H75" s="189"/>
      <c r="I75" s="201">
        <f t="shared" si="10"/>
        <v>5703.3</v>
      </c>
    </row>
    <row r="76" spans="1:9" ht="15" customHeight="1">
      <c r="A76" s="80">
        <v>2021</v>
      </c>
      <c r="B76" s="81">
        <f t="shared" si="13"/>
        <v>5578</v>
      </c>
      <c r="C76" s="105">
        <f t="shared" si="9"/>
        <v>8.6265855681874335</v>
      </c>
      <c r="D76" s="67">
        <f t="shared" si="12"/>
        <v>19</v>
      </c>
      <c r="E76" s="83"/>
      <c r="F76" s="69"/>
      <c r="G76" s="69"/>
      <c r="H76" s="69"/>
      <c r="I76" s="109">
        <f t="shared" si="10"/>
        <v>5578.3</v>
      </c>
    </row>
    <row r="77" spans="1:9" ht="15" customHeight="1">
      <c r="A77" s="80">
        <v>2022</v>
      </c>
      <c r="B77" s="81">
        <f t="shared" si="13"/>
        <v>5456</v>
      </c>
      <c r="C77" s="105">
        <f t="shared" si="9"/>
        <v>8.6044711995232976</v>
      </c>
      <c r="D77" s="67">
        <f t="shared" si="12"/>
        <v>20</v>
      </c>
      <c r="E77" s="83"/>
      <c r="F77" s="69"/>
      <c r="G77" s="69"/>
      <c r="H77" s="69"/>
      <c r="I77" s="109">
        <f t="shared" si="10"/>
        <v>5455.9</v>
      </c>
    </row>
    <row r="78" spans="1:9" ht="15" customHeight="1">
      <c r="A78" s="80">
        <v>2023</v>
      </c>
      <c r="B78" s="81">
        <f t="shared" si="13"/>
        <v>5336</v>
      </c>
      <c r="C78" s="105">
        <f t="shared" si="9"/>
        <v>8.5822315875954605</v>
      </c>
      <c r="D78" s="67">
        <f t="shared" si="12"/>
        <v>21</v>
      </c>
      <c r="E78" s="83"/>
      <c r="F78" s="69"/>
      <c r="G78" s="69"/>
      <c r="H78" s="69"/>
      <c r="I78" s="109">
        <f t="shared" si="10"/>
        <v>5336.3</v>
      </c>
    </row>
    <row r="79" spans="1:9" ht="15" customHeight="1">
      <c r="A79" s="80">
        <v>2024</v>
      </c>
      <c r="B79" s="81">
        <f t="shared" si="13"/>
        <v>5219</v>
      </c>
      <c r="C79" s="105">
        <f t="shared" si="9"/>
        <v>8.5600610916434139</v>
      </c>
      <c r="D79" s="67">
        <f t="shared" si="12"/>
        <v>22</v>
      </c>
      <c r="E79" s="69"/>
      <c r="F79" s="69"/>
      <c r="G79" s="69"/>
      <c r="H79" s="69"/>
      <c r="I79" s="109">
        <f t="shared" si="10"/>
        <v>5219.3</v>
      </c>
    </row>
    <row r="80" spans="1:9" ht="15" customHeight="1">
      <c r="A80" s="191">
        <v>2025</v>
      </c>
      <c r="B80" s="192">
        <f t="shared" si="13"/>
        <v>5105</v>
      </c>
      <c r="C80" s="202">
        <f t="shared" si="9"/>
        <v>8.5379757305987667</v>
      </c>
      <c r="D80" s="193">
        <f t="shared" si="12"/>
        <v>23</v>
      </c>
      <c r="E80" s="195"/>
      <c r="F80" s="195"/>
      <c r="G80" s="195"/>
      <c r="H80" s="195"/>
      <c r="I80" s="203">
        <f t="shared" si="10"/>
        <v>5104.8</v>
      </c>
    </row>
    <row r="81" spans="1:9" ht="15" customHeight="1">
      <c r="A81" s="56" t="s">
        <v>82</v>
      </c>
      <c r="B81" s="57"/>
    </row>
    <row r="82" spans="1:9" ht="15" customHeight="1">
      <c r="A82" s="58" t="s">
        <v>32</v>
      </c>
      <c r="B82" s="59" t="s">
        <v>40</v>
      </c>
      <c r="C82" s="59" t="s">
        <v>83</v>
      </c>
      <c r="D82" s="59" t="s">
        <v>33</v>
      </c>
      <c r="E82" s="59" t="s">
        <v>35</v>
      </c>
      <c r="F82" s="103"/>
      <c r="G82" s="60"/>
      <c r="H82" s="63" t="s">
        <v>292</v>
      </c>
      <c r="I82" s="64" t="e">
        <f>RSQ(I83:I88,B83:B88)</f>
        <v>#VALUE!</v>
      </c>
    </row>
    <row r="83" spans="1:9" ht="15" customHeight="1">
      <c r="A83" s="65">
        <v>2002</v>
      </c>
      <c r="B83" s="104">
        <f t="shared" ref="B83:B88" si="14">B5</f>
        <v>8501</v>
      </c>
      <c r="C83" s="67"/>
      <c r="D83" s="67">
        <v>0</v>
      </c>
      <c r="E83" s="67"/>
      <c r="F83" s="106"/>
      <c r="G83" s="53"/>
      <c r="H83" s="265"/>
      <c r="I83" s="277" t="e">
        <f>$B$83+$G$88*D83^$G$84</f>
        <v>#VALUE!</v>
      </c>
    </row>
    <row r="84" spans="1:9" ht="15" customHeight="1">
      <c r="A84" s="65">
        <f t="shared" ref="A84:A89" si="15">A6</f>
        <v>2003</v>
      </c>
      <c r="B84" s="104">
        <f t="shared" si="14"/>
        <v>8223</v>
      </c>
      <c r="C84" s="126" t="e">
        <f>LN(-B$83+B84)</f>
        <v>#NUM!</v>
      </c>
      <c r="D84" s="67">
        <f>+D83+1</f>
        <v>1</v>
      </c>
      <c r="E84" s="67">
        <f>LN(D84)</f>
        <v>0</v>
      </c>
      <c r="F84" s="106" t="s">
        <v>75</v>
      </c>
      <c r="G84" s="73" t="e">
        <f>INDEX(LINEST(C84:C88,E84:E88),1)</f>
        <v>#VALUE!</v>
      </c>
      <c r="H84" s="127"/>
      <c r="I84" s="278" t="e">
        <f>$B$83+$G$88*D84^$G$84</f>
        <v>#VALUE!</v>
      </c>
    </row>
    <row r="85" spans="1:9" ht="15" customHeight="1">
      <c r="A85" s="65">
        <f t="shared" si="15"/>
        <v>2004</v>
      </c>
      <c r="B85" s="104">
        <f t="shared" si="14"/>
        <v>8067</v>
      </c>
      <c r="C85" s="126" t="e">
        <f>LN(-B$83+B85)</f>
        <v>#NUM!</v>
      </c>
      <c r="D85" s="67">
        <f t="shared" ref="D85:D106" si="16">D84+1</f>
        <v>2</v>
      </c>
      <c r="E85" s="67">
        <f>LN(D85)</f>
        <v>0.69314718055994529</v>
      </c>
      <c r="F85" s="106" t="s">
        <v>76</v>
      </c>
      <c r="G85" s="73" t="e">
        <f>INDEX(LINEST(C84:C88,E84:E88),2)</f>
        <v>#VALUE!</v>
      </c>
      <c r="H85" s="129" t="s">
        <v>293</v>
      </c>
      <c r="I85" s="128" t="e">
        <f t="shared" ref="I85:I106" si="17">$B$84+$G$88*D85^$G$84</f>
        <v>#VALUE!</v>
      </c>
    </row>
    <row r="86" spans="1:9" ht="15" customHeight="1">
      <c r="A86" s="65">
        <f t="shared" si="15"/>
        <v>2005</v>
      </c>
      <c r="B86" s="104">
        <f t="shared" si="14"/>
        <v>7803</v>
      </c>
      <c r="C86" s="126" t="e">
        <f>LN(-B$83+B86)</f>
        <v>#NUM!</v>
      </c>
      <c r="D86" s="67">
        <f t="shared" si="16"/>
        <v>3</v>
      </c>
      <c r="E86" s="67">
        <f>LN(D86)</f>
        <v>1.0986122886681098</v>
      </c>
      <c r="F86" s="69"/>
      <c r="G86" s="130"/>
      <c r="H86" s="127"/>
      <c r="I86" s="128" t="e">
        <f t="shared" si="17"/>
        <v>#VALUE!</v>
      </c>
    </row>
    <row r="87" spans="1:9" ht="15" customHeight="1">
      <c r="A87" s="65">
        <f t="shared" si="15"/>
        <v>2006</v>
      </c>
      <c r="B87" s="104">
        <f t="shared" si="14"/>
        <v>7699</v>
      </c>
      <c r="C87" s="126" t="e">
        <f>LN(-B$83+B87)</f>
        <v>#NUM!</v>
      </c>
      <c r="D87" s="67">
        <f t="shared" si="16"/>
        <v>4</v>
      </c>
      <c r="E87" s="67">
        <f>LN(D87)</f>
        <v>1.3862943611198906</v>
      </c>
      <c r="F87" s="106" t="s">
        <v>77</v>
      </c>
      <c r="G87" s="73" t="e">
        <f>I82</f>
        <v>#VALUE!</v>
      </c>
      <c r="H87" s="127"/>
      <c r="I87" s="128" t="e">
        <f t="shared" si="17"/>
        <v>#VALUE!</v>
      </c>
    </row>
    <row r="88" spans="1:9" ht="15" customHeight="1" thickBot="1">
      <c r="A88" s="97">
        <f t="shared" si="15"/>
        <v>2007</v>
      </c>
      <c r="B88" s="116">
        <f t="shared" si="14"/>
        <v>7609</v>
      </c>
      <c r="C88" s="141" t="e">
        <f>LN(-B$83+B88)</f>
        <v>#NUM!</v>
      </c>
      <c r="D88" s="99">
        <f t="shared" si="16"/>
        <v>5</v>
      </c>
      <c r="E88" s="99">
        <f>LN(D88)</f>
        <v>1.6094379124341003</v>
      </c>
      <c r="F88" s="205" t="s">
        <v>38</v>
      </c>
      <c r="G88" s="274" t="e">
        <f>EXP(G85)</f>
        <v>#VALUE!</v>
      </c>
      <c r="H88" s="143"/>
      <c r="I88" s="144" t="e">
        <f t="shared" si="17"/>
        <v>#VALUE!</v>
      </c>
    </row>
    <row r="89" spans="1:9" ht="15" customHeight="1" thickTop="1">
      <c r="A89" s="255">
        <f t="shared" si="15"/>
        <v>2008</v>
      </c>
      <c r="B89" s="81" t="e">
        <f t="shared" ref="B89:B106" si="18">ROUND(LOOKUP(0,D$83:D$88,B$83:B$88)+G$88*D89^G$84,0)</f>
        <v>#VALUE!</v>
      </c>
      <c r="C89" s="257"/>
      <c r="D89" s="77">
        <f t="shared" si="16"/>
        <v>6</v>
      </c>
      <c r="E89" s="77"/>
      <c r="F89" s="275"/>
      <c r="G89" s="256"/>
      <c r="H89" s="258"/>
      <c r="I89" s="133" t="e">
        <f t="shared" si="17"/>
        <v>#VALUE!</v>
      </c>
    </row>
    <row r="90" spans="1:9" ht="15" customHeight="1">
      <c r="A90" s="80">
        <v>2009</v>
      </c>
      <c r="B90" s="81" t="e">
        <f t="shared" si="18"/>
        <v>#VALUE!</v>
      </c>
      <c r="C90" s="126"/>
      <c r="D90" s="67">
        <f t="shared" si="16"/>
        <v>7</v>
      </c>
      <c r="E90" s="67"/>
      <c r="F90" s="83"/>
      <c r="G90" s="69"/>
      <c r="H90" s="84"/>
      <c r="I90" s="128" t="e">
        <f t="shared" si="17"/>
        <v>#VALUE!</v>
      </c>
    </row>
    <row r="91" spans="1:9" ht="15" customHeight="1">
      <c r="A91" s="80">
        <v>2010</v>
      </c>
      <c r="B91" s="81" t="e">
        <f t="shared" si="18"/>
        <v>#VALUE!</v>
      </c>
      <c r="C91" s="126"/>
      <c r="D91" s="67">
        <f t="shared" si="16"/>
        <v>8</v>
      </c>
      <c r="E91" s="67"/>
      <c r="F91" s="83"/>
      <c r="G91" s="69"/>
      <c r="H91" s="84"/>
      <c r="I91" s="128" t="e">
        <f t="shared" si="17"/>
        <v>#VALUE!</v>
      </c>
    </row>
    <row r="92" spans="1:9" ht="15" customHeight="1">
      <c r="A92" s="80">
        <v>2011</v>
      </c>
      <c r="B92" s="81" t="e">
        <f t="shared" si="18"/>
        <v>#VALUE!</v>
      </c>
      <c r="C92" s="126"/>
      <c r="D92" s="67">
        <f t="shared" si="16"/>
        <v>9</v>
      </c>
      <c r="E92" s="67"/>
      <c r="F92" s="83"/>
      <c r="G92" s="69"/>
      <c r="H92" s="84"/>
      <c r="I92" s="128" t="e">
        <f t="shared" si="17"/>
        <v>#VALUE!</v>
      </c>
    </row>
    <row r="93" spans="1:9" ht="15" customHeight="1">
      <c r="A93" s="80">
        <v>2012</v>
      </c>
      <c r="B93" s="81" t="e">
        <f t="shared" si="18"/>
        <v>#VALUE!</v>
      </c>
      <c r="C93" s="126"/>
      <c r="D93" s="67">
        <f t="shared" si="16"/>
        <v>10</v>
      </c>
      <c r="E93" s="67"/>
      <c r="F93" s="83"/>
      <c r="G93" s="69"/>
      <c r="H93" s="84"/>
      <c r="I93" s="128" t="e">
        <f t="shared" si="17"/>
        <v>#VALUE!</v>
      </c>
    </row>
    <row r="94" spans="1:9" ht="15" customHeight="1">
      <c r="A94" s="80">
        <v>2013</v>
      </c>
      <c r="B94" s="81" t="e">
        <f t="shared" si="18"/>
        <v>#VALUE!</v>
      </c>
      <c r="C94" s="126"/>
      <c r="D94" s="67">
        <f t="shared" si="16"/>
        <v>11</v>
      </c>
      <c r="E94" s="67"/>
      <c r="F94" s="83"/>
      <c r="G94" s="69"/>
      <c r="H94" s="84"/>
      <c r="I94" s="128" t="e">
        <f t="shared" si="17"/>
        <v>#VALUE!</v>
      </c>
    </row>
    <row r="95" spans="1:9" ht="15" customHeight="1">
      <c r="A95" s="80">
        <v>2014</v>
      </c>
      <c r="B95" s="81" t="e">
        <f t="shared" si="18"/>
        <v>#VALUE!</v>
      </c>
      <c r="C95" s="126"/>
      <c r="D95" s="67">
        <f t="shared" si="16"/>
        <v>12</v>
      </c>
      <c r="E95" s="67"/>
      <c r="F95" s="83"/>
      <c r="G95" s="69"/>
      <c r="H95" s="84"/>
      <c r="I95" s="128" t="e">
        <f t="shared" si="17"/>
        <v>#VALUE!</v>
      </c>
    </row>
    <row r="96" spans="1:9" ht="15" customHeight="1">
      <c r="A96" s="80">
        <v>2015</v>
      </c>
      <c r="B96" s="81" t="e">
        <f t="shared" si="18"/>
        <v>#VALUE!</v>
      </c>
      <c r="C96" s="126"/>
      <c r="D96" s="67">
        <f t="shared" si="16"/>
        <v>13</v>
      </c>
      <c r="E96" s="67"/>
      <c r="F96" s="83"/>
      <c r="G96" s="69"/>
      <c r="H96" s="84"/>
      <c r="I96" s="128" t="e">
        <f t="shared" si="17"/>
        <v>#VALUE!</v>
      </c>
    </row>
    <row r="97" spans="1:9" ht="15" customHeight="1">
      <c r="A97" s="80">
        <v>2016</v>
      </c>
      <c r="B97" s="81" t="e">
        <f t="shared" si="18"/>
        <v>#VALUE!</v>
      </c>
      <c r="C97" s="126"/>
      <c r="D97" s="67">
        <f t="shared" si="16"/>
        <v>14</v>
      </c>
      <c r="E97" s="67"/>
      <c r="F97" s="83"/>
      <c r="G97" s="69"/>
      <c r="H97" s="84"/>
      <c r="I97" s="128" t="e">
        <f t="shared" si="17"/>
        <v>#VALUE!</v>
      </c>
    </row>
    <row r="98" spans="1:9" ht="15" customHeight="1">
      <c r="A98" s="80">
        <v>2017</v>
      </c>
      <c r="B98" s="81" t="e">
        <f t="shared" si="18"/>
        <v>#VALUE!</v>
      </c>
      <c r="C98" s="126"/>
      <c r="D98" s="67">
        <f t="shared" si="16"/>
        <v>15</v>
      </c>
      <c r="E98" s="67"/>
      <c r="F98" s="83"/>
      <c r="G98" s="69"/>
      <c r="H98" s="84"/>
      <c r="I98" s="128" t="e">
        <f t="shared" si="17"/>
        <v>#VALUE!</v>
      </c>
    </row>
    <row r="99" spans="1:9" ht="15" customHeight="1">
      <c r="A99" s="80">
        <v>2018</v>
      </c>
      <c r="B99" s="81" t="e">
        <f t="shared" si="18"/>
        <v>#VALUE!</v>
      </c>
      <c r="C99" s="126"/>
      <c r="D99" s="67">
        <f t="shared" si="16"/>
        <v>16</v>
      </c>
      <c r="E99" s="67"/>
      <c r="F99" s="83"/>
      <c r="G99" s="69"/>
      <c r="H99" s="84"/>
      <c r="I99" s="128" t="e">
        <f t="shared" si="17"/>
        <v>#VALUE!</v>
      </c>
    </row>
    <row r="100" spans="1:9" ht="15" customHeight="1">
      <c r="A100" s="80">
        <v>2019</v>
      </c>
      <c r="B100" s="81" t="e">
        <f t="shared" si="18"/>
        <v>#VALUE!</v>
      </c>
      <c r="C100" s="126"/>
      <c r="D100" s="67">
        <f t="shared" si="16"/>
        <v>17</v>
      </c>
      <c r="E100" s="67"/>
      <c r="F100" s="83"/>
      <c r="G100" s="69"/>
      <c r="H100" s="84"/>
      <c r="I100" s="128" t="e">
        <f t="shared" si="17"/>
        <v>#VALUE!</v>
      </c>
    </row>
    <row r="101" spans="1:9" ht="15" customHeight="1">
      <c r="A101" s="80">
        <v>2020</v>
      </c>
      <c r="B101" s="81" t="e">
        <f t="shared" si="18"/>
        <v>#VALUE!</v>
      </c>
      <c r="C101" s="126"/>
      <c r="D101" s="67">
        <f t="shared" si="16"/>
        <v>18</v>
      </c>
      <c r="E101" s="67"/>
      <c r="F101" s="83"/>
      <c r="G101" s="69"/>
      <c r="H101" s="84"/>
      <c r="I101" s="128" t="e">
        <f t="shared" si="17"/>
        <v>#VALUE!</v>
      </c>
    </row>
    <row r="102" spans="1:9" ht="15" customHeight="1">
      <c r="A102" s="80">
        <v>2021</v>
      </c>
      <c r="B102" s="81" t="e">
        <f t="shared" si="18"/>
        <v>#VALUE!</v>
      </c>
      <c r="C102" s="126"/>
      <c r="D102" s="67">
        <f t="shared" si="16"/>
        <v>19</v>
      </c>
      <c r="E102" s="67"/>
      <c r="F102" s="83"/>
      <c r="G102" s="69"/>
      <c r="H102" s="84"/>
      <c r="I102" s="128" t="e">
        <f t="shared" si="17"/>
        <v>#VALUE!</v>
      </c>
    </row>
    <row r="103" spans="1:9" ht="15" customHeight="1">
      <c r="A103" s="80">
        <v>2022</v>
      </c>
      <c r="B103" s="81" t="e">
        <f t="shared" si="18"/>
        <v>#VALUE!</v>
      </c>
      <c r="C103" s="126"/>
      <c r="D103" s="67">
        <f t="shared" si="16"/>
        <v>20</v>
      </c>
      <c r="E103" s="67"/>
      <c r="F103" s="83"/>
      <c r="G103" s="69"/>
      <c r="H103" s="84"/>
      <c r="I103" s="128" t="e">
        <f t="shared" si="17"/>
        <v>#VALUE!</v>
      </c>
    </row>
    <row r="104" spans="1:9" ht="15" customHeight="1">
      <c r="A104" s="80">
        <v>2023</v>
      </c>
      <c r="B104" s="81" t="e">
        <f t="shared" si="18"/>
        <v>#VALUE!</v>
      </c>
      <c r="C104" s="126"/>
      <c r="D104" s="67">
        <f t="shared" si="16"/>
        <v>21</v>
      </c>
      <c r="E104" s="67"/>
      <c r="F104" s="83"/>
      <c r="G104" s="69"/>
      <c r="H104" s="84"/>
      <c r="I104" s="128" t="e">
        <f t="shared" si="17"/>
        <v>#VALUE!</v>
      </c>
    </row>
    <row r="105" spans="1:9" ht="15" customHeight="1">
      <c r="A105" s="80">
        <v>2024</v>
      </c>
      <c r="B105" s="81" t="e">
        <f t="shared" si="18"/>
        <v>#VALUE!</v>
      </c>
      <c r="C105" s="126"/>
      <c r="D105" s="67">
        <f t="shared" si="16"/>
        <v>22</v>
      </c>
      <c r="E105" s="67"/>
      <c r="F105" s="69"/>
      <c r="G105" s="69"/>
      <c r="H105" s="69"/>
      <c r="I105" s="136" t="e">
        <f t="shared" si="17"/>
        <v>#VALUE!</v>
      </c>
    </row>
    <row r="106" spans="1:9" ht="15" customHeight="1">
      <c r="A106" s="85">
        <v>2025</v>
      </c>
      <c r="B106" s="81" t="e">
        <f t="shared" si="18"/>
        <v>#VALUE!</v>
      </c>
      <c r="C106" s="204"/>
      <c r="D106" s="87">
        <f t="shared" si="16"/>
        <v>23</v>
      </c>
      <c r="E106" s="87"/>
      <c r="F106" s="89"/>
      <c r="G106" s="89"/>
      <c r="H106" s="89"/>
      <c r="I106" s="138" t="e">
        <f t="shared" si="17"/>
        <v>#VALUE!</v>
      </c>
    </row>
    <row r="107" spans="1:9" ht="15" customHeight="1">
      <c r="A107" s="56" t="s">
        <v>87</v>
      </c>
      <c r="B107" s="57"/>
    </row>
    <row r="108" spans="1:9" ht="15" customHeight="1">
      <c r="A108" s="58" t="s">
        <v>32</v>
      </c>
      <c r="B108" s="59" t="s">
        <v>40</v>
      </c>
      <c r="C108" s="59" t="s">
        <v>36</v>
      </c>
      <c r="D108" s="59" t="s">
        <v>33</v>
      </c>
      <c r="E108" s="103"/>
      <c r="F108" s="60"/>
      <c r="G108" s="61"/>
      <c r="H108" s="63" t="s">
        <v>292</v>
      </c>
      <c r="I108" s="64">
        <f>RSQ(I109:I114,B109:B114)</f>
        <v>0.96711656318174055</v>
      </c>
    </row>
    <row r="109" spans="1:9" ht="15" customHeight="1">
      <c r="A109" s="65">
        <v>2002</v>
      </c>
      <c r="B109" s="104">
        <f t="shared" ref="B109:B114" si="19">+B5</f>
        <v>8501</v>
      </c>
      <c r="C109" s="126">
        <f t="shared" ref="C109:C114" si="20">LN(F$113/B109-1)</f>
        <v>0</v>
      </c>
      <c r="D109" s="67">
        <v>0</v>
      </c>
      <c r="E109" s="106"/>
      <c r="F109" s="53"/>
      <c r="G109" s="69"/>
      <c r="H109" s="265"/>
      <c r="I109" s="267">
        <f t="shared" ref="I109:I132" si="21">$F$113/(1+EXP($F$111+$F$110*D109))</f>
        <v>8433.8462791790953</v>
      </c>
    </row>
    <row r="110" spans="1:9" ht="15" customHeight="1">
      <c r="A110" s="65">
        <f t="shared" ref="A110:A115" si="22">A6</f>
        <v>2003</v>
      </c>
      <c r="B110" s="104">
        <f t="shared" si="19"/>
        <v>8223</v>
      </c>
      <c r="C110" s="126">
        <f t="shared" si="20"/>
        <v>6.5427399955313242E-2</v>
      </c>
      <c r="D110" s="67">
        <f>+D109+1</f>
        <v>1</v>
      </c>
      <c r="E110" s="106" t="s">
        <v>75</v>
      </c>
      <c r="F110" s="139">
        <f>INDEX(LINEST(C109:C114,D109:D114),1)</f>
        <v>4.2486117982839793E-2</v>
      </c>
      <c r="G110" s="140" t="s">
        <v>88</v>
      </c>
      <c r="H110" s="127"/>
      <c r="I110" s="128">
        <f t="shared" si="21"/>
        <v>8253.3277497396193</v>
      </c>
    </row>
    <row r="111" spans="1:9" ht="15" customHeight="1">
      <c r="A111" s="65">
        <f t="shared" si="22"/>
        <v>2004</v>
      </c>
      <c r="B111" s="104">
        <f t="shared" si="19"/>
        <v>8067</v>
      </c>
      <c r="C111" s="126">
        <f t="shared" si="20"/>
        <v>0.10219448265655388</v>
      </c>
      <c r="D111" s="67">
        <f t="shared" ref="D111:D132" si="23">D110+1</f>
        <v>2</v>
      </c>
      <c r="E111" s="106" t="s">
        <v>76</v>
      </c>
      <c r="F111" s="139">
        <f>INDEX(LINEST(C109:C114,D109:D114),2)</f>
        <v>1.5799345423027952E-2</v>
      </c>
      <c r="G111" s="69"/>
      <c r="H111" s="127"/>
      <c r="I111" s="128">
        <f t="shared" si="21"/>
        <v>8073.0324963741377</v>
      </c>
    </row>
    <row r="112" spans="1:9" ht="15" customHeight="1">
      <c r="A112" s="65">
        <f t="shared" si="22"/>
        <v>2005</v>
      </c>
      <c r="B112" s="104">
        <f t="shared" si="19"/>
        <v>7803</v>
      </c>
      <c r="C112" s="126">
        <f t="shared" si="20"/>
        <v>0.16458650736039593</v>
      </c>
      <c r="D112" s="67">
        <f t="shared" si="23"/>
        <v>3</v>
      </c>
      <c r="E112" s="106" t="s">
        <v>77</v>
      </c>
      <c r="F112" s="73">
        <f>I108</f>
        <v>0.96711656318174055</v>
      </c>
      <c r="G112" s="69"/>
      <c r="H112" s="127"/>
      <c r="I112" s="128">
        <f t="shared" si="21"/>
        <v>7893.1224043274424</v>
      </c>
    </row>
    <row r="113" spans="1:9" ht="15" customHeight="1">
      <c r="A113" s="65">
        <f t="shared" si="22"/>
        <v>2006</v>
      </c>
      <c r="B113" s="104">
        <f t="shared" si="19"/>
        <v>7699</v>
      </c>
      <c r="C113" s="126">
        <f t="shared" si="20"/>
        <v>0.1892464784905091</v>
      </c>
      <c r="D113" s="67">
        <f t="shared" si="23"/>
        <v>4</v>
      </c>
      <c r="E113" s="106" t="s">
        <v>39</v>
      </c>
      <c r="F113" s="110">
        <f>MAX(B109:B114)*2</f>
        <v>17002</v>
      </c>
      <c r="G113" s="69"/>
      <c r="H113" s="127"/>
      <c r="I113" s="128">
        <f t="shared" si="21"/>
        <v>7713.7579749896495</v>
      </c>
    </row>
    <row r="114" spans="1:9" ht="15" customHeight="1" thickBot="1">
      <c r="A114" s="97">
        <f t="shared" si="22"/>
        <v>2007</v>
      </c>
      <c r="B114" s="116">
        <f t="shared" si="19"/>
        <v>7609</v>
      </c>
      <c r="C114" s="141">
        <f t="shared" si="20"/>
        <v>0.21063297381799251</v>
      </c>
      <c r="D114" s="99">
        <f t="shared" si="23"/>
        <v>5</v>
      </c>
      <c r="E114" s="205"/>
      <c r="F114" s="101"/>
      <c r="G114" s="100"/>
      <c r="H114" s="143"/>
      <c r="I114" s="144">
        <f t="shared" si="21"/>
        <v>7535.097756828889</v>
      </c>
    </row>
    <row r="115" spans="1:9" ht="15" customHeight="1" thickTop="1">
      <c r="A115" s="255">
        <f t="shared" si="22"/>
        <v>2008</v>
      </c>
      <c r="B115" s="81">
        <f t="shared" ref="B115:B132" si="24">ROUND(F$113/(1+EXP(F$111+F$110*D115)),0)</f>
        <v>7357</v>
      </c>
      <c r="C115" s="257"/>
      <c r="D115" s="77">
        <f t="shared" si="23"/>
        <v>6</v>
      </c>
      <c r="E115" s="275"/>
      <c r="F115" s="256"/>
      <c r="G115" s="78"/>
      <c r="H115" s="258"/>
      <c r="I115" s="133">
        <f t="shared" si="21"/>
        <v>7357.2977911209618</v>
      </c>
    </row>
    <row r="116" spans="1:9" ht="15" customHeight="1">
      <c r="A116" s="80">
        <v>2009</v>
      </c>
      <c r="B116" s="81">
        <f t="shared" si="24"/>
        <v>7181</v>
      </c>
      <c r="C116" s="134"/>
      <c r="D116" s="67">
        <f t="shared" si="23"/>
        <v>7</v>
      </c>
      <c r="E116" s="83"/>
      <c r="F116" s="69"/>
      <c r="G116" s="69"/>
      <c r="H116" s="84"/>
      <c r="I116" s="128">
        <f t="shared" si="21"/>
        <v>7180.5110765407162</v>
      </c>
    </row>
    <row r="117" spans="1:9" ht="15" customHeight="1">
      <c r="A117" s="80">
        <v>2010</v>
      </c>
      <c r="B117" s="81">
        <f t="shared" si="24"/>
        <v>7005</v>
      </c>
      <c r="C117" s="134"/>
      <c r="D117" s="67">
        <f t="shared" si="23"/>
        <v>8</v>
      </c>
      <c r="E117" s="83"/>
      <c r="F117" s="69"/>
      <c r="G117" s="69"/>
      <c r="H117" s="84"/>
      <c r="I117" s="128">
        <f t="shared" si="21"/>
        <v>7004.8870564378249</v>
      </c>
    </row>
    <row r="118" spans="1:9" ht="15" customHeight="1">
      <c r="A118" s="80">
        <v>2011</v>
      </c>
      <c r="B118" s="81">
        <f t="shared" si="24"/>
        <v>6831</v>
      </c>
      <c r="C118" s="134"/>
      <c r="D118" s="67">
        <f t="shared" si="23"/>
        <v>9</v>
      </c>
      <c r="E118" s="83"/>
      <c r="F118" s="69"/>
      <c r="G118" s="69"/>
      <c r="H118" s="84"/>
      <c r="I118" s="128">
        <f t="shared" si="21"/>
        <v>6830.5711323319265</v>
      </c>
    </row>
    <row r="119" spans="1:9" ht="15" customHeight="1">
      <c r="A119" s="80">
        <v>2012</v>
      </c>
      <c r="B119" s="81">
        <f t="shared" si="24"/>
        <v>6658</v>
      </c>
      <c r="C119" s="134"/>
      <c r="D119" s="67">
        <f t="shared" si="23"/>
        <v>10</v>
      </c>
      <c r="E119" s="83"/>
      <c r="F119" s="69"/>
      <c r="G119" s="69"/>
      <c r="H119" s="84"/>
      <c r="I119" s="128">
        <f t="shared" si="21"/>
        <v>6657.7042068341025</v>
      </c>
    </row>
    <row r="120" spans="1:9" ht="15" customHeight="1">
      <c r="A120" s="80">
        <v>2013</v>
      </c>
      <c r="B120" s="81">
        <f t="shared" si="24"/>
        <v>6486</v>
      </c>
      <c r="C120" s="134"/>
      <c r="D120" s="67">
        <f t="shared" si="23"/>
        <v>11</v>
      </c>
      <c r="E120" s="83"/>
      <c r="F120" s="69"/>
      <c r="G120" s="69"/>
      <c r="H120" s="84"/>
      <c r="I120" s="128">
        <f t="shared" si="21"/>
        <v>6486.4222588397542</v>
      </c>
    </row>
    <row r="121" spans="1:9" ht="15" customHeight="1">
      <c r="A121" s="80">
        <v>2014</v>
      </c>
      <c r="B121" s="81">
        <f t="shared" si="24"/>
        <v>6317</v>
      </c>
      <c r="C121" s="134"/>
      <c r="D121" s="67">
        <f t="shared" si="23"/>
        <v>12</v>
      </c>
      <c r="E121" s="83"/>
      <c r="F121" s="69"/>
      <c r="G121" s="69"/>
      <c r="H121" s="84"/>
      <c r="I121" s="128">
        <f t="shared" si="21"/>
        <v>6316.8559534486794</v>
      </c>
    </row>
    <row r="122" spans="1:9" ht="15" customHeight="1">
      <c r="A122" s="80">
        <v>2015</v>
      </c>
      <c r="B122" s="81">
        <f t="shared" si="24"/>
        <v>6149</v>
      </c>
      <c r="C122" s="134"/>
      <c r="D122" s="67">
        <f t="shared" si="23"/>
        <v>13</v>
      </c>
      <c r="E122" s="83"/>
      <c r="F122" s="69"/>
      <c r="G122" s="69"/>
      <c r="H122" s="84"/>
      <c r="I122" s="128">
        <f t="shared" si="21"/>
        <v>6149.1302886585645</v>
      </c>
    </row>
    <row r="123" spans="1:9" ht="15" customHeight="1">
      <c r="A123" s="80">
        <v>2016</v>
      </c>
      <c r="B123" s="81">
        <f t="shared" si="24"/>
        <v>5983</v>
      </c>
      <c r="C123" s="134"/>
      <c r="D123" s="67">
        <f t="shared" si="23"/>
        <v>14</v>
      </c>
      <c r="E123" s="83"/>
      <c r="F123" s="69"/>
      <c r="G123" s="69"/>
      <c r="H123" s="84"/>
      <c r="I123" s="128">
        <f t="shared" si="21"/>
        <v>5983.3642804554738</v>
      </c>
    </row>
    <row r="124" spans="1:9" ht="15" customHeight="1">
      <c r="A124" s="80">
        <v>2017</v>
      </c>
      <c r="B124" s="81">
        <f t="shared" si="24"/>
        <v>5820</v>
      </c>
      <c r="C124" s="134"/>
      <c r="D124" s="67">
        <f t="shared" si="23"/>
        <v>15</v>
      </c>
      <c r="E124" s="83"/>
      <c r="F124" s="69"/>
      <c r="G124" s="69"/>
      <c r="H124" s="84"/>
      <c r="I124" s="128">
        <f t="shared" si="21"/>
        <v>5819.670687496181</v>
      </c>
    </row>
    <row r="125" spans="1:9" ht="15" customHeight="1">
      <c r="A125" s="80">
        <v>2018</v>
      </c>
      <c r="B125" s="81">
        <f t="shared" si="24"/>
        <v>5658</v>
      </c>
      <c r="C125" s="134"/>
      <c r="D125" s="67">
        <f t="shared" si="23"/>
        <v>16</v>
      </c>
      <c r="E125" s="83"/>
      <c r="F125" s="69"/>
      <c r="G125" s="69"/>
      <c r="H125" s="84"/>
      <c r="I125" s="128">
        <f t="shared" si="21"/>
        <v>5658.1557761495606</v>
      </c>
    </row>
    <row r="126" spans="1:9" ht="15" customHeight="1">
      <c r="A126" s="80">
        <v>2019</v>
      </c>
      <c r="B126" s="81">
        <f t="shared" si="24"/>
        <v>5499</v>
      </c>
      <c r="C126" s="134"/>
      <c r="D126" s="67">
        <f t="shared" si="23"/>
        <v>17</v>
      </c>
      <c r="E126" s="83"/>
      <c r="F126" s="69"/>
      <c r="G126" s="69"/>
      <c r="H126" s="84"/>
      <c r="I126" s="128">
        <f t="shared" si="21"/>
        <v>5498.9191262441163</v>
      </c>
    </row>
    <row r="127" spans="1:9" ht="15" customHeight="1">
      <c r="A127" s="80">
        <v>2020</v>
      </c>
      <c r="B127" s="81">
        <f t="shared" si="24"/>
        <v>5342</v>
      </c>
      <c r="C127" s="134"/>
      <c r="D127" s="67">
        <f t="shared" si="23"/>
        <v>18</v>
      </c>
      <c r="E127" s="83"/>
      <c r="F127" s="69"/>
      <c r="G127" s="69"/>
      <c r="H127" s="84"/>
      <c r="I127" s="128">
        <f t="shared" si="21"/>
        <v>5342.053477462433</v>
      </c>
    </row>
    <row r="128" spans="1:9" ht="15" customHeight="1">
      <c r="A128" s="80">
        <v>2021</v>
      </c>
      <c r="B128" s="81">
        <f t="shared" si="24"/>
        <v>5188</v>
      </c>
      <c r="C128" s="134"/>
      <c r="D128" s="67">
        <f t="shared" si="23"/>
        <v>19</v>
      </c>
      <c r="E128" s="83"/>
      <c r="F128" s="69"/>
      <c r="G128" s="69"/>
      <c r="H128" s="84"/>
      <c r="I128" s="128">
        <f t="shared" si="21"/>
        <v>5187.6446159363759</v>
      </c>
    </row>
    <row r="129" spans="1:10" ht="15" customHeight="1">
      <c r="A129" s="80">
        <v>2022</v>
      </c>
      <c r="B129" s="81">
        <f t="shared" si="24"/>
        <v>5036</v>
      </c>
      <c r="C129" s="134"/>
      <c r="D129" s="67">
        <f t="shared" si="23"/>
        <v>20</v>
      </c>
      <c r="E129" s="83"/>
      <c r="F129" s="69"/>
      <c r="G129" s="69"/>
      <c r="H129" s="84"/>
      <c r="I129" s="128">
        <f t="shared" si="21"/>
        <v>5035.7713002341452</v>
      </c>
    </row>
    <row r="130" spans="1:10" ht="15" customHeight="1">
      <c r="A130" s="80">
        <v>2023</v>
      </c>
      <c r="B130" s="81">
        <f t="shared" si="24"/>
        <v>4887</v>
      </c>
      <c r="C130" s="134"/>
      <c r="D130" s="67">
        <f t="shared" si="23"/>
        <v>21</v>
      </c>
      <c r="E130" s="83"/>
      <c r="F130" s="69"/>
      <c r="G130" s="69"/>
      <c r="H130" s="84"/>
      <c r="I130" s="128">
        <f t="shared" si="21"/>
        <v>4886.5052255960145</v>
      </c>
    </row>
    <row r="131" spans="1:10" ht="15" customHeight="1">
      <c r="A131" s="80">
        <v>2024</v>
      </c>
      <c r="B131" s="81">
        <f t="shared" si="24"/>
        <v>4740</v>
      </c>
      <c r="C131" s="135"/>
      <c r="D131" s="67">
        <f t="shared" si="23"/>
        <v>22</v>
      </c>
      <c r="E131" s="69"/>
      <c r="F131" s="69"/>
      <c r="G131" s="69"/>
      <c r="H131" s="69"/>
      <c r="I131" s="136">
        <f t="shared" si="21"/>
        <v>4739.9110249731348</v>
      </c>
    </row>
    <row r="132" spans="1:10" ht="15" customHeight="1">
      <c r="A132" s="85">
        <v>2025</v>
      </c>
      <c r="B132" s="86">
        <f t="shared" si="24"/>
        <v>4596</v>
      </c>
      <c r="C132" s="137"/>
      <c r="D132" s="87">
        <f t="shared" si="23"/>
        <v>23</v>
      </c>
      <c r="E132" s="89"/>
      <c r="F132" s="89"/>
      <c r="G132" s="89"/>
      <c r="H132" s="89"/>
      <c r="I132" s="138">
        <f t="shared" si="21"/>
        <v>4596.0463051556962</v>
      </c>
    </row>
    <row r="133" spans="1:10" ht="15" customHeight="1">
      <c r="A133" s="56" t="s">
        <v>299</v>
      </c>
      <c r="B133" s="57"/>
    </row>
    <row r="134" spans="1:10" ht="15" customHeight="1">
      <c r="A134" s="56"/>
      <c r="B134" s="57"/>
    </row>
    <row r="135" spans="1:10" ht="24">
      <c r="A135" s="145" t="s">
        <v>32</v>
      </c>
      <c r="B135" s="146" t="s">
        <v>91</v>
      </c>
      <c r="C135" s="147" t="s">
        <v>72</v>
      </c>
      <c r="D135" s="147" t="s">
        <v>92</v>
      </c>
      <c r="E135" s="147" t="s">
        <v>93</v>
      </c>
      <c r="F135" s="147" t="s">
        <v>94</v>
      </c>
      <c r="G135" s="147" t="s">
        <v>95</v>
      </c>
      <c r="H135" s="148" t="s">
        <v>96</v>
      </c>
      <c r="I135" s="149" t="s">
        <v>294</v>
      </c>
      <c r="J135" s="150" t="s">
        <v>295</v>
      </c>
    </row>
    <row r="136" spans="1:10" ht="20.100000000000001" customHeight="1">
      <c r="A136" s="65">
        <v>2008</v>
      </c>
      <c r="B136" s="151">
        <f t="shared" ref="B136:B153" si="25">B11</f>
        <v>7431</v>
      </c>
      <c r="C136" s="152">
        <f t="shared" ref="C136:C153" si="26">B37</f>
        <v>7354</v>
      </c>
      <c r="D136" s="152">
        <f t="shared" ref="D136:D153" si="27">B63</f>
        <v>7442</v>
      </c>
      <c r="E136" s="152"/>
      <c r="F136" s="152">
        <f t="shared" ref="F136:F153" si="28">B115</f>
        <v>7357</v>
      </c>
      <c r="G136" s="152">
        <f t="shared" ref="G136:G153" si="29">ROUND(AVERAGE(B136:F136),1)</f>
        <v>7396</v>
      </c>
      <c r="H136" s="152">
        <f t="shared" ref="H136:H153" si="30">ROUND((SUM(B136:F136)-MAX(B136:F136)-MIN(B136:F136))/(COUNT(B136:F136)-2),1)</f>
        <v>7394</v>
      </c>
      <c r="I136" s="153">
        <f t="shared" ref="I136:I153" si="31">ROUND(SUMIF(B$154:H$154,"○",B136:H136),0)</f>
        <v>7396</v>
      </c>
      <c r="J136" s="261"/>
    </row>
    <row r="137" spans="1:10" ht="20.100000000000001" customHeight="1">
      <c r="A137" s="80">
        <v>2009</v>
      </c>
      <c r="B137" s="151">
        <f t="shared" si="25"/>
        <v>7252</v>
      </c>
      <c r="C137" s="152">
        <f t="shared" si="26"/>
        <v>7174</v>
      </c>
      <c r="D137" s="152">
        <f t="shared" si="27"/>
        <v>7279</v>
      </c>
      <c r="E137" s="152"/>
      <c r="F137" s="152">
        <f t="shared" si="28"/>
        <v>7181</v>
      </c>
      <c r="G137" s="152">
        <f t="shared" si="29"/>
        <v>7221.5</v>
      </c>
      <c r="H137" s="152">
        <f t="shared" si="30"/>
        <v>7216.5</v>
      </c>
      <c r="I137" s="153">
        <f t="shared" si="31"/>
        <v>7222</v>
      </c>
      <c r="J137" s="154"/>
    </row>
    <row r="138" spans="1:10" ht="20.100000000000001" customHeight="1">
      <c r="A138" s="80">
        <v>2010</v>
      </c>
      <c r="B138" s="151">
        <f t="shared" si="25"/>
        <v>7074</v>
      </c>
      <c r="C138" s="152">
        <f t="shared" si="26"/>
        <v>6994</v>
      </c>
      <c r="D138" s="152">
        <f t="shared" si="27"/>
        <v>7119</v>
      </c>
      <c r="E138" s="152"/>
      <c r="F138" s="152">
        <f t="shared" si="28"/>
        <v>7005</v>
      </c>
      <c r="G138" s="152">
        <f t="shared" si="29"/>
        <v>7048</v>
      </c>
      <c r="H138" s="152">
        <f t="shared" si="30"/>
        <v>7039.5</v>
      </c>
      <c r="I138" s="153">
        <f t="shared" si="31"/>
        <v>7048</v>
      </c>
      <c r="J138" s="154"/>
    </row>
    <row r="139" spans="1:10" ht="20.100000000000001" customHeight="1">
      <c r="A139" s="80">
        <v>2011</v>
      </c>
      <c r="B139" s="151">
        <f t="shared" si="25"/>
        <v>6895</v>
      </c>
      <c r="C139" s="152">
        <f t="shared" si="26"/>
        <v>6814</v>
      </c>
      <c r="D139" s="152">
        <f t="shared" si="27"/>
        <v>6963</v>
      </c>
      <c r="E139" s="152"/>
      <c r="F139" s="152">
        <f t="shared" si="28"/>
        <v>6831</v>
      </c>
      <c r="G139" s="152">
        <f t="shared" si="29"/>
        <v>6875.8</v>
      </c>
      <c r="H139" s="152">
        <f t="shared" si="30"/>
        <v>6863</v>
      </c>
      <c r="I139" s="153">
        <f t="shared" si="31"/>
        <v>6876</v>
      </c>
      <c r="J139" s="154"/>
    </row>
    <row r="140" spans="1:10" ht="20.100000000000001" customHeight="1">
      <c r="A140" s="80">
        <v>2012</v>
      </c>
      <c r="B140" s="151">
        <f t="shared" si="25"/>
        <v>6717</v>
      </c>
      <c r="C140" s="152">
        <f t="shared" si="26"/>
        <v>6635</v>
      </c>
      <c r="D140" s="152">
        <f t="shared" si="27"/>
        <v>6810</v>
      </c>
      <c r="E140" s="152"/>
      <c r="F140" s="152">
        <f t="shared" si="28"/>
        <v>6658</v>
      </c>
      <c r="G140" s="152">
        <f t="shared" si="29"/>
        <v>6705</v>
      </c>
      <c r="H140" s="152">
        <f t="shared" si="30"/>
        <v>6687.5</v>
      </c>
      <c r="I140" s="153">
        <f t="shared" si="31"/>
        <v>6705</v>
      </c>
      <c r="J140" s="154"/>
    </row>
    <row r="141" spans="1:10" ht="20.100000000000001" customHeight="1">
      <c r="A141" s="80">
        <v>2013</v>
      </c>
      <c r="B141" s="151">
        <f t="shared" si="25"/>
        <v>6539</v>
      </c>
      <c r="C141" s="152">
        <f t="shared" si="26"/>
        <v>6455</v>
      </c>
      <c r="D141" s="152">
        <f t="shared" si="27"/>
        <v>6661</v>
      </c>
      <c r="E141" s="152"/>
      <c r="F141" s="152">
        <f t="shared" si="28"/>
        <v>6486</v>
      </c>
      <c r="G141" s="152">
        <f t="shared" si="29"/>
        <v>6535.3</v>
      </c>
      <c r="H141" s="152">
        <f t="shared" si="30"/>
        <v>6512.5</v>
      </c>
      <c r="I141" s="153">
        <f t="shared" si="31"/>
        <v>6535</v>
      </c>
      <c r="J141" s="154"/>
    </row>
    <row r="142" spans="1:10" ht="20.100000000000001" customHeight="1">
      <c r="A142" s="80">
        <v>2014</v>
      </c>
      <c r="B142" s="151">
        <f t="shared" si="25"/>
        <v>6360</v>
      </c>
      <c r="C142" s="152">
        <f t="shared" si="26"/>
        <v>6275</v>
      </c>
      <c r="D142" s="152">
        <f t="shared" si="27"/>
        <v>6515</v>
      </c>
      <c r="E142" s="152"/>
      <c r="F142" s="152">
        <f t="shared" si="28"/>
        <v>6317</v>
      </c>
      <c r="G142" s="152">
        <f t="shared" si="29"/>
        <v>6366.8</v>
      </c>
      <c r="H142" s="152">
        <f t="shared" si="30"/>
        <v>6338.5</v>
      </c>
      <c r="I142" s="153">
        <f t="shared" si="31"/>
        <v>6367</v>
      </c>
      <c r="J142" s="154"/>
    </row>
    <row r="143" spans="1:10" ht="20.100000000000001" customHeight="1">
      <c r="A143" s="80">
        <v>2015</v>
      </c>
      <c r="B143" s="151">
        <f t="shared" si="25"/>
        <v>6182</v>
      </c>
      <c r="C143" s="152">
        <f t="shared" si="26"/>
        <v>6095</v>
      </c>
      <c r="D143" s="152">
        <f t="shared" si="27"/>
        <v>6372</v>
      </c>
      <c r="E143" s="152"/>
      <c r="F143" s="152">
        <f t="shared" si="28"/>
        <v>6149</v>
      </c>
      <c r="G143" s="152">
        <f t="shared" si="29"/>
        <v>6199.5</v>
      </c>
      <c r="H143" s="152">
        <f t="shared" si="30"/>
        <v>6165.5</v>
      </c>
      <c r="I143" s="153">
        <f t="shared" si="31"/>
        <v>6200</v>
      </c>
      <c r="J143" s="154"/>
    </row>
    <row r="144" spans="1:10" ht="20.100000000000001" customHeight="1">
      <c r="A144" s="80">
        <v>2016</v>
      </c>
      <c r="B144" s="151">
        <f t="shared" si="25"/>
        <v>6003</v>
      </c>
      <c r="C144" s="152">
        <f t="shared" si="26"/>
        <v>5915</v>
      </c>
      <c r="D144" s="152">
        <f t="shared" si="27"/>
        <v>6232</v>
      </c>
      <c r="E144" s="152"/>
      <c r="F144" s="152">
        <f t="shared" si="28"/>
        <v>5983</v>
      </c>
      <c r="G144" s="152">
        <f t="shared" si="29"/>
        <v>6033.3</v>
      </c>
      <c r="H144" s="152">
        <f t="shared" si="30"/>
        <v>5993</v>
      </c>
      <c r="I144" s="153">
        <f t="shared" si="31"/>
        <v>6033</v>
      </c>
      <c r="J144" s="154"/>
    </row>
    <row r="145" spans="1:41" ht="20.100000000000001" customHeight="1">
      <c r="A145" s="80">
        <v>2017</v>
      </c>
      <c r="B145" s="151">
        <f t="shared" si="25"/>
        <v>5825</v>
      </c>
      <c r="C145" s="152">
        <f t="shared" si="26"/>
        <v>5735</v>
      </c>
      <c r="D145" s="152">
        <f t="shared" si="27"/>
        <v>6096</v>
      </c>
      <c r="E145" s="152"/>
      <c r="F145" s="152">
        <f t="shared" si="28"/>
        <v>5820</v>
      </c>
      <c r="G145" s="152">
        <f t="shared" si="29"/>
        <v>5869</v>
      </c>
      <c r="H145" s="152">
        <f t="shared" si="30"/>
        <v>5822.5</v>
      </c>
      <c r="I145" s="153">
        <f t="shared" si="31"/>
        <v>5869</v>
      </c>
      <c r="J145" s="154"/>
    </row>
    <row r="146" spans="1:41" ht="20.100000000000001" customHeight="1">
      <c r="A146" s="80">
        <v>2018</v>
      </c>
      <c r="B146" s="151">
        <f t="shared" si="25"/>
        <v>5647</v>
      </c>
      <c r="C146" s="152">
        <f t="shared" si="26"/>
        <v>5555</v>
      </c>
      <c r="D146" s="152">
        <f t="shared" si="27"/>
        <v>5962</v>
      </c>
      <c r="E146" s="152"/>
      <c r="F146" s="152">
        <f t="shared" si="28"/>
        <v>5658</v>
      </c>
      <c r="G146" s="152">
        <f t="shared" si="29"/>
        <v>5705.5</v>
      </c>
      <c r="H146" s="152">
        <f t="shared" si="30"/>
        <v>5652.5</v>
      </c>
      <c r="I146" s="153">
        <f t="shared" si="31"/>
        <v>5706</v>
      </c>
      <c r="J146" s="154"/>
    </row>
    <row r="147" spans="1:41" ht="20.100000000000001" customHeight="1">
      <c r="A147" s="80">
        <v>2019</v>
      </c>
      <c r="B147" s="151">
        <f t="shared" si="25"/>
        <v>5468</v>
      </c>
      <c r="C147" s="152">
        <f t="shared" si="26"/>
        <v>5375</v>
      </c>
      <c r="D147" s="152">
        <f t="shared" si="27"/>
        <v>5831</v>
      </c>
      <c r="E147" s="152"/>
      <c r="F147" s="152">
        <f t="shared" si="28"/>
        <v>5499</v>
      </c>
      <c r="G147" s="152">
        <f t="shared" si="29"/>
        <v>5543.3</v>
      </c>
      <c r="H147" s="152">
        <f t="shared" si="30"/>
        <v>5483.5</v>
      </c>
      <c r="I147" s="153">
        <f t="shared" si="31"/>
        <v>5543</v>
      </c>
      <c r="J147" s="154"/>
    </row>
    <row r="148" spans="1:41" ht="20.100000000000001" customHeight="1">
      <c r="A148" s="80">
        <v>2020</v>
      </c>
      <c r="B148" s="151">
        <f t="shared" si="25"/>
        <v>5290</v>
      </c>
      <c r="C148" s="152">
        <f t="shared" si="26"/>
        <v>5195</v>
      </c>
      <c r="D148" s="152">
        <f t="shared" si="27"/>
        <v>5703</v>
      </c>
      <c r="E148" s="152"/>
      <c r="F148" s="152">
        <f t="shared" si="28"/>
        <v>5342</v>
      </c>
      <c r="G148" s="152">
        <f t="shared" si="29"/>
        <v>5382.5</v>
      </c>
      <c r="H148" s="152">
        <f t="shared" si="30"/>
        <v>5316</v>
      </c>
      <c r="I148" s="153">
        <f t="shared" si="31"/>
        <v>5383</v>
      </c>
      <c r="J148" s="154"/>
    </row>
    <row r="149" spans="1:41" ht="20.100000000000001" customHeight="1">
      <c r="A149" s="80">
        <v>2021</v>
      </c>
      <c r="B149" s="151">
        <f t="shared" si="25"/>
        <v>5111</v>
      </c>
      <c r="C149" s="152">
        <f t="shared" si="26"/>
        <v>5016</v>
      </c>
      <c r="D149" s="152">
        <f t="shared" si="27"/>
        <v>5578</v>
      </c>
      <c r="E149" s="152"/>
      <c r="F149" s="152">
        <f t="shared" si="28"/>
        <v>5188</v>
      </c>
      <c r="G149" s="152">
        <f t="shared" si="29"/>
        <v>5223.3</v>
      </c>
      <c r="H149" s="152">
        <f t="shared" si="30"/>
        <v>5149.5</v>
      </c>
      <c r="I149" s="153">
        <f t="shared" si="31"/>
        <v>5223</v>
      </c>
      <c r="J149" s="154"/>
    </row>
    <row r="150" spans="1:41" ht="20.100000000000001" customHeight="1">
      <c r="A150" s="80">
        <v>2022</v>
      </c>
      <c r="B150" s="151">
        <f t="shared" si="25"/>
        <v>4933</v>
      </c>
      <c r="C150" s="152">
        <f t="shared" si="26"/>
        <v>4836</v>
      </c>
      <c r="D150" s="152">
        <f t="shared" si="27"/>
        <v>5456</v>
      </c>
      <c r="E150" s="152"/>
      <c r="F150" s="152">
        <f t="shared" si="28"/>
        <v>5036</v>
      </c>
      <c r="G150" s="152">
        <f t="shared" si="29"/>
        <v>5065.3</v>
      </c>
      <c r="H150" s="152">
        <f t="shared" si="30"/>
        <v>4984.5</v>
      </c>
      <c r="I150" s="153">
        <f t="shared" si="31"/>
        <v>5065</v>
      </c>
      <c r="J150" s="154"/>
    </row>
    <row r="151" spans="1:41" ht="20.100000000000001" customHeight="1">
      <c r="A151" s="80">
        <v>2023</v>
      </c>
      <c r="B151" s="151">
        <f t="shared" si="25"/>
        <v>4755</v>
      </c>
      <c r="C151" s="152">
        <f t="shared" si="26"/>
        <v>4656</v>
      </c>
      <c r="D151" s="152">
        <f t="shared" si="27"/>
        <v>5336</v>
      </c>
      <c r="E151" s="152"/>
      <c r="F151" s="152">
        <f t="shared" si="28"/>
        <v>4887</v>
      </c>
      <c r="G151" s="152">
        <f t="shared" si="29"/>
        <v>4908.5</v>
      </c>
      <c r="H151" s="152">
        <f t="shared" si="30"/>
        <v>4821</v>
      </c>
      <c r="I151" s="153">
        <f t="shared" si="31"/>
        <v>4909</v>
      </c>
      <c r="J151" s="154"/>
      <c r="L151" s="55">
        <v>806200</v>
      </c>
    </row>
    <row r="152" spans="1:41" ht="20.100000000000001" customHeight="1">
      <c r="A152" s="80">
        <v>2024</v>
      </c>
      <c r="B152" s="151">
        <f t="shared" si="25"/>
        <v>4576</v>
      </c>
      <c r="C152" s="152">
        <f t="shared" si="26"/>
        <v>4476</v>
      </c>
      <c r="D152" s="152">
        <f t="shared" si="27"/>
        <v>5219</v>
      </c>
      <c r="E152" s="152"/>
      <c r="F152" s="152">
        <f t="shared" si="28"/>
        <v>4740</v>
      </c>
      <c r="G152" s="152">
        <f t="shared" si="29"/>
        <v>4752.8</v>
      </c>
      <c r="H152" s="152">
        <f t="shared" si="30"/>
        <v>4658</v>
      </c>
      <c r="I152" s="153">
        <f t="shared" si="31"/>
        <v>4753</v>
      </c>
      <c r="J152" s="154"/>
      <c r="K152" s="55">
        <v>51000</v>
      </c>
      <c r="L152" s="75">
        <f>+K152+E152</f>
        <v>51000</v>
      </c>
      <c r="M152" s="75"/>
    </row>
    <row r="153" spans="1:41" ht="20.100000000000001" customHeight="1">
      <c r="A153" s="80">
        <v>2025</v>
      </c>
      <c r="B153" s="151">
        <f t="shared" si="25"/>
        <v>4398</v>
      </c>
      <c r="C153" s="152">
        <f t="shared" si="26"/>
        <v>4296</v>
      </c>
      <c r="D153" s="152">
        <f t="shared" si="27"/>
        <v>5105</v>
      </c>
      <c r="E153" s="152"/>
      <c r="F153" s="152">
        <f t="shared" si="28"/>
        <v>4596</v>
      </c>
      <c r="G153" s="152">
        <f t="shared" si="29"/>
        <v>4598.8</v>
      </c>
      <c r="H153" s="152">
        <f t="shared" si="30"/>
        <v>4497</v>
      </c>
      <c r="I153" s="153">
        <f t="shared" si="31"/>
        <v>4599</v>
      </c>
      <c r="J153" s="154"/>
      <c r="L153" s="75">
        <f>+L151-L152</f>
        <v>755200</v>
      </c>
      <c r="M153" s="75"/>
    </row>
    <row r="154" spans="1:41" ht="20.100000000000001" customHeight="1">
      <c r="A154" s="155" t="s">
        <v>97</v>
      </c>
      <c r="B154" s="156"/>
      <c r="C154" s="157"/>
      <c r="D154" s="157"/>
      <c r="E154" s="157"/>
      <c r="F154" s="156"/>
      <c r="G154" s="158" t="s">
        <v>296</v>
      </c>
      <c r="H154" s="157"/>
      <c r="I154" s="159"/>
      <c r="J154" s="160"/>
      <c r="K154" s="161"/>
      <c r="L154" s="162">
        <f>B109</f>
        <v>8501</v>
      </c>
      <c r="M154" s="162">
        <f>+B110</f>
        <v>8223</v>
      </c>
      <c r="N154" s="162">
        <f>B111</f>
        <v>8067</v>
      </c>
      <c r="O154" s="161">
        <f>B112</f>
        <v>7803</v>
      </c>
      <c r="P154" s="162">
        <f>B113</f>
        <v>7699</v>
      </c>
      <c r="Q154" s="161">
        <f>B114</f>
        <v>7609</v>
      </c>
      <c r="R154" s="162">
        <f>B115</f>
        <v>7357</v>
      </c>
      <c r="S154" s="162"/>
      <c r="T154" s="162"/>
      <c r="U154" s="162"/>
      <c r="V154" s="162"/>
      <c r="W154" s="162"/>
      <c r="X154" s="162"/>
      <c r="Y154" s="161"/>
      <c r="Z154" s="161"/>
      <c r="AA154" s="161"/>
      <c r="AB154" s="161"/>
      <c r="AC154" s="161"/>
      <c r="AD154" s="161"/>
      <c r="AE154" s="161"/>
      <c r="AF154" s="161"/>
      <c r="AG154" s="161"/>
      <c r="AH154" s="161"/>
      <c r="AI154" s="161"/>
      <c r="AJ154" s="161"/>
      <c r="AK154" s="161"/>
      <c r="AL154" s="161"/>
      <c r="AM154" s="161"/>
      <c r="AN154" s="161"/>
    </row>
    <row r="155" spans="1:41" ht="20.100000000000001" hidden="1" customHeight="1">
      <c r="A155" s="85"/>
      <c r="B155" s="163"/>
      <c r="C155" s="164"/>
      <c r="D155" s="164"/>
      <c r="E155" s="164"/>
      <c r="F155" s="164"/>
      <c r="G155" s="164"/>
      <c r="H155" s="164"/>
      <c r="I155" s="165"/>
      <c r="J155" s="166"/>
      <c r="K155" s="161"/>
      <c r="L155" s="161"/>
      <c r="M155" s="161"/>
      <c r="N155" s="161"/>
      <c r="O155" s="161"/>
      <c r="P155" s="161"/>
      <c r="Q155" s="161"/>
      <c r="R155" s="161"/>
      <c r="S155" s="161"/>
      <c r="T155" s="161"/>
      <c r="U155" s="161"/>
      <c r="V155" s="161"/>
      <c r="W155" s="161"/>
      <c r="X155" s="161"/>
      <c r="Y155" s="161"/>
      <c r="Z155" s="161"/>
      <c r="AA155" s="161"/>
      <c r="AB155" s="161"/>
      <c r="AC155" s="161"/>
      <c r="AD155" s="161"/>
      <c r="AE155" s="161"/>
      <c r="AF155" s="161"/>
      <c r="AG155" s="161"/>
      <c r="AH155" s="161"/>
      <c r="AI155" s="161"/>
      <c r="AJ155" s="161"/>
      <c r="AK155" s="161"/>
      <c r="AL155" s="161"/>
      <c r="AM155" s="161"/>
      <c r="AN155" s="161"/>
    </row>
    <row r="156" spans="1:41" s="161" customFormat="1" ht="20.100000000000001" customHeight="1">
      <c r="A156" s="167" t="s">
        <v>98</v>
      </c>
      <c r="B156" s="168">
        <f>I4</f>
        <v>0.97587333071825988</v>
      </c>
      <c r="C156" s="169">
        <f>I30</f>
        <v>0.9776037019818149</v>
      </c>
      <c r="D156" s="169">
        <f>I56</f>
        <v>0.97773104396851296</v>
      </c>
      <c r="E156" s="169"/>
      <c r="F156" s="169">
        <f>I108</f>
        <v>0.96711656318174055</v>
      </c>
      <c r="G156" s="170"/>
      <c r="H156" s="171"/>
      <c r="I156" s="172"/>
      <c r="J156" s="173"/>
      <c r="K156" s="174">
        <f>MAX(B156:I156,F156)</f>
        <v>0.97773104396851296</v>
      </c>
      <c r="L156" s="161">
        <v>2002</v>
      </c>
      <c r="M156" s="161">
        <v>2003</v>
      </c>
      <c r="N156" s="161">
        <f t="shared" ref="N156:AI156" si="32">+M156+1</f>
        <v>2004</v>
      </c>
      <c r="O156" s="161">
        <f t="shared" si="32"/>
        <v>2005</v>
      </c>
      <c r="P156" s="161">
        <f t="shared" si="32"/>
        <v>2006</v>
      </c>
      <c r="Q156" s="161">
        <f t="shared" si="32"/>
        <v>2007</v>
      </c>
      <c r="R156" s="161">
        <f t="shared" si="32"/>
        <v>2008</v>
      </c>
      <c r="S156" s="161">
        <f t="shared" si="32"/>
        <v>2009</v>
      </c>
      <c r="T156" s="161">
        <f t="shared" si="32"/>
        <v>2010</v>
      </c>
      <c r="U156" s="161">
        <f t="shared" si="32"/>
        <v>2011</v>
      </c>
      <c r="V156" s="161">
        <f t="shared" si="32"/>
        <v>2012</v>
      </c>
      <c r="W156" s="161">
        <f t="shared" si="32"/>
        <v>2013</v>
      </c>
      <c r="X156" s="161">
        <f t="shared" si="32"/>
        <v>2014</v>
      </c>
      <c r="Y156" s="161">
        <f t="shared" si="32"/>
        <v>2015</v>
      </c>
      <c r="Z156" s="161">
        <f t="shared" si="32"/>
        <v>2016</v>
      </c>
      <c r="AA156" s="161">
        <f t="shared" si="32"/>
        <v>2017</v>
      </c>
      <c r="AB156" s="161">
        <f t="shared" si="32"/>
        <v>2018</v>
      </c>
      <c r="AC156" s="161">
        <f t="shared" si="32"/>
        <v>2019</v>
      </c>
      <c r="AD156" s="161">
        <f t="shared" si="32"/>
        <v>2020</v>
      </c>
      <c r="AE156" s="161">
        <f t="shared" si="32"/>
        <v>2021</v>
      </c>
      <c r="AF156" s="161">
        <f t="shared" si="32"/>
        <v>2022</v>
      </c>
      <c r="AG156" s="161">
        <f t="shared" si="32"/>
        <v>2023</v>
      </c>
      <c r="AH156" s="161">
        <f t="shared" si="32"/>
        <v>2024</v>
      </c>
      <c r="AI156" s="161">
        <f t="shared" si="32"/>
        <v>2025</v>
      </c>
    </row>
    <row r="157" spans="1:41" ht="20.100000000000001" customHeight="1">
      <c r="K157" s="161" t="s">
        <v>99</v>
      </c>
      <c r="L157" s="161"/>
      <c r="M157" s="161"/>
      <c r="N157" s="161"/>
      <c r="O157" s="161"/>
      <c r="P157" s="161"/>
      <c r="Q157" s="161">
        <f>+Q154</f>
        <v>7609</v>
      </c>
      <c r="R157" s="162">
        <f>+B11</f>
        <v>7431</v>
      </c>
      <c r="S157" s="162">
        <f>+B12</f>
        <v>7252</v>
      </c>
      <c r="T157" s="162">
        <f>+B13</f>
        <v>7074</v>
      </c>
      <c r="U157" s="162">
        <f>+B14</f>
        <v>6895</v>
      </c>
      <c r="V157" s="162">
        <f>+B15</f>
        <v>6717</v>
      </c>
      <c r="W157" s="162">
        <f>+B16</f>
        <v>6539</v>
      </c>
      <c r="X157" s="162">
        <f>+B17</f>
        <v>6360</v>
      </c>
      <c r="Y157" s="162">
        <f>+B18</f>
        <v>6182</v>
      </c>
      <c r="Z157" s="162">
        <f>+B19</f>
        <v>6003</v>
      </c>
      <c r="AA157" s="162">
        <f>+B20</f>
        <v>5825</v>
      </c>
      <c r="AB157" s="162">
        <f>+B21</f>
        <v>5647</v>
      </c>
      <c r="AC157" s="162">
        <f>+B22</f>
        <v>5468</v>
      </c>
      <c r="AD157" s="162">
        <f>+B23</f>
        <v>5290</v>
      </c>
      <c r="AE157" s="162">
        <f>+B24</f>
        <v>5111</v>
      </c>
      <c r="AF157" s="162">
        <f>+B25</f>
        <v>4933</v>
      </c>
      <c r="AG157" s="162">
        <f>+B26</f>
        <v>4755</v>
      </c>
      <c r="AH157" s="162">
        <f>+B27</f>
        <v>4576</v>
      </c>
      <c r="AI157" s="162">
        <f>+B28</f>
        <v>4398</v>
      </c>
      <c r="AJ157" s="162"/>
      <c r="AK157" s="162"/>
      <c r="AL157" s="162"/>
      <c r="AM157" s="162"/>
      <c r="AN157" s="162"/>
      <c r="AO157" s="161"/>
    </row>
    <row r="158" spans="1:41" ht="20.100000000000001" customHeight="1">
      <c r="K158" s="161" t="s">
        <v>100</v>
      </c>
      <c r="L158" s="161"/>
      <c r="M158" s="161"/>
      <c r="N158" s="161"/>
      <c r="O158" s="161"/>
      <c r="P158" s="161"/>
      <c r="Q158" s="161">
        <f>+Q157</f>
        <v>7609</v>
      </c>
      <c r="R158" s="162">
        <f>+B37</f>
        <v>7354</v>
      </c>
      <c r="S158" s="162">
        <f>+B38</f>
        <v>7174</v>
      </c>
      <c r="T158" s="162">
        <f>+B39</f>
        <v>6994</v>
      </c>
      <c r="U158" s="162">
        <f>+B40</f>
        <v>6814</v>
      </c>
      <c r="V158" s="162">
        <f>+B41</f>
        <v>6635</v>
      </c>
      <c r="W158" s="162">
        <f>+B42</f>
        <v>6455</v>
      </c>
      <c r="X158" s="162">
        <f>+B43</f>
        <v>6275</v>
      </c>
      <c r="Y158" s="162">
        <f>+B44</f>
        <v>6095</v>
      </c>
      <c r="Z158" s="162">
        <f>+B45</f>
        <v>5915</v>
      </c>
      <c r="AA158" s="162">
        <f>+B46</f>
        <v>5735</v>
      </c>
      <c r="AB158" s="162">
        <f>+B47</f>
        <v>5555</v>
      </c>
      <c r="AC158" s="162">
        <f>+B48</f>
        <v>5375</v>
      </c>
      <c r="AD158" s="162">
        <f>+B49</f>
        <v>5195</v>
      </c>
      <c r="AE158" s="162">
        <f>+B50</f>
        <v>5016</v>
      </c>
      <c r="AF158" s="162">
        <f>+B51</f>
        <v>4836</v>
      </c>
      <c r="AG158" s="162">
        <f>+B52</f>
        <v>4656</v>
      </c>
      <c r="AH158" s="162">
        <f>+B53</f>
        <v>4476</v>
      </c>
      <c r="AI158" s="162">
        <f>+B54</f>
        <v>4296</v>
      </c>
      <c r="AJ158" s="162"/>
      <c r="AK158" s="162"/>
      <c r="AL158" s="162"/>
      <c r="AM158" s="162"/>
      <c r="AN158" s="162"/>
      <c r="AO158" s="161"/>
    </row>
    <row r="159" spans="1:41" ht="20.100000000000001" customHeight="1">
      <c r="K159" s="161" t="s">
        <v>101</v>
      </c>
      <c r="L159" s="161"/>
      <c r="M159" s="161"/>
      <c r="N159" s="161"/>
      <c r="O159" s="161"/>
      <c r="P159" s="161"/>
      <c r="Q159" s="161">
        <f>+Q158</f>
        <v>7609</v>
      </c>
      <c r="R159" s="162">
        <f>+B63</f>
        <v>7442</v>
      </c>
      <c r="S159" s="162">
        <f>+B64</f>
        <v>7279</v>
      </c>
      <c r="T159" s="162">
        <f>+B65</f>
        <v>7119</v>
      </c>
      <c r="U159" s="162">
        <f>+B66</f>
        <v>6963</v>
      </c>
      <c r="V159" s="162">
        <f>+B67</f>
        <v>6810</v>
      </c>
      <c r="W159" s="162">
        <f>+B68</f>
        <v>6661</v>
      </c>
      <c r="X159" s="162">
        <f>+B69</f>
        <v>6515</v>
      </c>
      <c r="Y159" s="162">
        <f>+B70</f>
        <v>6372</v>
      </c>
      <c r="Z159" s="162">
        <f>+B71</f>
        <v>6232</v>
      </c>
      <c r="AA159" s="162">
        <f>+B72</f>
        <v>6096</v>
      </c>
      <c r="AB159" s="162">
        <f>+B73</f>
        <v>5962</v>
      </c>
      <c r="AC159" s="162">
        <f>+B74</f>
        <v>5831</v>
      </c>
      <c r="AD159" s="162">
        <f>+B75</f>
        <v>5703</v>
      </c>
      <c r="AE159" s="162">
        <f>+B76</f>
        <v>5578</v>
      </c>
      <c r="AF159" s="162">
        <f>+B77</f>
        <v>5456</v>
      </c>
      <c r="AG159" s="162">
        <f>+B78</f>
        <v>5336</v>
      </c>
      <c r="AH159" s="162">
        <f>+B79</f>
        <v>5219</v>
      </c>
      <c r="AI159" s="162">
        <f>+B80</f>
        <v>5105</v>
      </c>
      <c r="AJ159" s="162"/>
      <c r="AK159" s="162"/>
      <c r="AL159" s="162"/>
      <c r="AM159" s="162"/>
      <c r="AN159" s="162"/>
      <c r="AO159" s="161"/>
    </row>
    <row r="160" spans="1:41" ht="20.100000000000001" customHeight="1">
      <c r="K160" s="161" t="s">
        <v>102</v>
      </c>
      <c r="L160" s="161"/>
      <c r="M160" s="161"/>
      <c r="N160" s="161"/>
      <c r="O160" s="161"/>
      <c r="P160" s="161"/>
      <c r="Q160" s="161">
        <f>+Q159</f>
        <v>7609</v>
      </c>
      <c r="R160" s="162" t="e">
        <f>+B89</f>
        <v>#VALUE!</v>
      </c>
      <c r="S160" s="162" t="e">
        <f>+B90</f>
        <v>#VALUE!</v>
      </c>
      <c r="T160" s="162" t="e">
        <f>+B91</f>
        <v>#VALUE!</v>
      </c>
      <c r="U160" s="162" t="e">
        <f>+B92</f>
        <v>#VALUE!</v>
      </c>
      <c r="V160" s="162" t="e">
        <f>+B93</f>
        <v>#VALUE!</v>
      </c>
      <c r="W160" s="162" t="e">
        <f>+B94</f>
        <v>#VALUE!</v>
      </c>
      <c r="X160" s="162" t="e">
        <f>+B95</f>
        <v>#VALUE!</v>
      </c>
      <c r="Y160" s="162" t="e">
        <f>+B96</f>
        <v>#VALUE!</v>
      </c>
      <c r="Z160" s="162" t="e">
        <f>+B97</f>
        <v>#VALUE!</v>
      </c>
      <c r="AA160" s="162" t="e">
        <f>+B98</f>
        <v>#VALUE!</v>
      </c>
      <c r="AB160" s="162" t="e">
        <f>+B99</f>
        <v>#VALUE!</v>
      </c>
      <c r="AC160" s="162" t="e">
        <f>+B100</f>
        <v>#VALUE!</v>
      </c>
      <c r="AD160" s="162" t="e">
        <f>+B101</f>
        <v>#VALUE!</v>
      </c>
      <c r="AE160" s="162" t="e">
        <f>+B102</f>
        <v>#VALUE!</v>
      </c>
      <c r="AF160" s="162" t="e">
        <f>+B103</f>
        <v>#VALUE!</v>
      </c>
      <c r="AG160" s="162" t="e">
        <f>+B104</f>
        <v>#VALUE!</v>
      </c>
      <c r="AH160" s="162" t="e">
        <f>+B105</f>
        <v>#VALUE!</v>
      </c>
      <c r="AI160" s="162" t="e">
        <f>+B106</f>
        <v>#VALUE!</v>
      </c>
      <c r="AJ160" s="161"/>
      <c r="AK160" s="161"/>
      <c r="AL160" s="161"/>
      <c r="AM160" s="161"/>
      <c r="AN160" s="161"/>
      <c r="AO160" s="161"/>
    </row>
    <row r="161" spans="11:41" ht="20.100000000000001" customHeight="1">
      <c r="K161" s="161" t="s">
        <v>103</v>
      </c>
      <c r="L161" s="161"/>
      <c r="M161" s="161"/>
      <c r="N161" s="161"/>
      <c r="O161" s="161"/>
      <c r="P161" s="161"/>
      <c r="Q161" s="161">
        <f>+Q160</f>
        <v>7609</v>
      </c>
      <c r="R161" s="162">
        <f>+B115</f>
        <v>7357</v>
      </c>
      <c r="S161" s="162">
        <f>+B116</f>
        <v>7181</v>
      </c>
      <c r="T161" s="162">
        <f>+B117</f>
        <v>7005</v>
      </c>
      <c r="U161" s="162">
        <f>+B118</f>
        <v>6831</v>
      </c>
      <c r="V161" s="162">
        <f>+B119</f>
        <v>6658</v>
      </c>
      <c r="W161" s="162">
        <f>+B120</f>
        <v>6486</v>
      </c>
      <c r="X161" s="162">
        <f>+B121</f>
        <v>6317</v>
      </c>
      <c r="Y161" s="162">
        <f>+B122</f>
        <v>6149</v>
      </c>
      <c r="Z161" s="162">
        <f>+B123</f>
        <v>5983</v>
      </c>
      <c r="AA161" s="162">
        <f>+B124</f>
        <v>5820</v>
      </c>
      <c r="AB161" s="162">
        <f>+B125</f>
        <v>5658</v>
      </c>
      <c r="AC161" s="162">
        <f>+B126</f>
        <v>5499</v>
      </c>
      <c r="AD161" s="162">
        <f>+B127</f>
        <v>5342</v>
      </c>
      <c r="AE161" s="162">
        <f>+B128</f>
        <v>5188</v>
      </c>
      <c r="AF161" s="162">
        <f>+B129</f>
        <v>5036</v>
      </c>
      <c r="AG161" s="162">
        <f>+B130</f>
        <v>4887</v>
      </c>
      <c r="AH161" s="162">
        <f>+B131</f>
        <v>4740</v>
      </c>
      <c r="AI161" s="162">
        <f>+B132</f>
        <v>4596</v>
      </c>
      <c r="AJ161" s="162"/>
      <c r="AK161" s="162"/>
      <c r="AL161" s="162"/>
      <c r="AM161" s="162"/>
      <c r="AN161" s="162"/>
      <c r="AO161" s="161"/>
    </row>
    <row r="162" spans="11:41" ht="20.100000000000001" customHeight="1">
      <c r="K162" s="161" t="s">
        <v>95</v>
      </c>
      <c r="L162" s="161"/>
      <c r="M162" s="161"/>
      <c r="N162" s="161"/>
      <c r="O162" s="161"/>
      <c r="P162" s="161"/>
      <c r="Q162" s="161">
        <f>+Q161</f>
        <v>7609</v>
      </c>
      <c r="R162" s="206">
        <f>+H136</f>
        <v>7394</v>
      </c>
      <c r="S162" s="206">
        <f>+H137</f>
        <v>7216.5</v>
      </c>
      <c r="T162" s="206">
        <f>+H138</f>
        <v>7039.5</v>
      </c>
      <c r="U162" s="206">
        <f>+H139</f>
        <v>6863</v>
      </c>
      <c r="V162" s="206">
        <f>+H140</f>
        <v>6687.5</v>
      </c>
      <c r="W162" s="175">
        <f>+H141</f>
        <v>6512.5</v>
      </c>
      <c r="X162" s="206">
        <f>+H142</f>
        <v>6338.5</v>
      </c>
      <c r="Y162" s="206">
        <f>+H143</f>
        <v>6165.5</v>
      </c>
      <c r="Z162" s="206">
        <f>+H144</f>
        <v>5993</v>
      </c>
      <c r="AA162" s="206">
        <f>+H145</f>
        <v>5822.5</v>
      </c>
      <c r="AB162" s="206">
        <f>+H146</f>
        <v>5652.5</v>
      </c>
      <c r="AC162" s="206">
        <f>+H147</f>
        <v>5483.5</v>
      </c>
      <c r="AD162" s="206">
        <f>+H148</f>
        <v>5316</v>
      </c>
      <c r="AE162" s="206">
        <f>+H149</f>
        <v>5149.5</v>
      </c>
      <c r="AF162" s="206">
        <f>+H150</f>
        <v>4984.5</v>
      </c>
      <c r="AG162" s="206">
        <f>+H151</f>
        <v>4821</v>
      </c>
      <c r="AH162" s="206">
        <f>+H152</f>
        <v>4658</v>
      </c>
      <c r="AI162" s="206">
        <f>+H153</f>
        <v>4497</v>
      </c>
      <c r="AJ162" s="161"/>
      <c r="AK162" s="161"/>
      <c r="AL162" s="161"/>
      <c r="AM162" s="161"/>
      <c r="AN162" s="161"/>
      <c r="AO162" s="161" t="s">
        <v>95</v>
      </c>
    </row>
    <row r="163" spans="11:41" ht="20.100000000000001" customHeight="1"/>
    <row r="164" spans="11:41" ht="20.100000000000001" customHeight="1"/>
    <row r="165" spans="11:41" ht="20.100000000000001" customHeight="1"/>
    <row r="166" spans="11:41" ht="20.100000000000001" customHeight="1"/>
    <row r="167" spans="11:41" ht="20.100000000000001" customHeight="1"/>
    <row r="168" spans="11:41" ht="20.100000000000001" customHeight="1"/>
    <row r="169" spans="11:41" ht="20.100000000000001" customHeight="1"/>
    <row r="170" spans="11:41" ht="20.100000000000001" customHeight="1"/>
    <row r="171" spans="11:41" ht="20.100000000000001" customHeight="1"/>
    <row r="172" spans="11:41" ht="20.100000000000001" customHeight="1"/>
    <row r="173" spans="11:41" ht="20.100000000000001" customHeight="1"/>
    <row r="174" spans="11:41" ht="20.100000000000001" customHeight="1"/>
    <row r="175" spans="11:41" ht="20.100000000000001" customHeight="1"/>
    <row r="176" spans="11:41" ht="20.100000000000001" customHeight="1"/>
    <row r="177" ht="20.100000000000001" customHeight="1"/>
    <row r="178" ht="20.100000000000001" customHeight="1"/>
    <row r="179" ht="20.100000000000001" customHeight="1"/>
  </sheetData>
  <phoneticPr fontId="50" type="noConversion"/>
  <pageMargins left="0.74803149606299213" right="0.74803149606299213" top="0.78740157480314965" bottom="0.78740157480314965" header="0.51181102362204722" footer="0.51181102362204722"/>
  <pageSetup paperSize="9" scale="70" fitToHeight="3" orientation="portrait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>
  <sheetPr codeName="Sheet51">
    <tabColor indexed="45"/>
  </sheetPr>
  <dimension ref="A1:AX248"/>
  <sheetViews>
    <sheetView workbookViewId="0"/>
  </sheetViews>
  <sheetFormatPr defaultRowHeight="15" customHeight="1"/>
  <cols>
    <col min="1" max="1" width="8.88671875" style="55"/>
    <col min="2" max="2" width="9.21875" style="55" customWidth="1"/>
    <col min="3" max="3" width="9.5546875" style="55" customWidth="1"/>
    <col min="4" max="4" width="9" style="55" customWidth="1"/>
    <col min="5" max="5" width="11.33203125" style="55" customWidth="1"/>
    <col min="6" max="6" width="9.44140625" style="55" customWidth="1"/>
    <col min="7" max="7" width="15.109375" style="55" bestFit="1" customWidth="1"/>
    <col min="8" max="8" width="12.88671875" style="55" bestFit="1" customWidth="1"/>
    <col min="9" max="9" width="11.5546875" style="55" bestFit="1" customWidth="1"/>
    <col min="10" max="16384" width="8.88671875" style="55"/>
  </cols>
  <sheetData>
    <row r="1" spans="1:12" ht="15" customHeight="1">
      <c r="A1" s="54" t="s">
        <v>112</v>
      </c>
    </row>
    <row r="2" spans="1:12" ht="15" customHeight="1">
      <c r="A2" s="54"/>
    </row>
    <row r="3" spans="1:12" ht="15" customHeight="1">
      <c r="A3" s="56" t="s">
        <v>74</v>
      </c>
      <c r="B3" s="57"/>
    </row>
    <row r="4" spans="1:12" ht="15" customHeight="1">
      <c r="A4" s="58" t="s">
        <v>32</v>
      </c>
      <c r="B4" s="59" t="s">
        <v>40</v>
      </c>
      <c r="C4" s="59" t="s">
        <v>33</v>
      </c>
      <c r="D4" s="60"/>
      <c r="E4" s="60"/>
      <c r="F4" s="61"/>
      <c r="G4" s="62"/>
      <c r="H4" s="63" t="s">
        <v>104</v>
      </c>
      <c r="I4" s="64">
        <f>RSQ(I5:I24,B5:B24)</f>
        <v>0.70339963746538758</v>
      </c>
    </row>
    <row r="5" spans="1:12" ht="15" customHeight="1">
      <c r="A5" s="65">
        <f>과거인구현황!A6</f>
        <v>1988</v>
      </c>
      <c r="B5" s="66">
        <f>+VLOOKUP(A5,과거인구현황!$A$6:$W$26,12,FALSE)</f>
        <v>7207</v>
      </c>
      <c r="C5" s="67">
        <v>0</v>
      </c>
      <c r="D5" s="53" t="s">
        <v>75</v>
      </c>
      <c r="E5" s="68">
        <f>(B24-B5)/C24</f>
        <v>-88.21052631578948</v>
      </c>
      <c r="F5" s="69"/>
      <c r="G5" s="53"/>
      <c r="H5" s="69"/>
      <c r="I5" s="70">
        <f t="shared" ref="I5:I42" si="0">$E$5*C5+$E$6</f>
        <v>7207</v>
      </c>
      <c r="J5" s="71">
        <v>570570</v>
      </c>
      <c r="K5" s="55">
        <v>570570</v>
      </c>
      <c r="L5" s="55">
        <v>766</v>
      </c>
    </row>
    <row r="6" spans="1:12" ht="15" customHeight="1">
      <c r="A6" s="65">
        <f>과거인구현황!A7</f>
        <v>1989</v>
      </c>
      <c r="B6" s="66">
        <f>+VLOOKUP(A6,과거인구현황!$A$6:$W$26,12,FALSE)</f>
        <v>7794</v>
      </c>
      <c r="C6" s="67">
        <f t="shared" ref="C6:C42" si="1">C5+1</f>
        <v>1</v>
      </c>
      <c r="D6" s="53" t="s">
        <v>76</v>
      </c>
      <c r="E6" s="72">
        <f>B5</f>
        <v>7207</v>
      </c>
      <c r="F6" s="69"/>
      <c r="G6" s="53"/>
      <c r="H6" s="69"/>
      <c r="I6" s="70">
        <f t="shared" si="0"/>
        <v>7118.7894736842109</v>
      </c>
      <c r="J6" s="71">
        <v>583230</v>
      </c>
      <c r="K6" s="55">
        <v>583230</v>
      </c>
      <c r="L6" s="55">
        <v>1094</v>
      </c>
    </row>
    <row r="7" spans="1:12" ht="15" customHeight="1">
      <c r="A7" s="65">
        <f>과거인구현황!A8</f>
        <v>1990</v>
      </c>
      <c r="B7" s="66">
        <f>+VLOOKUP(A7,과거인구현황!$A$6:$W$26,12,FALSE)</f>
        <v>7610</v>
      </c>
      <c r="C7" s="67">
        <f t="shared" si="1"/>
        <v>2</v>
      </c>
      <c r="D7" s="53" t="s">
        <v>77</v>
      </c>
      <c r="E7" s="73">
        <f>I4</f>
        <v>0.70339963746538758</v>
      </c>
      <c r="F7" s="69"/>
      <c r="G7" s="53"/>
      <c r="H7" s="69"/>
      <c r="I7" s="70">
        <f t="shared" si="0"/>
        <v>7030.5789473684208</v>
      </c>
      <c r="J7" s="71">
        <v>590162</v>
      </c>
      <c r="K7" s="55">
        <v>590162</v>
      </c>
      <c r="L7" s="55">
        <v>1277</v>
      </c>
    </row>
    <row r="8" spans="1:12" ht="15" customHeight="1">
      <c r="A8" s="65">
        <f>과거인구현황!A9</f>
        <v>1991</v>
      </c>
      <c r="B8" s="66">
        <f>+VLOOKUP(A8,과거인구현황!$A$6:$W$26,12,FALSE)</f>
        <v>8555</v>
      </c>
      <c r="C8" s="67">
        <f t="shared" si="1"/>
        <v>3</v>
      </c>
      <c r="D8" s="53"/>
      <c r="E8" s="53"/>
      <c r="F8" s="69"/>
      <c r="G8" s="53"/>
      <c r="H8" s="69"/>
      <c r="I8" s="70">
        <f t="shared" si="0"/>
        <v>6942.3684210526317</v>
      </c>
      <c r="J8" s="71">
        <v>600343</v>
      </c>
      <c r="K8" s="55">
        <v>600343</v>
      </c>
      <c r="L8" s="55">
        <v>1147</v>
      </c>
    </row>
    <row r="9" spans="1:12" ht="15" customHeight="1">
      <c r="A9" s="65">
        <f>과거인구현황!A10</f>
        <v>1992</v>
      </c>
      <c r="B9" s="66">
        <f>+VLOOKUP(A9,과거인구현황!$A$6:$W$26,12,FALSE)</f>
        <v>8489</v>
      </c>
      <c r="C9" s="67">
        <f t="shared" si="1"/>
        <v>4</v>
      </c>
      <c r="D9" s="53"/>
      <c r="E9" s="53"/>
      <c r="F9" s="69"/>
      <c r="G9" s="53"/>
      <c r="H9" s="69"/>
      <c r="I9" s="70">
        <f t="shared" si="0"/>
        <v>6854.1578947368416</v>
      </c>
      <c r="J9" s="71">
        <v>611921</v>
      </c>
      <c r="K9" s="55">
        <v>611921</v>
      </c>
      <c r="L9" s="55">
        <v>1355</v>
      </c>
    </row>
    <row r="10" spans="1:12" ht="15" customHeight="1">
      <c r="A10" s="65">
        <f>과거인구현황!A11</f>
        <v>1993</v>
      </c>
      <c r="B10" s="66">
        <f>+VLOOKUP(A10,과거인구현황!$A$6:$W$26,12,FALSE)</f>
        <v>8453</v>
      </c>
      <c r="C10" s="67">
        <f t="shared" si="1"/>
        <v>5</v>
      </c>
      <c r="D10" s="53"/>
      <c r="E10" s="53"/>
      <c r="F10" s="69"/>
      <c r="G10" s="53"/>
      <c r="H10" s="69"/>
      <c r="I10" s="70">
        <f t="shared" si="0"/>
        <v>6765.9473684210525</v>
      </c>
      <c r="J10" s="74">
        <v>622238</v>
      </c>
      <c r="K10" s="55">
        <v>622238</v>
      </c>
      <c r="L10" s="55">
        <v>1717</v>
      </c>
    </row>
    <row r="11" spans="1:12" ht="15" customHeight="1">
      <c r="A11" s="65">
        <f>과거인구현황!A12</f>
        <v>1994</v>
      </c>
      <c r="B11" s="66">
        <f>+VLOOKUP(A11,과거인구현황!$A$6:$W$26,12,FALSE)</f>
        <v>8351</v>
      </c>
      <c r="C11" s="67">
        <f t="shared" si="1"/>
        <v>6</v>
      </c>
      <c r="D11" s="53" t="s">
        <v>73</v>
      </c>
      <c r="E11" s="53"/>
      <c r="F11" s="69"/>
      <c r="G11" s="53"/>
      <c r="H11" s="69"/>
      <c r="I11" s="70">
        <f t="shared" si="0"/>
        <v>6677.7368421052633</v>
      </c>
      <c r="J11" s="74">
        <v>623897</v>
      </c>
      <c r="K11" s="55">
        <v>623897</v>
      </c>
      <c r="L11" s="55">
        <v>1614</v>
      </c>
    </row>
    <row r="12" spans="1:12" ht="15" customHeight="1">
      <c r="A12" s="65">
        <f>과거인구현황!A13</f>
        <v>1995</v>
      </c>
      <c r="B12" s="66">
        <f>+VLOOKUP(A12,과거인구현황!$A$6:$W$26,12,FALSE)</f>
        <v>8005</v>
      </c>
      <c r="C12" s="67">
        <f t="shared" si="1"/>
        <v>7</v>
      </c>
      <c r="D12" s="53"/>
      <c r="E12" s="53"/>
      <c r="F12" s="69"/>
      <c r="G12" s="53"/>
      <c r="H12" s="69"/>
      <c r="I12" s="70">
        <f t="shared" si="0"/>
        <v>6589.5263157894733</v>
      </c>
      <c r="J12" s="74">
        <v>626069</v>
      </c>
      <c r="K12" s="55">
        <v>626069</v>
      </c>
      <c r="L12" s="55">
        <v>1584</v>
      </c>
    </row>
    <row r="13" spans="1:12" ht="15" customHeight="1">
      <c r="A13" s="65">
        <f>과거인구현황!A14</f>
        <v>1996</v>
      </c>
      <c r="B13" s="66">
        <f>+VLOOKUP(A13,과거인구현황!$A$6:$W$26,12,FALSE)</f>
        <v>7874</v>
      </c>
      <c r="C13" s="67">
        <f t="shared" si="1"/>
        <v>8</v>
      </c>
      <c r="D13" s="53"/>
      <c r="E13" s="53"/>
      <c r="F13" s="69"/>
      <c r="G13" s="53"/>
      <c r="H13" s="69"/>
      <c r="I13" s="70">
        <f t="shared" si="0"/>
        <v>6501.3157894736842</v>
      </c>
      <c r="J13" s="74">
        <v>618816</v>
      </c>
      <c r="K13" s="55">
        <v>620374</v>
      </c>
      <c r="L13" s="75">
        <v>1555</v>
      </c>
    </row>
    <row r="14" spans="1:12" ht="15" customHeight="1">
      <c r="A14" s="65">
        <f>과거인구현황!A15</f>
        <v>1997</v>
      </c>
      <c r="B14" s="66">
        <f>+VLOOKUP(A14,과거인구현황!$A$6:$W$26,12,FALSE)</f>
        <v>7667</v>
      </c>
      <c r="C14" s="67">
        <f t="shared" si="1"/>
        <v>9</v>
      </c>
      <c r="D14" s="53"/>
      <c r="E14" s="53"/>
      <c r="F14" s="69"/>
      <c r="G14" s="53"/>
      <c r="H14" s="69"/>
      <c r="I14" s="70">
        <f t="shared" si="0"/>
        <v>6413.105263157895</v>
      </c>
      <c r="J14" s="74">
        <v>622472</v>
      </c>
      <c r="K14" s="55">
        <v>624260</v>
      </c>
      <c r="L14" s="75">
        <v>1788</v>
      </c>
    </row>
    <row r="15" spans="1:12" ht="15" customHeight="1">
      <c r="A15" s="65">
        <f>과거인구현황!A16</f>
        <v>1998</v>
      </c>
      <c r="B15" s="66">
        <f>+VLOOKUP(A15,과거인구현황!$A$6:$W$26,12,FALSE)</f>
        <v>7586</v>
      </c>
      <c r="C15" s="67">
        <f t="shared" si="1"/>
        <v>10</v>
      </c>
      <c r="D15" s="53"/>
      <c r="E15" s="53"/>
      <c r="F15" s="69"/>
      <c r="G15" s="53"/>
      <c r="H15" s="69"/>
      <c r="I15" s="70">
        <f t="shared" si="0"/>
        <v>6324.894736842105</v>
      </c>
      <c r="K15" s="55">
        <v>623804</v>
      </c>
      <c r="L15" s="75">
        <f>+J15-K15</f>
        <v>-623804</v>
      </c>
    </row>
    <row r="16" spans="1:12" ht="15" customHeight="1">
      <c r="A16" s="65">
        <f>과거인구현황!A17</f>
        <v>1999</v>
      </c>
      <c r="B16" s="66">
        <f>+VLOOKUP(A16,과거인구현황!$A$6:$W$26,12,FALSE)</f>
        <v>7436</v>
      </c>
      <c r="C16" s="67">
        <f t="shared" si="1"/>
        <v>11</v>
      </c>
      <c r="D16" s="53"/>
      <c r="E16" s="53"/>
      <c r="F16" s="69"/>
      <c r="G16" s="53"/>
      <c r="H16" s="69"/>
      <c r="I16" s="70">
        <f t="shared" si="0"/>
        <v>6236.6842105263158</v>
      </c>
      <c r="L16" s="75"/>
    </row>
    <row r="17" spans="1:12" ht="15" customHeight="1">
      <c r="A17" s="65">
        <f>과거인구현황!A18</f>
        <v>2000</v>
      </c>
      <c r="B17" s="66">
        <f>+VLOOKUP(A17,과거인구현황!$A$6:$W$26,12,FALSE)</f>
        <v>7135</v>
      </c>
      <c r="C17" s="67">
        <f t="shared" si="1"/>
        <v>12</v>
      </c>
      <c r="D17" s="53"/>
      <c r="E17" s="53"/>
      <c r="F17" s="69"/>
      <c r="G17" s="53"/>
      <c r="H17" s="69"/>
      <c r="I17" s="70">
        <f t="shared" si="0"/>
        <v>6148.4736842105267</v>
      </c>
      <c r="L17" s="75"/>
    </row>
    <row r="18" spans="1:12" ht="15" customHeight="1">
      <c r="A18" s="65">
        <f>과거인구현황!A19</f>
        <v>2001</v>
      </c>
      <c r="B18" s="66">
        <f>+VLOOKUP(A18,과거인구현황!$A$6:$W$26,12,FALSE)</f>
        <v>6834</v>
      </c>
      <c r="C18" s="67">
        <f t="shared" si="1"/>
        <v>13</v>
      </c>
      <c r="D18" s="53"/>
      <c r="E18" s="53"/>
      <c r="F18" s="69"/>
      <c r="G18" s="53"/>
      <c r="H18" s="69"/>
      <c r="I18" s="70">
        <f t="shared" si="0"/>
        <v>6060.2631578947367</v>
      </c>
      <c r="L18" s="75"/>
    </row>
    <row r="19" spans="1:12" ht="15" customHeight="1">
      <c r="A19" s="65">
        <f>과거인구현황!A20</f>
        <v>2002</v>
      </c>
      <c r="B19" s="66">
        <f>+VLOOKUP(A19,과거인구현황!$A$6:$W$26,12,FALSE)</f>
        <v>6429</v>
      </c>
      <c r="C19" s="67">
        <f t="shared" si="1"/>
        <v>14</v>
      </c>
      <c r="D19" s="53"/>
      <c r="E19" s="53"/>
      <c r="F19" s="69"/>
      <c r="G19" s="53"/>
      <c r="H19" s="69"/>
      <c r="I19" s="70">
        <f t="shared" si="0"/>
        <v>5972.0526315789475</v>
      </c>
      <c r="L19" s="75"/>
    </row>
    <row r="20" spans="1:12" ht="15" customHeight="1">
      <c r="A20" s="65">
        <f>과거인구현황!A21</f>
        <v>2003</v>
      </c>
      <c r="B20" s="66">
        <f>+VLOOKUP(A20,과거인구현황!$A$6:$W$26,12,FALSE)</f>
        <v>6136</v>
      </c>
      <c r="C20" s="67">
        <f t="shared" si="1"/>
        <v>15</v>
      </c>
      <c r="D20" s="53"/>
      <c r="E20" s="53"/>
      <c r="F20" s="69"/>
      <c r="G20" s="53"/>
      <c r="H20" s="69"/>
      <c r="I20" s="70">
        <f t="shared" si="0"/>
        <v>5883.8421052631584</v>
      </c>
      <c r="L20" s="75"/>
    </row>
    <row r="21" spans="1:12" ht="15" customHeight="1">
      <c r="A21" s="65">
        <f>과거인구현황!A22</f>
        <v>2004</v>
      </c>
      <c r="B21" s="66">
        <f>+VLOOKUP(A21,과거인구현황!$A$6:$W$26,12,FALSE)</f>
        <v>6182</v>
      </c>
      <c r="C21" s="67">
        <f t="shared" si="1"/>
        <v>16</v>
      </c>
      <c r="D21" s="53"/>
      <c r="E21" s="53"/>
      <c r="F21" s="69"/>
      <c r="G21" s="53"/>
      <c r="H21" s="69"/>
      <c r="I21" s="70">
        <f t="shared" si="0"/>
        <v>5795.6315789473683</v>
      </c>
      <c r="L21" s="75"/>
    </row>
    <row r="22" spans="1:12" ht="15" customHeight="1">
      <c r="A22" s="65">
        <f>과거인구현황!A23</f>
        <v>2005</v>
      </c>
      <c r="B22" s="66">
        <f>+VLOOKUP(A22,과거인구현황!$A$6:$W$26,12,FALSE)</f>
        <v>6155</v>
      </c>
      <c r="C22" s="67">
        <f t="shared" si="1"/>
        <v>17</v>
      </c>
      <c r="D22" s="53"/>
      <c r="E22" s="53"/>
      <c r="F22" s="69"/>
      <c r="G22" s="53"/>
      <c r="H22" s="69"/>
      <c r="I22" s="70">
        <f t="shared" si="0"/>
        <v>5707.4210526315783</v>
      </c>
      <c r="L22" s="75"/>
    </row>
    <row r="23" spans="1:12" ht="15" customHeight="1">
      <c r="A23" s="65">
        <f>과거인구현황!A24</f>
        <v>2006</v>
      </c>
      <c r="B23" s="66">
        <f>+VLOOKUP(A23,과거인구현황!$A$6:$W$26,12,FALSE)</f>
        <v>5800</v>
      </c>
      <c r="C23" s="67">
        <f t="shared" si="1"/>
        <v>18</v>
      </c>
      <c r="D23" s="53"/>
      <c r="E23" s="53"/>
      <c r="F23" s="69"/>
      <c r="G23" s="53"/>
      <c r="H23" s="69"/>
      <c r="I23" s="70">
        <f t="shared" si="0"/>
        <v>5619.2105263157891</v>
      </c>
      <c r="L23" s="75"/>
    </row>
    <row r="24" spans="1:12" ht="15" customHeight="1" thickBot="1">
      <c r="A24" s="97">
        <f>과거인구현황!A25</f>
        <v>2007</v>
      </c>
      <c r="B24" s="185">
        <f>+VLOOKUP(A24,과거인구현황!$A$6:$W$26,12,FALSE)</f>
        <v>5531</v>
      </c>
      <c r="C24" s="99">
        <f t="shared" si="1"/>
        <v>19</v>
      </c>
      <c r="D24" s="101"/>
      <c r="E24" s="101"/>
      <c r="F24" s="100"/>
      <c r="G24" s="101"/>
      <c r="H24" s="100"/>
      <c r="I24" s="102">
        <f t="shared" si="0"/>
        <v>5531</v>
      </c>
      <c r="L24" s="75"/>
    </row>
    <row r="25" spans="1:12" ht="15" customHeight="1" thickTop="1">
      <c r="A25" s="255">
        <v>2008</v>
      </c>
      <c r="B25" s="81">
        <f t="shared" ref="B25:B42" si="2">ROUND($E$5*C25+$E$6,0)</f>
        <v>5443</v>
      </c>
      <c r="C25" s="77">
        <f t="shared" si="1"/>
        <v>20</v>
      </c>
      <c r="D25" s="256"/>
      <c r="E25" s="256"/>
      <c r="F25" s="78"/>
      <c r="G25" s="256"/>
      <c r="H25" s="78"/>
      <c r="I25" s="79">
        <f t="shared" si="0"/>
        <v>5442.78947368421</v>
      </c>
      <c r="L25" s="75"/>
    </row>
    <row r="26" spans="1:12" ht="15" customHeight="1">
      <c r="A26" s="80">
        <v>2009</v>
      </c>
      <c r="B26" s="81">
        <f t="shared" si="2"/>
        <v>5355</v>
      </c>
      <c r="C26" s="67">
        <f>C25+1</f>
        <v>21</v>
      </c>
      <c r="D26" s="69"/>
      <c r="E26" s="69"/>
      <c r="F26" s="69"/>
      <c r="G26" s="69"/>
      <c r="H26" s="69"/>
      <c r="I26" s="70">
        <f t="shared" si="0"/>
        <v>5354.5789473684208</v>
      </c>
    </row>
    <row r="27" spans="1:12" ht="15" customHeight="1">
      <c r="A27" s="80">
        <v>2010</v>
      </c>
      <c r="B27" s="81">
        <f t="shared" si="2"/>
        <v>5266</v>
      </c>
      <c r="C27" s="82">
        <f t="shared" si="1"/>
        <v>22</v>
      </c>
      <c r="D27" s="69"/>
      <c r="E27" s="69"/>
      <c r="F27" s="69"/>
      <c r="G27" s="69"/>
      <c r="H27" s="69"/>
      <c r="I27" s="70">
        <f t="shared" si="0"/>
        <v>5266.3684210526317</v>
      </c>
    </row>
    <row r="28" spans="1:12" ht="15" customHeight="1">
      <c r="A28" s="80">
        <v>2011</v>
      </c>
      <c r="B28" s="81">
        <f t="shared" si="2"/>
        <v>5178</v>
      </c>
      <c r="C28" s="82">
        <f t="shared" si="1"/>
        <v>23</v>
      </c>
      <c r="D28" s="69"/>
      <c r="E28" s="69"/>
      <c r="F28" s="69"/>
      <c r="G28" s="69"/>
      <c r="H28" s="69"/>
      <c r="I28" s="70">
        <f t="shared" si="0"/>
        <v>5178.1578947368416</v>
      </c>
    </row>
    <row r="29" spans="1:12" ht="15" customHeight="1">
      <c r="A29" s="80">
        <v>2012</v>
      </c>
      <c r="B29" s="81">
        <f t="shared" si="2"/>
        <v>5090</v>
      </c>
      <c r="C29" s="82">
        <f t="shared" si="1"/>
        <v>24</v>
      </c>
      <c r="D29" s="69"/>
      <c r="E29" s="69"/>
      <c r="F29" s="69"/>
      <c r="G29" s="69"/>
      <c r="H29" s="69"/>
      <c r="I29" s="70">
        <f t="shared" si="0"/>
        <v>5089.9473684210525</v>
      </c>
    </row>
    <row r="30" spans="1:12" ht="15" customHeight="1">
      <c r="A30" s="80">
        <v>2013</v>
      </c>
      <c r="B30" s="81">
        <f t="shared" si="2"/>
        <v>5002</v>
      </c>
      <c r="C30" s="82">
        <f t="shared" si="1"/>
        <v>25</v>
      </c>
      <c r="D30" s="69"/>
      <c r="E30" s="69"/>
      <c r="F30" s="69"/>
      <c r="G30" s="69"/>
      <c r="H30" s="69"/>
      <c r="I30" s="70">
        <f t="shared" si="0"/>
        <v>5001.7368421052633</v>
      </c>
    </row>
    <row r="31" spans="1:12" ht="15" customHeight="1">
      <c r="A31" s="80">
        <v>2014</v>
      </c>
      <c r="B31" s="81">
        <f t="shared" si="2"/>
        <v>4914</v>
      </c>
      <c r="C31" s="82">
        <f t="shared" si="1"/>
        <v>26</v>
      </c>
      <c r="D31" s="69"/>
      <c r="E31" s="69"/>
      <c r="F31" s="69"/>
      <c r="G31" s="69"/>
      <c r="H31" s="69"/>
      <c r="I31" s="70">
        <f t="shared" si="0"/>
        <v>4913.5263157894733</v>
      </c>
    </row>
    <row r="32" spans="1:12" ht="15" customHeight="1">
      <c r="A32" s="80">
        <v>2015</v>
      </c>
      <c r="B32" s="81">
        <f t="shared" si="2"/>
        <v>4825</v>
      </c>
      <c r="C32" s="82">
        <f t="shared" si="1"/>
        <v>27</v>
      </c>
      <c r="D32" s="69"/>
      <c r="E32" s="69"/>
      <c r="F32" s="69"/>
      <c r="G32" s="69"/>
      <c r="H32" s="69"/>
      <c r="I32" s="70">
        <f t="shared" si="0"/>
        <v>4825.3157894736842</v>
      </c>
    </row>
    <row r="33" spans="1:11" ht="15" customHeight="1">
      <c r="A33" s="80">
        <v>2016</v>
      </c>
      <c r="B33" s="81">
        <f t="shared" si="2"/>
        <v>4737</v>
      </c>
      <c r="C33" s="82">
        <f t="shared" si="1"/>
        <v>28</v>
      </c>
      <c r="D33" s="69"/>
      <c r="E33" s="69"/>
      <c r="F33" s="69"/>
      <c r="G33" s="69"/>
      <c r="H33" s="69"/>
      <c r="I33" s="70">
        <f t="shared" si="0"/>
        <v>4737.105263157895</v>
      </c>
    </row>
    <row r="34" spans="1:11" ht="15" customHeight="1">
      <c r="A34" s="80">
        <v>2017</v>
      </c>
      <c r="B34" s="81">
        <f t="shared" si="2"/>
        <v>4649</v>
      </c>
      <c r="C34" s="82">
        <f t="shared" si="1"/>
        <v>29</v>
      </c>
      <c r="D34" s="69"/>
      <c r="E34" s="69"/>
      <c r="F34" s="69"/>
      <c r="G34" s="69"/>
      <c r="H34" s="69"/>
      <c r="I34" s="70">
        <f t="shared" si="0"/>
        <v>4648.894736842105</v>
      </c>
    </row>
    <row r="35" spans="1:11" ht="15" customHeight="1">
      <c r="A35" s="80">
        <v>2018</v>
      </c>
      <c r="B35" s="81">
        <f t="shared" si="2"/>
        <v>4561</v>
      </c>
      <c r="C35" s="82">
        <f t="shared" si="1"/>
        <v>30</v>
      </c>
      <c r="D35" s="69"/>
      <c r="E35" s="69"/>
      <c r="F35" s="69"/>
      <c r="G35" s="69"/>
      <c r="H35" s="69"/>
      <c r="I35" s="70">
        <f t="shared" si="0"/>
        <v>4560.6842105263158</v>
      </c>
    </row>
    <row r="36" spans="1:11" ht="15" customHeight="1">
      <c r="A36" s="80">
        <v>2019</v>
      </c>
      <c r="B36" s="81">
        <f t="shared" si="2"/>
        <v>4472</v>
      </c>
      <c r="C36" s="82">
        <f t="shared" si="1"/>
        <v>31</v>
      </c>
      <c r="D36" s="69"/>
      <c r="E36" s="69"/>
      <c r="F36" s="69"/>
      <c r="G36" s="69"/>
      <c r="H36" s="69"/>
      <c r="I36" s="70">
        <f t="shared" si="0"/>
        <v>4472.4736842105267</v>
      </c>
    </row>
    <row r="37" spans="1:11" ht="15" customHeight="1">
      <c r="A37" s="80">
        <v>2020</v>
      </c>
      <c r="B37" s="81">
        <f t="shared" si="2"/>
        <v>4384</v>
      </c>
      <c r="C37" s="82">
        <f t="shared" si="1"/>
        <v>32</v>
      </c>
      <c r="D37" s="69"/>
      <c r="E37" s="69"/>
      <c r="F37" s="69"/>
      <c r="G37" s="69"/>
      <c r="H37" s="69"/>
      <c r="I37" s="70">
        <f t="shared" si="0"/>
        <v>4384.2631578947367</v>
      </c>
    </row>
    <row r="38" spans="1:11" ht="15" customHeight="1">
      <c r="A38" s="80">
        <v>2021</v>
      </c>
      <c r="B38" s="81">
        <f t="shared" si="2"/>
        <v>4296</v>
      </c>
      <c r="C38" s="82">
        <f t="shared" si="1"/>
        <v>33</v>
      </c>
      <c r="D38" s="69"/>
      <c r="E38" s="69"/>
      <c r="F38" s="69"/>
      <c r="G38" s="69"/>
      <c r="H38" s="69"/>
      <c r="I38" s="70">
        <f t="shared" si="0"/>
        <v>4296.0526315789466</v>
      </c>
    </row>
    <row r="39" spans="1:11" ht="15" customHeight="1">
      <c r="A39" s="80">
        <v>2022</v>
      </c>
      <c r="B39" s="81">
        <f t="shared" si="2"/>
        <v>4208</v>
      </c>
      <c r="C39" s="82">
        <f t="shared" si="1"/>
        <v>34</v>
      </c>
      <c r="D39" s="69"/>
      <c r="E39" s="69"/>
      <c r="F39" s="69"/>
      <c r="G39" s="69"/>
      <c r="H39" s="69"/>
      <c r="I39" s="70">
        <f t="shared" si="0"/>
        <v>4207.8421052631575</v>
      </c>
    </row>
    <row r="40" spans="1:11" ht="15" customHeight="1">
      <c r="A40" s="80">
        <v>2023</v>
      </c>
      <c r="B40" s="81">
        <f t="shared" si="2"/>
        <v>4120</v>
      </c>
      <c r="C40" s="82">
        <f t="shared" si="1"/>
        <v>35</v>
      </c>
      <c r="D40" s="69"/>
      <c r="E40" s="69"/>
      <c r="F40" s="69"/>
      <c r="G40" s="69"/>
      <c r="H40" s="69"/>
      <c r="I40" s="70">
        <f t="shared" si="0"/>
        <v>4119.6315789473683</v>
      </c>
    </row>
    <row r="41" spans="1:11" ht="15" customHeight="1">
      <c r="A41" s="80">
        <v>2024</v>
      </c>
      <c r="B41" s="81">
        <f t="shared" si="2"/>
        <v>4031</v>
      </c>
      <c r="C41" s="67">
        <f t="shared" si="1"/>
        <v>36</v>
      </c>
      <c r="D41" s="83"/>
      <c r="E41" s="69"/>
      <c r="F41" s="69"/>
      <c r="G41" s="69"/>
      <c r="H41" s="84"/>
      <c r="I41" s="70">
        <f t="shared" si="0"/>
        <v>4031.4210526315787</v>
      </c>
    </row>
    <row r="42" spans="1:11" ht="15" customHeight="1">
      <c r="A42" s="85">
        <v>2025</v>
      </c>
      <c r="B42" s="86">
        <f t="shared" si="2"/>
        <v>3943</v>
      </c>
      <c r="C42" s="87">
        <f t="shared" si="1"/>
        <v>37</v>
      </c>
      <c r="D42" s="88"/>
      <c r="E42" s="89"/>
      <c r="F42" s="89"/>
      <c r="G42" s="89"/>
      <c r="H42" s="90"/>
      <c r="I42" s="91">
        <f t="shared" si="0"/>
        <v>3943.2105263157891</v>
      </c>
    </row>
    <row r="43" spans="1:11" ht="15" customHeight="1">
      <c r="A43" s="56" t="s">
        <v>78</v>
      </c>
      <c r="B43" s="92"/>
      <c r="I43" s="89"/>
    </row>
    <row r="44" spans="1:11" ht="15" customHeight="1">
      <c r="A44" s="58" t="s">
        <v>32</v>
      </c>
      <c r="B44" s="59" t="s">
        <v>40</v>
      </c>
      <c r="C44" s="59" t="s">
        <v>33</v>
      </c>
      <c r="D44" s="60"/>
      <c r="E44" s="60"/>
      <c r="F44" s="61"/>
      <c r="G44" s="62"/>
      <c r="H44" s="63" t="s">
        <v>104</v>
      </c>
      <c r="I44" s="64">
        <f>RSQ(I45:I65,B45:B65)</f>
        <v>0.7330574852137639</v>
      </c>
    </row>
    <row r="45" spans="1:11" ht="15" customHeight="1">
      <c r="A45" s="65">
        <f t="shared" ref="A45:B60" si="3">A5</f>
        <v>1988</v>
      </c>
      <c r="B45" s="93">
        <f t="shared" si="3"/>
        <v>7207</v>
      </c>
      <c r="C45" s="67">
        <v>0</v>
      </c>
      <c r="D45" s="53" t="s">
        <v>75</v>
      </c>
      <c r="E45" s="68">
        <f>INDEX(LINEST(B45:B64,C45:C64),1)</f>
        <v>-134.49548872180449</v>
      </c>
      <c r="F45" s="69"/>
      <c r="G45" s="53"/>
      <c r="H45" s="69"/>
      <c r="I45" s="94">
        <f t="shared" ref="I45:I82" si="4">$E$45*C45+$E$46</f>
        <v>8539.1571428571424</v>
      </c>
      <c r="K45" s="175">
        <f t="shared" ref="K45:K67" si="5">I45-I46</f>
        <v>134.49548872180458</v>
      </c>
    </row>
    <row r="46" spans="1:11" ht="15" customHeight="1">
      <c r="A46" s="65">
        <f t="shared" si="3"/>
        <v>1989</v>
      </c>
      <c r="B46" s="93">
        <f t="shared" si="3"/>
        <v>7794</v>
      </c>
      <c r="C46" s="67">
        <f t="shared" ref="C46:C82" si="6">C45+1</f>
        <v>1</v>
      </c>
      <c r="D46" s="53" t="s">
        <v>76</v>
      </c>
      <c r="E46" s="72">
        <f>INDEX(LINEST(B45:B64,C45:C64),2)</f>
        <v>8539.1571428571424</v>
      </c>
      <c r="F46" s="69"/>
      <c r="G46" s="53"/>
      <c r="H46" s="69"/>
      <c r="I46" s="70">
        <f t="shared" si="4"/>
        <v>8404.6616541353378</v>
      </c>
      <c r="K46" s="175">
        <f t="shared" si="5"/>
        <v>134.49548872180458</v>
      </c>
    </row>
    <row r="47" spans="1:11" ht="15" customHeight="1">
      <c r="A47" s="65">
        <f t="shared" si="3"/>
        <v>1990</v>
      </c>
      <c r="B47" s="93">
        <f t="shared" si="3"/>
        <v>7610</v>
      </c>
      <c r="C47" s="67">
        <f t="shared" si="6"/>
        <v>2</v>
      </c>
      <c r="D47" s="53" t="s">
        <v>77</v>
      </c>
      <c r="E47" s="73">
        <f>I44</f>
        <v>0.7330574852137639</v>
      </c>
      <c r="F47" s="69"/>
      <c r="G47" s="53"/>
      <c r="H47" s="69"/>
      <c r="I47" s="70">
        <f t="shared" si="4"/>
        <v>8270.1661654135332</v>
      </c>
      <c r="K47" s="175">
        <f t="shared" si="5"/>
        <v>134.49548872180458</v>
      </c>
    </row>
    <row r="48" spans="1:11" ht="15" customHeight="1">
      <c r="A48" s="65">
        <f t="shared" si="3"/>
        <v>1991</v>
      </c>
      <c r="B48" s="93">
        <f t="shared" si="3"/>
        <v>8555</v>
      </c>
      <c r="C48" s="67">
        <f t="shared" si="6"/>
        <v>3</v>
      </c>
      <c r="D48" s="53"/>
      <c r="E48" s="53"/>
      <c r="F48" s="69"/>
      <c r="G48" s="53"/>
      <c r="H48" s="69"/>
      <c r="I48" s="70">
        <f t="shared" si="4"/>
        <v>8135.6706766917287</v>
      </c>
      <c r="K48" s="175">
        <f t="shared" si="5"/>
        <v>134.49548872180458</v>
      </c>
    </row>
    <row r="49" spans="1:11" ht="15" customHeight="1">
      <c r="A49" s="65">
        <f t="shared" si="3"/>
        <v>1992</v>
      </c>
      <c r="B49" s="93">
        <f t="shared" si="3"/>
        <v>8489</v>
      </c>
      <c r="C49" s="67">
        <f t="shared" si="6"/>
        <v>4</v>
      </c>
      <c r="D49" s="53"/>
      <c r="E49" s="53"/>
      <c r="F49" s="69"/>
      <c r="G49" s="95"/>
      <c r="H49" s="69"/>
      <c r="I49" s="70">
        <f t="shared" si="4"/>
        <v>8001.1751879699241</v>
      </c>
      <c r="K49" s="175">
        <f t="shared" si="5"/>
        <v>134.49548872180458</v>
      </c>
    </row>
    <row r="50" spans="1:11" ht="15" customHeight="1">
      <c r="A50" s="65">
        <f t="shared" si="3"/>
        <v>1993</v>
      </c>
      <c r="B50" s="93">
        <f t="shared" si="3"/>
        <v>8453</v>
      </c>
      <c r="C50" s="67">
        <f t="shared" si="6"/>
        <v>5</v>
      </c>
      <c r="D50" s="53"/>
      <c r="E50" s="53"/>
      <c r="F50" s="69"/>
      <c r="G50" s="53"/>
      <c r="H50" s="69"/>
      <c r="I50" s="70">
        <f t="shared" si="4"/>
        <v>7866.6796992481195</v>
      </c>
      <c r="K50" s="175">
        <f t="shared" si="5"/>
        <v>134.49548872180458</v>
      </c>
    </row>
    <row r="51" spans="1:11" ht="15" customHeight="1">
      <c r="A51" s="65">
        <f t="shared" si="3"/>
        <v>1994</v>
      </c>
      <c r="B51" s="93">
        <f t="shared" si="3"/>
        <v>8351</v>
      </c>
      <c r="C51" s="67">
        <f t="shared" si="6"/>
        <v>6</v>
      </c>
      <c r="D51" s="53" t="s">
        <v>73</v>
      </c>
      <c r="E51" s="53"/>
      <c r="F51" s="69"/>
      <c r="G51" s="53"/>
      <c r="H51" s="69"/>
      <c r="I51" s="70">
        <f t="shared" si="4"/>
        <v>7732.1842105263149</v>
      </c>
      <c r="K51" s="175">
        <f t="shared" si="5"/>
        <v>134.49548872180367</v>
      </c>
    </row>
    <row r="52" spans="1:11" ht="15" customHeight="1">
      <c r="A52" s="65">
        <f t="shared" si="3"/>
        <v>1995</v>
      </c>
      <c r="B52" s="93">
        <f t="shared" si="3"/>
        <v>8005</v>
      </c>
      <c r="C52" s="67">
        <f t="shared" si="6"/>
        <v>7</v>
      </c>
      <c r="D52" s="53"/>
      <c r="E52" s="53"/>
      <c r="F52" s="69"/>
      <c r="G52" s="53"/>
      <c r="H52" s="69"/>
      <c r="I52" s="70">
        <f t="shared" si="4"/>
        <v>7597.6887218045113</v>
      </c>
      <c r="K52" s="175">
        <f t="shared" si="5"/>
        <v>134.49548872180458</v>
      </c>
    </row>
    <row r="53" spans="1:11" ht="15" customHeight="1">
      <c r="A53" s="65">
        <f t="shared" si="3"/>
        <v>1996</v>
      </c>
      <c r="B53" s="93">
        <f t="shared" si="3"/>
        <v>7874</v>
      </c>
      <c r="C53" s="67">
        <f t="shared" si="6"/>
        <v>8</v>
      </c>
      <c r="D53" s="53"/>
      <c r="E53" s="53"/>
      <c r="F53" s="69"/>
      <c r="G53" s="53"/>
      <c r="H53" s="69"/>
      <c r="I53" s="70">
        <f t="shared" si="4"/>
        <v>7463.1932330827067</v>
      </c>
      <c r="K53" s="175">
        <f t="shared" si="5"/>
        <v>134.49548872180458</v>
      </c>
    </row>
    <row r="54" spans="1:11" ht="15" customHeight="1">
      <c r="A54" s="65">
        <f t="shared" si="3"/>
        <v>1997</v>
      </c>
      <c r="B54" s="93">
        <f t="shared" si="3"/>
        <v>7667</v>
      </c>
      <c r="C54" s="67">
        <f t="shared" si="6"/>
        <v>9</v>
      </c>
      <c r="D54" s="69"/>
      <c r="E54" s="69"/>
      <c r="F54" s="69"/>
      <c r="G54" s="53"/>
      <c r="H54" s="53"/>
      <c r="I54" s="70">
        <f t="shared" si="4"/>
        <v>7328.6977443609021</v>
      </c>
      <c r="K54" s="175">
        <f t="shared" si="5"/>
        <v>134.49548872180458</v>
      </c>
    </row>
    <row r="55" spans="1:11" ht="15" customHeight="1">
      <c r="A55" s="65">
        <f t="shared" si="3"/>
        <v>1998</v>
      </c>
      <c r="B55" s="93">
        <f t="shared" si="3"/>
        <v>7586</v>
      </c>
      <c r="C55" s="67">
        <f t="shared" si="6"/>
        <v>10</v>
      </c>
      <c r="D55" s="69"/>
      <c r="E55" s="69"/>
      <c r="F55" s="69"/>
      <c r="G55" s="53"/>
      <c r="H55" s="53"/>
      <c r="I55" s="70">
        <f t="shared" si="4"/>
        <v>7194.2022556390975</v>
      </c>
      <c r="K55" s="175">
        <f t="shared" si="5"/>
        <v>134.49548872180458</v>
      </c>
    </row>
    <row r="56" spans="1:11" ht="15" customHeight="1">
      <c r="A56" s="65">
        <f t="shared" si="3"/>
        <v>1999</v>
      </c>
      <c r="B56" s="93">
        <f t="shared" si="3"/>
        <v>7436</v>
      </c>
      <c r="C56" s="67">
        <f t="shared" si="6"/>
        <v>11</v>
      </c>
      <c r="D56" s="69"/>
      <c r="E56" s="69"/>
      <c r="F56" s="69"/>
      <c r="G56" s="53"/>
      <c r="H56" s="53"/>
      <c r="I56" s="70">
        <f t="shared" si="4"/>
        <v>7059.706766917293</v>
      </c>
      <c r="K56" s="175">
        <f t="shared" si="5"/>
        <v>134.49548872180458</v>
      </c>
    </row>
    <row r="57" spans="1:11" ht="15" customHeight="1">
      <c r="A57" s="65">
        <f t="shared" si="3"/>
        <v>2000</v>
      </c>
      <c r="B57" s="93">
        <f t="shared" si="3"/>
        <v>7135</v>
      </c>
      <c r="C57" s="67">
        <f t="shared" si="6"/>
        <v>12</v>
      </c>
      <c r="D57" s="69"/>
      <c r="E57" s="69"/>
      <c r="F57" s="69"/>
      <c r="G57" s="53"/>
      <c r="H57" s="53"/>
      <c r="I57" s="70">
        <f t="shared" si="4"/>
        <v>6925.2112781954884</v>
      </c>
      <c r="K57" s="175">
        <f t="shared" si="5"/>
        <v>134.49548872180458</v>
      </c>
    </row>
    <row r="58" spans="1:11" ht="15" customHeight="1">
      <c r="A58" s="65">
        <f t="shared" si="3"/>
        <v>2001</v>
      </c>
      <c r="B58" s="93">
        <f t="shared" si="3"/>
        <v>6834</v>
      </c>
      <c r="C58" s="67">
        <f t="shared" si="6"/>
        <v>13</v>
      </c>
      <c r="D58" s="69"/>
      <c r="E58" s="96"/>
      <c r="F58" s="69"/>
      <c r="G58" s="53"/>
      <c r="H58" s="53"/>
      <c r="I58" s="70">
        <f t="shared" si="4"/>
        <v>6790.7157894736838</v>
      </c>
      <c r="K58" s="175">
        <f t="shared" si="5"/>
        <v>134.49548872180458</v>
      </c>
    </row>
    <row r="59" spans="1:11" ht="15" customHeight="1">
      <c r="A59" s="65">
        <f t="shared" si="3"/>
        <v>2002</v>
      </c>
      <c r="B59" s="93">
        <f t="shared" si="3"/>
        <v>6429</v>
      </c>
      <c r="C59" s="67">
        <f t="shared" si="6"/>
        <v>14</v>
      </c>
      <c r="D59" s="69"/>
      <c r="E59" s="69"/>
      <c r="F59" s="69"/>
      <c r="G59" s="53"/>
      <c r="H59" s="53"/>
      <c r="I59" s="70">
        <f t="shared" si="4"/>
        <v>6656.2203007518792</v>
      </c>
      <c r="K59" s="175">
        <f t="shared" si="5"/>
        <v>134.49548872180367</v>
      </c>
    </row>
    <row r="60" spans="1:11" ht="15" customHeight="1">
      <c r="A60" s="65">
        <f t="shared" si="3"/>
        <v>2003</v>
      </c>
      <c r="B60" s="93">
        <f t="shared" si="3"/>
        <v>6136</v>
      </c>
      <c r="C60" s="67">
        <f t="shared" si="6"/>
        <v>15</v>
      </c>
      <c r="D60" s="69"/>
      <c r="E60" s="69"/>
      <c r="F60" s="69"/>
      <c r="G60" s="53"/>
      <c r="H60" s="53"/>
      <c r="I60" s="70">
        <f t="shared" si="4"/>
        <v>6521.7248120300756</v>
      </c>
      <c r="K60" s="175">
        <f t="shared" si="5"/>
        <v>134.49548872180458</v>
      </c>
    </row>
    <row r="61" spans="1:11" ht="15" customHeight="1">
      <c r="A61" s="65">
        <f t="shared" ref="A61:B65" si="7">A21</f>
        <v>2004</v>
      </c>
      <c r="B61" s="93">
        <f t="shared" si="7"/>
        <v>6182</v>
      </c>
      <c r="C61" s="67">
        <f t="shared" si="6"/>
        <v>16</v>
      </c>
      <c r="D61" s="69"/>
      <c r="E61" s="69"/>
      <c r="F61" s="69"/>
      <c r="G61" s="53"/>
      <c r="H61" s="53"/>
      <c r="I61" s="70">
        <f t="shared" si="4"/>
        <v>6387.229323308271</v>
      </c>
      <c r="K61" s="175">
        <f t="shared" si="5"/>
        <v>134.49548872180458</v>
      </c>
    </row>
    <row r="62" spans="1:11" ht="15" customHeight="1">
      <c r="A62" s="65">
        <f t="shared" si="7"/>
        <v>2005</v>
      </c>
      <c r="B62" s="93">
        <f t="shared" si="7"/>
        <v>6155</v>
      </c>
      <c r="C62" s="67">
        <f t="shared" si="6"/>
        <v>17</v>
      </c>
      <c r="D62" s="69"/>
      <c r="E62" s="69"/>
      <c r="F62" s="69"/>
      <c r="G62" s="53"/>
      <c r="H62" s="53"/>
      <c r="I62" s="70">
        <f t="shared" si="4"/>
        <v>6252.7338345864664</v>
      </c>
      <c r="K62" s="175">
        <f t="shared" si="5"/>
        <v>134.49548872180458</v>
      </c>
    </row>
    <row r="63" spans="1:11" ht="15" customHeight="1">
      <c r="A63" s="65">
        <f t="shared" si="7"/>
        <v>2006</v>
      </c>
      <c r="B63" s="93">
        <f t="shared" si="7"/>
        <v>5800</v>
      </c>
      <c r="C63" s="67">
        <f t="shared" si="6"/>
        <v>18</v>
      </c>
      <c r="D63" s="69"/>
      <c r="E63" s="69"/>
      <c r="F63" s="69"/>
      <c r="G63" s="53"/>
      <c r="H63" s="53"/>
      <c r="I63" s="70">
        <f t="shared" si="4"/>
        <v>6118.2383458646618</v>
      </c>
      <c r="K63" s="175">
        <f t="shared" si="5"/>
        <v>134.49548872180458</v>
      </c>
    </row>
    <row r="64" spans="1:11" ht="15" customHeight="1" thickBot="1">
      <c r="A64" s="97">
        <f t="shared" si="7"/>
        <v>2007</v>
      </c>
      <c r="B64" s="98">
        <f t="shared" si="7"/>
        <v>5531</v>
      </c>
      <c r="C64" s="99">
        <f t="shared" si="6"/>
        <v>19</v>
      </c>
      <c r="D64" s="100"/>
      <c r="E64" s="100"/>
      <c r="F64" s="100"/>
      <c r="G64" s="101"/>
      <c r="H64" s="101"/>
      <c r="I64" s="102">
        <f t="shared" si="4"/>
        <v>5983.7428571428572</v>
      </c>
      <c r="K64" s="175">
        <f t="shared" si="5"/>
        <v>134.49548872180458</v>
      </c>
    </row>
    <row r="65" spans="1:11" ht="15" customHeight="1" thickTop="1">
      <c r="A65" s="255">
        <f t="shared" si="7"/>
        <v>2008</v>
      </c>
      <c r="B65" s="81">
        <f t="shared" ref="B65:B82" si="8">ROUND(E$45*C65+E$46,0)</f>
        <v>5849</v>
      </c>
      <c r="C65" s="77">
        <f t="shared" si="6"/>
        <v>20</v>
      </c>
      <c r="D65" s="78"/>
      <c r="E65" s="78"/>
      <c r="F65" s="78"/>
      <c r="G65" s="256"/>
      <c r="H65" s="256"/>
      <c r="I65" s="79">
        <f t="shared" si="4"/>
        <v>5849.2473684210527</v>
      </c>
      <c r="K65" s="175">
        <f t="shared" si="5"/>
        <v>134.49548872180458</v>
      </c>
    </row>
    <row r="66" spans="1:11" ht="15" customHeight="1">
      <c r="A66" s="80">
        <v>2009</v>
      </c>
      <c r="B66" s="81">
        <f t="shared" si="8"/>
        <v>5715</v>
      </c>
      <c r="C66" s="82">
        <f t="shared" si="6"/>
        <v>21</v>
      </c>
      <c r="D66" s="69"/>
      <c r="E66" s="69"/>
      <c r="F66" s="69"/>
      <c r="G66" s="69"/>
      <c r="H66" s="69"/>
      <c r="I66" s="70">
        <f t="shared" si="4"/>
        <v>5714.7518796992481</v>
      </c>
      <c r="K66" s="175">
        <f t="shared" si="5"/>
        <v>134.49548872180458</v>
      </c>
    </row>
    <row r="67" spans="1:11" ht="15" customHeight="1">
      <c r="A67" s="80">
        <v>2010</v>
      </c>
      <c r="B67" s="81">
        <f t="shared" si="8"/>
        <v>5580</v>
      </c>
      <c r="C67" s="82">
        <f t="shared" si="6"/>
        <v>22</v>
      </c>
      <c r="D67" s="69"/>
      <c r="E67" s="69"/>
      <c r="F67" s="69"/>
      <c r="G67" s="69"/>
      <c r="H67" s="69"/>
      <c r="I67" s="70">
        <f t="shared" si="4"/>
        <v>5580.2563909774435</v>
      </c>
      <c r="K67" s="175">
        <f t="shared" si="5"/>
        <v>134.49548872180458</v>
      </c>
    </row>
    <row r="68" spans="1:11" ht="15" customHeight="1">
      <c r="A68" s="80">
        <v>2011</v>
      </c>
      <c r="B68" s="81">
        <f t="shared" si="8"/>
        <v>5446</v>
      </c>
      <c r="C68" s="82">
        <f t="shared" si="6"/>
        <v>23</v>
      </c>
      <c r="D68" s="69"/>
      <c r="E68" s="69"/>
      <c r="F68" s="69"/>
      <c r="G68" s="69"/>
      <c r="H68" s="69"/>
      <c r="I68" s="70">
        <f t="shared" si="4"/>
        <v>5445.7609022556389</v>
      </c>
    </row>
    <row r="69" spans="1:11" ht="15" customHeight="1">
      <c r="A69" s="80">
        <v>2012</v>
      </c>
      <c r="B69" s="81">
        <f t="shared" si="8"/>
        <v>5311</v>
      </c>
      <c r="C69" s="82">
        <f t="shared" si="6"/>
        <v>24</v>
      </c>
      <c r="D69" s="69"/>
      <c r="E69" s="69"/>
      <c r="F69" s="69"/>
      <c r="G69" s="69"/>
      <c r="H69" s="69"/>
      <c r="I69" s="70">
        <f t="shared" si="4"/>
        <v>5311.2654135338344</v>
      </c>
    </row>
    <row r="70" spans="1:11" ht="15" customHeight="1">
      <c r="A70" s="80">
        <v>2013</v>
      </c>
      <c r="B70" s="81">
        <f t="shared" si="8"/>
        <v>5177</v>
      </c>
      <c r="C70" s="82">
        <f t="shared" si="6"/>
        <v>25</v>
      </c>
      <c r="D70" s="69"/>
      <c r="E70" s="69"/>
      <c r="F70" s="69"/>
      <c r="G70" s="69"/>
      <c r="H70" s="69"/>
      <c r="I70" s="70">
        <f t="shared" si="4"/>
        <v>5176.7699248120298</v>
      </c>
    </row>
    <row r="71" spans="1:11" ht="15" customHeight="1">
      <c r="A71" s="80">
        <v>2014</v>
      </c>
      <c r="B71" s="81">
        <f t="shared" si="8"/>
        <v>5042</v>
      </c>
      <c r="C71" s="82">
        <f t="shared" si="6"/>
        <v>26</v>
      </c>
      <c r="D71" s="69"/>
      <c r="E71" s="69"/>
      <c r="F71" s="69"/>
      <c r="G71" s="69"/>
      <c r="H71" s="69"/>
      <c r="I71" s="70">
        <f t="shared" si="4"/>
        <v>5042.2744360902252</v>
      </c>
    </row>
    <row r="72" spans="1:11" ht="15" customHeight="1">
      <c r="A72" s="80">
        <v>2015</v>
      </c>
      <c r="B72" s="81">
        <f t="shared" si="8"/>
        <v>4908</v>
      </c>
      <c r="C72" s="82">
        <f t="shared" si="6"/>
        <v>27</v>
      </c>
      <c r="D72" s="69"/>
      <c r="E72" s="69"/>
      <c r="F72" s="69"/>
      <c r="G72" s="69"/>
      <c r="H72" s="69"/>
      <c r="I72" s="70">
        <f t="shared" si="4"/>
        <v>4907.7789473684206</v>
      </c>
    </row>
    <row r="73" spans="1:11" ht="15" customHeight="1">
      <c r="A73" s="80">
        <v>2016</v>
      </c>
      <c r="B73" s="81">
        <f t="shared" si="8"/>
        <v>4773</v>
      </c>
      <c r="C73" s="82">
        <f t="shared" si="6"/>
        <v>28</v>
      </c>
      <c r="D73" s="69"/>
      <c r="E73" s="69"/>
      <c r="F73" s="69"/>
      <c r="G73" s="69"/>
      <c r="H73" s="69"/>
      <c r="I73" s="70">
        <f t="shared" si="4"/>
        <v>4773.2834586466161</v>
      </c>
    </row>
    <row r="74" spans="1:11" ht="15" customHeight="1">
      <c r="A74" s="80">
        <v>2017</v>
      </c>
      <c r="B74" s="81">
        <f t="shared" si="8"/>
        <v>4639</v>
      </c>
      <c r="C74" s="82">
        <f t="shared" si="6"/>
        <v>29</v>
      </c>
      <c r="D74" s="69"/>
      <c r="E74" s="69"/>
      <c r="F74" s="69"/>
      <c r="G74" s="69"/>
      <c r="H74" s="69"/>
      <c r="I74" s="70">
        <f t="shared" si="4"/>
        <v>4638.7879699248115</v>
      </c>
    </row>
    <row r="75" spans="1:11" ht="15" customHeight="1">
      <c r="A75" s="80">
        <v>2018</v>
      </c>
      <c r="B75" s="81">
        <f t="shared" si="8"/>
        <v>4504</v>
      </c>
      <c r="C75" s="82">
        <f t="shared" si="6"/>
        <v>30</v>
      </c>
      <c r="D75" s="69"/>
      <c r="E75" s="69"/>
      <c r="F75" s="69"/>
      <c r="G75" s="69"/>
      <c r="H75" s="69"/>
      <c r="I75" s="70">
        <f t="shared" si="4"/>
        <v>4504.2924812030078</v>
      </c>
    </row>
    <row r="76" spans="1:11" ht="15" customHeight="1">
      <c r="A76" s="80">
        <v>2019</v>
      </c>
      <c r="B76" s="81">
        <f t="shared" si="8"/>
        <v>4370</v>
      </c>
      <c r="C76" s="82">
        <f t="shared" si="6"/>
        <v>31</v>
      </c>
      <c r="D76" s="69"/>
      <c r="E76" s="69"/>
      <c r="F76" s="69"/>
      <c r="G76" s="69"/>
      <c r="H76" s="69"/>
      <c r="I76" s="70">
        <f t="shared" si="4"/>
        <v>4369.7969924812032</v>
      </c>
    </row>
    <row r="77" spans="1:11" ht="15" customHeight="1">
      <c r="A77" s="80">
        <v>2020</v>
      </c>
      <c r="B77" s="81">
        <f t="shared" si="8"/>
        <v>4235</v>
      </c>
      <c r="C77" s="82">
        <f t="shared" si="6"/>
        <v>32</v>
      </c>
      <c r="D77" s="69"/>
      <c r="E77" s="69"/>
      <c r="F77" s="69"/>
      <c r="G77" s="69"/>
      <c r="H77" s="69"/>
      <c r="I77" s="70">
        <f t="shared" si="4"/>
        <v>4235.3015037593987</v>
      </c>
    </row>
    <row r="78" spans="1:11" ht="15" customHeight="1">
      <c r="A78" s="80">
        <v>2021</v>
      </c>
      <c r="B78" s="81">
        <f t="shared" si="8"/>
        <v>4101</v>
      </c>
      <c r="C78" s="82">
        <f t="shared" si="6"/>
        <v>33</v>
      </c>
      <c r="D78" s="69"/>
      <c r="E78" s="69"/>
      <c r="F78" s="69"/>
      <c r="G78" s="69"/>
      <c r="H78" s="69"/>
      <c r="I78" s="70">
        <f t="shared" si="4"/>
        <v>4100.8060150375941</v>
      </c>
    </row>
    <row r="79" spans="1:11" ht="15" customHeight="1">
      <c r="A79" s="80">
        <v>2022</v>
      </c>
      <c r="B79" s="81">
        <f t="shared" si="8"/>
        <v>3966</v>
      </c>
      <c r="C79" s="82">
        <f t="shared" si="6"/>
        <v>34</v>
      </c>
      <c r="D79" s="69"/>
      <c r="E79" s="69"/>
      <c r="F79" s="69"/>
      <c r="G79" s="69"/>
      <c r="H79" s="69"/>
      <c r="I79" s="70">
        <f t="shared" si="4"/>
        <v>3966.3105263157895</v>
      </c>
    </row>
    <row r="80" spans="1:11" ht="15" customHeight="1">
      <c r="A80" s="80">
        <v>2023</v>
      </c>
      <c r="B80" s="81">
        <f t="shared" si="8"/>
        <v>3832</v>
      </c>
      <c r="C80" s="82">
        <f t="shared" si="6"/>
        <v>35</v>
      </c>
      <c r="D80" s="69"/>
      <c r="E80" s="69"/>
      <c r="F80" s="69"/>
      <c r="G80" s="69"/>
      <c r="H80" s="69"/>
      <c r="I80" s="70">
        <f t="shared" si="4"/>
        <v>3831.8150375939849</v>
      </c>
    </row>
    <row r="81" spans="1:11" ht="15" customHeight="1">
      <c r="A81" s="80">
        <v>2024</v>
      </c>
      <c r="B81" s="81">
        <f t="shared" si="8"/>
        <v>3697</v>
      </c>
      <c r="C81" s="67">
        <f t="shared" si="6"/>
        <v>36</v>
      </c>
      <c r="D81" s="69"/>
      <c r="E81" s="69"/>
      <c r="F81" s="69"/>
      <c r="G81" s="69"/>
      <c r="H81" s="69"/>
      <c r="I81" s="70">
        <f t="shared" si="4"/>
        <v>3697.3195488721803</v>
      </c>
    </row>
    <row r="82" spans="1:11" ht="15" customHeight="1">
      <c r="A82" s="85">
        <v>2025</v>
      </c>
      <c r="B82" s="86">
        <f t="shared" si="8"/>
        <v>3563</v>
      </c>
      <c r="C82" s="87">
        <f t="shared" si="6"/>
        <v>37</v>
      </c>
      <c r="D82" s="89"/>
      <c r="E82" s="89"/>
      <c r="F82" s="89"/>
      <c r="G82" s="89"/>
      <c r="H82" s="89"/>
      <c r="I82" s="91">
        <f t="shared" si="4"/>
        <v>3562.8240601503758</v>
      </c>
    </row>
    <row r="83" spans="1:11" ht="15" customHeight="1">
      <c r="A83" s="56" t="s">
        <v>79</v>
      </c>
      <c r="B83" s="57"/>
    </row>
    <row r="84" spans="1:11" ht="15" customHeight="1">
      <c r="A84" s="58" t="s">
        <v>32</v>
      </c>
      <c r="B84" s="59" t="s">
        <v>40</v>
      </c>
      <c r="C84" s="59" t="s">
        <v>34</v>
      </c>
      <c r="D84" s="59" t="s">
        <v>33</v>
      </c>
      <c r="E84" s="103"/>
      <c r="F84" s="60"/>
      <c r="G84" s="61"/>
      <c r="H84" s="63" t="s">
        <v>104</v>
      </c>
      <c r="I84" s="64">
        <f>RSQ(I85:I105,B85:B105)</f>
        <v>0.71624667845925472</v>
      </c>
    </row>
    <row r="85" spans="1:11" ht="15" customHeight="1">
      <c r="A85" s="65">
        <f t="shared" ref="A85:B100" si="9">A5</f>
        <v>1988</v>
      </c>
      <c r="B85" s="104">
        <f t="shared" si="9"/>
        <v>7207</v>
      </c>
      <c r="C85" s="105">
        <f t="shared" ref="C85:C122" si="10">LN(B85)</f>
        <v>8.8828080549244408</v>
      </c>
      <c r="D85" s="67">
        <v>0</v>
      </c>
      <c r="E85" s="106" t="s">
        <v>37</v>
      </c>
      <c r="F85" s="73">
        <f>ROUND((B104/B85)^(1/D104)-1,5)</f>
        <v>-1.383E-2</v>
      </c>
      <c r="G85" s="107"/>
      <c r="H85" s="108"/>
      <c r="I85" s="109">
        <f t="shared" ref="I85:I122" si="11">ROUND($F$86*(1+$F$85)^(D85),1)</f>
        <v>7207</v>
      </c>
    </row>
    <row r="86" spans="1:11" ht="15" customHeight="1">
      <c r="A86" s="65">
        <f t="shared" si="9"/>
        <v>1989</v>
      </c>
      <c r="B86" s="104">
        <f t="shared" si="9"/>
        <v>7794</v>
      </c>
      <c r="C86" s="105">
        <f t="shared" si="10"/>
        <v>8.9611094858986551</v>
      </c>
      <c r="D86" s="67">
        <f t="shared" ref="D86:D122" si="12">D85+1</f>
        <v>1</v>
      </c>
      <c r="E86" s="106" t="s">
        <v>80</v>
      </c>
      <c r="F86" s="110">
        <f>B85</f>
        <v>7207</v>
      </c>
      <c r="G86" s="107"/>
      <c r="H86" s="108"/>
      <c r="I86" s="109">
        <f t="shared" si="11"/>
        <v>7107.3</v>
      </c>
      <c r="K86" s="111"/>
    </row>
    <row r="87" spans="1:11" ht="15" customHeight="1">
      <c r="A87" s="65">
        <f t="shared" si="9"/>
        <v>1990</v>
      </c>
      <c r="B87" s="104">
        <f t="shared" si="9"/>
        <v>7610</v>
      </c>
      <c r="C87" s="105">
        <f t="shared" si="10"/>
        <v>8.9372184508557311</v>
      </c>
      <c r="D87" s="67">
        <f t="shared" si="12"/>
        <v>2</v>
      </c>
      <c r="E87" s="106" t="s">
        <v>77</v>
      </c>
      <c r="F87" s="73">
        <f>I84</f>
        <v>0.71624667845925472</v>
      </c>
      <c r="G87" s="108"/>
      <c r="H87" s="108"/>
      <c r="I87" s="109">
        <f t="shared" si="11"/>
        <v>7009</v>
      </c>
    </row>
    <row r="88" spans="1:11" ht="15" customHeight="1">
      <c r="A88" s="65">
        <f t="shared" si="9"/>
        <v>1991</v>
      </c>
      <c r="B88" s="104">
        <f t="shared" si="9"/>
        <v>8555</v>
      </c>
      <c r="C88" s="105">
        <f t="shared" si="10"/>
        <v>9.054271186326293</v>
      </c>
      <c r="D88" s="67">
        <f t="shared" si="12"/>
        <v>3</v>
      </c>
      <c r="E88" s="106"/>
      <c r="F88" s="73"/>
      <c r="G88" s="108"/>
      <c r="H88" s="108"/>
      <c r="I88" s="109">
        <f t="shared" si="11"/>
        <v>6912.1</v>
      </c>
    </row>
    <row r="89" spans="1:11" ht="15" customHeight="1">
      <c r="A89" s="65">
        <f t="shared" si="9"/>
        <v>1992</v>
      </c>
      <c r="B89" s="104">
        <f t="shared" si="9"/>
        <v>8489</v>
      </c>
      <c r="C89" s="105">
        <f t="shared" si="10"/>
        <v>9.0465264867379673</v>
      </c>
      <c r="D89" s="67">
        <f t="shared" si="12"/>
        <v>4</v>
      </c>
      <c r="E89" s="106" t="s">
        <v>81</v>
      </c>
      <c r="F89" s="72"/>
      <c r="G89" s="108"/>
      <c r="H89" s="108"/>
      <c r="I89" s="109">
        <f t="shared" si="11"/>
        <v>6816.5</v>
      </c>
    </row>
    <row r="90" spans="1:11" ht="15" customHeight="1">
      <c r="A90" s="65">
        <f t="shared" si="9"/>
        <v>1993</v>
      </c>
      <c r="B90" s="104">
        <f t="shared" si="9"/>
        <v>8453</v>
      </c>
      <c r="C90" s="105">
        <f t="shared" si="10"/>
        <v>9.0422766869289273</v>
      </c>
      <c r="D90" s="67">
        <f t="shared" si="12"/>
        <v>5</v>
      </c>
      <c r="E90" s="112"/>
      <c r="F90" s="113"/>
      <c r="G90" s="108"/>
      <c r="H90" s="108"/>
      <c r="I90" s="109">
        <f t="shared" si="11"/>
        <v>6722.2</v>
      </c>
    </row>
    <row r="91" spans="1:11" ht="15" customHeight="1">
      <c r="A91" s="65">
        <f t="shared" si="9"/>
        <v>1994</v>
      </c>
      <c r="B91" s="104">
        <f t="shared" si="9"/>
        <v>8351</v>
      </c>
      <c r="C91" s="105">
        <f t="shared" si="10"/>
        <v>9.0301365711532302</v>
      </c>
      <c r="D91" s="67">
        <f t="shared" si="12"/>
        <v>6</v>
      </c>
      <c r="E91" s="114"/>
      <c r="F91" s="113"/>
      <c r="G91" s="108"/>
      <c r="H91" s="108"/>
      <c r="I91" s="109">
        <f t="shared" si="11"/>
        <v>6629.3</v>
      </c>
    </row>
    <row r="92" spans="1:11" ht="15" customHeight="1">
      <c r="A92" s="65">
        <f t="shared" si="9"/>
        <v>1995</v>
      </c>
      <c r="B92" s="104">
        <f t="shared" si="9"/>
        <v>8005</v>
      </c>
      <c r="C92" s="105">
        <f t="shared" si="10"/>
        <v>8.987821625430815</v>
      </c>
      <c r="D92" s="67">
        <f t="shared" si="12"/>
        <v>7</v>
      </c>
      <c r="E92" s="114"/>
      <c r="F92" s="113"/>
      <c r="G92" s="108"/>
      <c r="H92" s="108"/>
      <c r="I92" s="109">
        <f t="shared" si="11"/>
        <v>6537.6</v>
      </c>
    </row>
    <row r="93" spans="1:11" ht="15" customHeight="1">
      <c r="A93" s="65">
        <f t="shared" si="9"/>
        <v>1996</v>
      </c>
      <c r="B93" s="104">
        <f t="shared" si="9"/>
        <v>7874</v>
      </c>
      <c r="C93" s="105">
        <f t="shared" si="10"/>
        <v>8.971321471503682</v>
      </c>
      <c r="D93" s="67">
        <f t="shared" si="12"/>
        <v>8</v>
      </c>
      <c r="E93" s="108"/>
      <c r="F93" s="108"/>
      <c r="G93" s="115"/>
      <c r="H93" s="108"/>
      <c r="I93" s="109">
        <f t="shared" si="11"/>
        <v>6447.2</v>
      </c>
    </row>
    <row r="94" spans="1:11" ht="15" customHeight="1">
      <c r="A94" s="65">
        <f t="shared" si="9"/>
        <v>1997</v>
      </c>
      <c r="B94" s="104">
        <f t="shared" si="9"/>
        <v>7667</v>
      </c>
      <c r="C94" s="105">
        <f t="shared" si="10"/>
        <v>8.9446806835588948</v>
      </c>
      <c r="D94" s="67">
        <f t="shared" si="12"/>
        <v>9</v>
      </c>
      <c r="E94" s="108"/>
      <c r="F94" s="108"/>
      <c r="G94" s="115"/>
      <c r="H94" s="108"/>
      <c r="I94" s="109">
        <f t="shared" si="11"/>
        <v>6358</v>
      </c>
    </row>
    <row r="95" spans="1:11" ht="15" customHeight="1">
      <c r="A95" s="65">
        <f t="shared" si="9"/>
        <v>1998</v>
      </c>
      <c r="B95" s="104">
        <f t="shared" si="9"/>
        <v>7586</v>
      </c>
      <c r="C95" s="105">
        <f t="shared" si="10"/>
        <v>8.9340597222488434</v>
      </c>
      <c r="D95" s="67">
        <f t="shared" si="12"/>
        <v>10</v>
      </c>
      <c r="E95" s="108"/>
      <c r="F95" s="108"/>
      <c r="G95" s="115"/>
      <c r="H95" s="108"/>
      <c r="I95" s="109">
        <f t="shared" si="11"/>
        <v>6270.1</v>
      </c>
    </row>
    <row r="96" spans="1:11" ht="15" customHeight="1">
      <c r="A96" s="65">
        <f t="shared" si="9"/>
        <v>1999</v>
      </c>
      <c r="B96" s="104">
        <f t="shared" si="9"/>
        <v>7436</v>
      </c>
      <c r="C96" s="105">
        <f t="shared" si="10"/>
        <v>8.9140883488413341</v>
      </c>
      <c r="D96" s="67">
        <f t="shared" si="12"/>
        <v>11</v>
      </c>
      <c r="E96" s="108"/>
      <c r="F96" s="108"/>
      <c r="G96" s="115"/>
      <c r="H96" s="108"/>
      <c r="I96" s="109">
        <f t="shared" si="11"/>
        <v>6183.4</v>
      </c>
    </row>
    <row r="97" spans="1:9" ht="15" customHeight="1">
      <c r="A97" s="65">
        <f t="shared" si="9"/>
        <v>2000</v>
      </c>
      <c r="B97" s="104">
        <f t="shared" si="9"/>
        <v>7135</v>
      </c>
      <c r="C97" s="105">
        <f t="shared" si="10"/>
        <v>8.8727675299109361</v>
      </c>
      <c r="D97" s="67">
        <f t="shared" si="12"/>
        <v>12</v>
      </c>
      <c r="E97" s="108"/>
      <c r="F97" s="108"/>
      <c r="G97" s="115"/>
      <c r="H97" s="108"/>
      <c r="I97" s="109">
        <f t="shared" si="11"/>
        <v>6097.8</v>
      </c>
    </row>
    <row r="98" spans="1:9" ht="15" customHeight="1">
      <c r="A98" s="65">
        <f t="shared" si="9"/>
        <v>2001</v>
      </c>
      <c r="B98" s="104">
        <f t="shared" si="9"/>
        <v>6834</v>
      </c>
      <c r="C98" s="105">
        <f t="shared" si="10"/>
        <v>8.8296654326752364</v>
      </c>
      <c r="D98" s="67">
        <f t="shared" si="12"/>
        <v>13</v>
      </c>
      <c r="E98" s="108"/>
      <c r="F98" s="108"/>
      <c r="G98" s="115"/>
      <c r="H98" s="108"/>
      <c r="I98" s="109">
        <f t="shared" si="11"/>
        <v>6013.5</v>
      </c>
    </row>
    <row r="99" spans="1:9" ht="15" customHeight="1">
      <c r="A99" s="65">
        <f t="shared" si="9"/>
        <v>2002</v>
      </c>
      <c r="B99" s="104">
        <f t="shared" si="9"/>
        <v>6429</v>
      </c>
      <c r="C99" s="105">
        <f t="shared" si="10"/>
        <v>8.7685742841416872</v>
      </c>
      <c r="D99" s="67">
        <f t="shared" si="12"/>
        <v>14</v>
      </c>
      <c r="E99" s="108"/>
      <c r="F99" s="108"/>
      <c r="G99" s="115"/>
      <c r="H99" s="108"/>
      <c r="I99" s="109">
        <f t="shared" si="11"/>
        <v>5930.3</v>
      </c>
    </row>
    <row r="100" spans="1:9" ht="15" customHeight="1">
      <c r="A100" s="65">
        <f t="shared" si="9"/>
        <v>2003</v>
      </c>
      <c r="B100" s="104">
        <f t="shared" si="9"/>
        <v>6136</v>
      </c>
      <c r="C100" s="105">
        <f t="shared" si="10"/>
        <v>8.7219283430470913</v>
      </c>
      <c r="D100" s="67">
        <f t="shared" si="12"/>
        <v>15</v>
      </c>
      <c r="E100" s="108"/>
      <c r="F100" s="108"/>
      <c r="G100" s="115"/>
      <c r="H100" s="108"/>
      <c r="I100" s="109">
        <f t="shared" si="11"/>
        <v>5848.3</v>
      </c>
    </row>
    <row r="101" spans="1:9" ht="15" customHeight="1">
      <c r="A101" s="65">
        <f t="shared" ref="A101:B105" si="13">A21</f>
        <v>2004</v>
      </c>
      <c r="B101" s="104">
        <f t="shared" si="13"/>
        <v>6182</v>
      </c>
      <c r="C101" s="105">
        <f t="shared" si="10"/>
        <v>8.7293971226920615</v>
      </c>
      <c r="D101" s="67">
        <f t="shared" si="12"/>
        <v>16</v>
      </c>
      <c r="E101" s="108"/>
      <c r="F101" s="108"/>
      <c r="G101" s="115"/>
      <c r="H101" s="108"/>
      <c r="I101" s="109">
        <f t="shared" si="11"/>
        <v>5767.4</v>
      </c>
    </row>
    <row r="102" spans="1:9" ht="15" customHeight="1">
      <c r="A102" s="65">
        <f t="shared" si="13"/>
        <v>2005</v>
      </c>
      <c r="B102" s="104">
        <f t="shared" si="13"/>
        <v>6155</v>
      </c>
      <c r="C102" s="105">
        <f t="shared" si="10"/>
        <v>8.7250200386185544</v>
      </c>
      <c r="D102" s="67">
        <f t="shared" si="12"/>
        <v>17</v>
      </c>
      <c r="E102" s="108"/>
      <c r="F102" s="108"/>
      <c r="G102" s="115"/>
      <c r="H102" s="108"/>
      <c r="I102" s="109">
        <f t="shared" si="11"/>
        <v>5687.7</v>
      </c>
    </row>
    <row r="103" spans="1:9" ht="15" customHeight="1">
      <c r="A103" s="65">
        <f t="shared" si="13"/>
        <v>2006</v>
      </c>
      <c r="B103" s="104">
        <f t="shared" si="13"/>
        <v>5800</v>
      </c>
      <c r="C103" s="105">
        <f t="shared" si="10"/>
        <v>8.66561319653451</v>
      </c>
      <c r="D103" s="67">
        <f t="shared" si="12"/>
        <v>18</v>
      </c>
      <c r="E103" s="108"/>
      <c r="F103" s="108"/>
      <c r="G103" s="115"/>
      <c r="H103" s="108"/>
      <c r="I103" s="109">
        <f t="shared" si="11"/>
        <v>5609</v>
      </c>
    </row>
    <row r="104" spans="1:9" ht="15" customHeight="1" thickBot="1">
      <c r="A104" s="65">
        <f t="shared" si="13"/>
        <v>2007</v>
      </c>
      <c r="B104" s="104">
        <f t="shared" si="13"/>
        <v>5531</v>
      </c>
      <c r="C104" s="105">
        <f t="shared" si="10"/>
        <v>8.6181239099946776</v>
      </c>
      <c r="D104" s="67">
        <f t="shared" si="12"/>
        <v>19</v>
      </c>
      <c r="E104" s="108"/>
      <c r="F104" s="108"/>
      <c r="G104" s="115"/>
      <c r="H104" s="108"/>
      <c r="I104" s="109">
        <f t="shared" si="11"/>
        <v>5531.4</v>
      </c>
    </row>
    <row r="105" spans="1:9" ht="15" customHeight="1" thickTop="1">
      <c r="A105" s="255">
        <f t="shared" si="13"/>
        <v>2008</v>
      </c>
      <c r="B105" s="76">
        <f t="shared" ref="B105:B122" si="14">ROUND(F$86*(1+F$85)^D105,0)</f>
        <v>5455</v>
      </c>
      <c r="C105" s="121">
        <f t="shared" si="10"/>
        <v>8.604287898267172</v>
      </c>
      <c r="D105" s="77">
        <f t="shared" si="12"/>
        <v>20</v>
      </c>
      <c r="E105" s="259"/>
      <c r="F105" s="259"/>
      <c r="G105" s="260"/>
      <c r="H105" s="259"/>
      <c r="I105" s="123">
        <f t="shared" si="11"/>
        <v>5454.9</v>
      </c>
    </row>
    <row r="106" spans="1:9" ht="15" customHeight="1">
      <c r="A106" s="80">
        <v>2009</v>
      </c>
      <c r="B106" s="81">
        <f t="shared" si="14"/>
        <v>5380</v>
      </c>
      <c r="C106" s="105">
        <f t="shared" si="10"/>
        <v>8.5904436531558304</v>
      </c>
      <c r="D106" s="67">
        <f t="shared" si="12"/>
        <v>21</v>
      </c>
      <c r="E106" s="83"/>
      <c r="F106" s="69"/>
      <c r="G106" s="69"/>
      <c r="H106" s="69"/>
      <c r="I106" s="109">
        <f t="shared" si="11"/>
        <v>5379.5</v>
      </c>
    </row>
    <row r="107" spans="1:9" ht="15" customHeight="1">
      <c r="A107" s="80">
        <v>2010</v>
      </c>
      <c r="B107" s="81">
        <f t="shared" si="14"/>
        <v>5305</v>
      </c>
      <c r="C107" s="105">
        <f t="shared" si="10"/>
        <v>8.5764050510480843</v>
      </c>
      <c r="D107" s="67">
        <f t="shared" si="12"/>
        <v>22</v>
      </c>
      <c r="E107" s="83"/>
      <c r="F107" s="69"/>
      <c r="G107" s="69"/>
      <c r="H107" s="69"/>
      <c r="I107" s="109">
        <f t="shared" si="11"/>
        <v>5305.1</v>
      </c>
    </row>
    <row r="108" spans="1:9" ht="15" customHeight="1">
      <c r="A108" s="80">
        <v>2011</v>
      </c>
      <c r="B108" s="81">
        <f t="shared" si="14"/>
        <v>5232</v>
      </c>
      <c r="C108" s="105">
        <f t="shared" si="10"/>
        <v>8.5625488931370342</v>
      </c>
      <c r="D108" s="67">
        <f t="shared" si="12"/>
        <v>23</v>
      </c>
      <c r="E108" s="83"/>
      <c r="F108" s="69"/>
      <c r="G108" s="69"/>
      <c r="H108" s="69"/>
      <c r="I108" s="109">
        <f t="shared" si="11"/>
        <v>5231.7</v>
      </c>
    </row>
    <row r="109" spans="1:9" ht="15" customHeight="1">
      <c r="A109" s="80">
        <v>2012</v>
      </c>
      <c r="B109" s="81">
        <f t="shared" si="14"/>
        <v>5159</v>
      </c>
      <c r="C109" s="105">
        <f t="shared" si="10"/>
        <v>8.5484980412446507</v>
      </c>
      <c r="D109" s="67">
        <f t="shared" si="12"/>
        <v>24</v>
      </c>
      <c r="E109" s="83"/>
      <c r="F109" s="69"/>
      <c r="G109" s="69"/>
      <c r="H109" s="69"/>
      <c r="I109" s="109">
        <f t="shared" si="11"/>
        <v>5159.3999999999996</v>
      </c>
    </row>
    <row r="110" spans="1:9" ht="15" customHeight="1">
      <c r="A110" s="80">
        <v>2013</v>
      </c>
      <c r="B110" s="81">
        <f t="shared" si="14"/>
        <v>5088</v>
      </c>
      <c r="C110" s="105">
        <f t="shared" si="10"/>
        <v>8.5346401050199585</v>
      </c>
      <c r="D110" s="67">
        <f t="shared" si="12"/>
        <v>25</v>
      </c>
      <c r="E110" s="83"/>
      <c r="F110" s="69"/>
      <c r="G110" s="69"/>
      <c r="H110" s="69"/>
      <c r="I110" s="109">
        <f t="shared" si="11"/>
        <v>5088</v>
      </c>
    </row>
    <row r="111" spans="1:9" ht="15" customHeight="1">
      <c r="A111" s="80">
        <v>2014</v>
      </c>
      <c r="B111" s="81">
        <f t="shared" si="14"/>
        <v>5018</v>
      </c>
      <c r="C111" s="105">
        <f t="shared" si="10"/>
        <v>8.5207867269263673</v>
      </c>
      <c r="D111" s="67">
        <f t="shared" si="12"/>
        <v>26</v>
      </c>
      <c r="E111" s="83"/>
      <c r="F111" s="69"/>
      <c r="G111" s="69"/>
      <c r="H111" s="69"/>
      <c r="I111" s="109">
        <f t="shared" si="11"/>
        <v>5017.7</v>
      </c>
    </row>
    <row r="112" spans="1:9" ht="15" customHeight="1">
      <c r="A112" s="80">
        <v>2015</v>
      </c>
      <c r="B112" s="81">
        <f t="shared" si="14"/>
        <v>4948</v>
      </c>
      <c r="C112" s="105">
        <f t="shared" si="10"/>
        <v>8.5067387335123783</v>
      </c>
      <c r="D112" s="67">
        <f t="shared" si="12"/>
        <v>27</v>
      </c>
      <c r="E112" s="83"/>
      <c r="F112" s="69"/>
      <c r="G112" s="69"/>
      <c r="H112" s="69"/>
      <c r="I112" s="109">
        <f t="shared" si="11"/>
        <v>4948.3</v>
      </c>
    </row>
    <row r="113" spans="1:9" ht="15" customHeight="1">
      <c r="A113" s="80">
        <v>2016</v>
      </c>
      <c r="B113" s="81">
        <f t="shared" si="14"/>
        <v>4880</v>
      </c>
      <c r="C113" s="105">
        <f t="shared" si="10"/>
        <v>8.4929004988471934</v>
      </c>
      <c r="D113" s="67">
        <f t="shared" si="12"/>
        <v>28</v>
      </c>
      <c r="E113" s="83"/>
      <c r="F113" s="69"/>
      <c r="G113" s="69"/>
      <c r="H113" s="69"/>
      <c r="I113" s="109">
        <f t="shared" si="11"/>
        <v>4879.8</v>
      </c>
    </row>
    <row r="114" spans="1:9" ht="15" customHeight="1">
      <c r="A114" s="80">
        <v>2017</v>
      </c>
      <c r="B114" s="81">
        <f t="shared" si="14"/>
        <v>4812</v>
      </c>
      <c r="C114" s="105">
        <f t="shared" si="10"/>
        <v>8.4788680770945692</v>
      </c>
      <c r="D114" s="67">
        <f t="shared" si="12"/>
        <v>29</v>
      </c>
      <c r="E114" s="83"/>
      <c r="F114" s="69"/>
      <c r="G114" s="69"/>
      <c r="H114" s="69"/>
      <c r="I114" s="109">
        <f t="shared" si="11"/>
        <v>4812.3</v>
      </c>
    </row>
    <row r="115" spans="1:9" ht="15" customHeight="1">
      <c r="A115" s="80">
        <v>2018</v>
      </c>
      <c r="B115" s="81">
        <f t="shared" si="14"/>
        <v>4746</v>
      </c>
      <c r="C115" s="105">
        <f t="shared" si="10"/>
        <v>8.4650574369957088</v>
      </c>
      <c r="D115" s="67">
        <f t="shared" si="12"/>
        <v>30</v>
      </c>
      <c r="E115" s="83"/>
      <c r="F115" s="69"/>
      <c r="G115" s="69"/>
      <c r="H115" s="69"/>
      <c r="I115" s="109">
        <f t="shared" si="11"/>
        <v>4745.8</v>
      </c>
    </row>
    <row r="116" spans="1:9" ht="15" customHeight="1">
      <c r="A116" s="80">
        <v>2019</v>
      </c>
      <c r="B116" s="81">
        <f t="shared" si="14"/>
        <v>4680</v>
      </c>
      <c r="C116" s="105">
        <f t="shared" si="10"/>
        <v>8.4510533889116921</v>
      </c>
      <c r="D116" s="67">
        <f t="shared" si="12"/>
        <v>31</v>
      </c>
      <c r="E116" s="83"/>
      <c r="F116" s="69"/>
      <c r="G116" s="69"/>
      <c r="H116" s="69"/>
      <c r="I116" s="109">
        <f t="shared" si="11"/>
        <v>4680.2</v>
      </c>
    </row>
    <row r="117" spans="1:9" ht="15" customHeight="1">
      <c r="A117" s="80">
        <v>2020</v>
      </c>
      <c r="B117" s="81">
        <f t="shared" si="14"/>
        <v>4615</v>
      </c>
      <c r="C117" s="105">
        <f t="shared" si="10"/>
        <v>8.4370671469369523</v>
      </c>
      <c r="D117" s="67">
        <f t="shared" si="12"/>
        <v>32</v>
      </c>
      <c r="E117" s="83"/>
      <c r="F117" s="69"/>
      <c r="G117" s="69"/>
      <c r="H117" s="69"/>
      <c r="I117" s="109">
        <f t="shared" si="11"/>
        <v>4615.3999999999996</v>
      </c>
    </row>
    <row r="118" spans="1:9" ht="15" customHeight="1">
      <c r="A118" s="80">
        <v>2021</v>
      </c>
      <c r="B118" s="81">
        <f t="shared" si="14"/>
        <v>4552</v>
      </c>
      <c r="C118" s="105">
        <f t="shared" si="10"/>
        <v>8.4233219758061662</v>
      </c>
      <c r="D118" s="67">
        <f t="shared" si="12"/>
        <v>33</v>
      </c>
      <c r="E118" s="83"/>
      <c r="F118" s="69"/>
      <c r="G118" s="69"/>
      <c r="H118" s="69"/>
      <c r="I118" s="109">
        <f t="shared" si="11"/>
        <v>4551.6000000000004</v>
      </c>
    </row>
    <row r="119" spans="1:9" ht="15" customHeight="1">
      <c r="A119" s="80">
        <v>2022</v>
      </c>
      <c r="B119" s="81">
        <f t="shared" si="14"/>
        <v>4489</v>
      </c>
      <c r="C119" s="105">
        <f t="shared" si="10"/>
        <v>8.4093852387819314</v>
      </c>
      <c r="D119" s="67">
        <f t="shared" si="12"/>
        <v>34</v>
      </c>
      <c r="E119" s="83"/>
      <c r="F119" s="69"/>
      <c r="G119" s="69"/>
      <c r="H119" s="69"/>
      <c r="I119" s="109">
        <f t="shared" si="11"/>
        <v>4488.6000000000004</v>
      </c>
    </row>
    <row r="120" spans="1:9" ht="15" customHeight="1">
      <c r="A120" s="80">
        <v>2023</v>
      </c>
      <c r="B120" s="81">
        <f t="shared" si="14"/>
        <v>4427</v>
      </c>
      <c r="C120" s="105">
        <f t="shared" si="10"/>
        <v>8.3954774327321413</v>
      </c>
      <c r="D120" s="67">
        <f t="shared" si="12"/>
        <v>35</v>
      </c>
      <c r="E120" s="83"/>
      <c r="F120" s="69"/>
      <c r="G120" s="69"/>
      <c r="H120" s="69"/>
      <c r="I120" s="109">
        <f t="shared" si="11"/>
        <v>4426.6000000000004</v>
      </c>
    </row>
    <row r="121" spans="1:9" ht="15" customHeight="1">
      <c r="A121" s="80">
        <v>2024</v>
      </c>
      <c r="B121" s="81">
        <f t="shared" si="14"/>
        <v>4365</v>
      </c>
      <c r="C121" s="105">
        <f t="shared" si="10"/>
        <v>8.3813734682737024</v>
      </c>
      <c r="D121" s="67">
        <f t="shared" si="12"/>
        <v>36</v>
      </c>
      <c r="E121" s="69"/>
      <c r="F121" s="69"/>
      <c r="G121" s="69"/>
      <c r="H121" s="69"/>
      <c r="I121" s="109">
        <f t="shared" si="11"/>
        <v>4365.3</v>
      </c>
    </row>
    <row r="122" spans="1:9" ht="15" customHeight="1">
      <c r="A122" s="85">
        <v>2025</v>
      </c>
      <c r="B122" s="86">
        <f t="shared" si="14"/>
        <v>4305</v>
      </c>
      <c r="C122" s="124">
        <f t="shared" si="10"/>
        <v>8.367532416861831</v>
      </c>
      <c r="D122" s="87">
        <f t="shared" si="12"/>
        <v>37</v>
      </c>
      <c r="E122" s="89"/>
      <c r="F122" s="89"/>
      <c r="G122" s="89"/>
      <c r="H122" s="89"/>
      <c r="I122" s="125">
        <f t="shared" si="11"/>
        <v>4305</v>
      </c>
    </row>
    <row r="123" spans="1:9" ht="15" customHeight="1">
      <c r="A123" s="56" t="s">
        <v>82</v>
      </c>
      <c r="B123" s="57"/>
    </row>
    <row r="124" spans="1:9" ht="15" customHeight="1">
      <c r="A124" s="58" t="s">
        <v>32</v>
      </c>
      <c r="B124" s="59" t="s">
        <v>40</v>
      </c>
      <c r="C124" s="59" t="s">
        <v>83</v>
      </c>
      <c r="D124" s="59" t="s">
        <v>33</v>
      </c>
      <c r="E124" s="59" t="s">
        <v>35</v>
      </c>
      <c r="F124" s="103"/>
      <c r="G124" s="60"/>
      <c r="H124" s="63" t="s">
        <v>104</v>
      </c>
      <c r="I124" s="64" t="e">
        <f>RSQ(I125:I144,B125:B144)</f>
        <v>#VALUE!</v>
      </c>
    </row>
    <row r="125" spans="1:9" ht="15" customHeight="1">
      <c r="A125" s="65">
        <f t="shared" ref="A125:B140" si="15">A5</f>
        <v>1988</v>
      </c>
      <c r="B125" s="104">
        <f t="shared" si="15"/>
        <v>7207</v>
      </c>
      <c r="C125" s="126"/>
      <c r="D125" s="67">
        <v>0</v>
      </c>
      <c r="E125" s="67"/>
      <c r="F125" s="106" t="s">
        <v>75</v>
      </c>
      <c r="G125" s="73" t="e">
        <f>INDEX(LINEST(C126:C144,E126:E144),1)</f>
        <v>#VALUE!</v>
      </c>
      <c r="H125" s="127"/>
      <c r="I125" s="128" t="e">
        <f t="shared" ref="I125:I162" si="16">$B$125+$G$129*D125^$G$125</f>
        <v>#VALUE!</v>
      </c>
    </row>
    <row r="126" spans="1:9" ht="15" customHeight="1">
      <c r="A126" s="65">
        <f t="shared" si="15"/>
        <v>1989</v>
      </c>
      <c r="B126" s="104">
        <f t="shared" si="15"/>
        <v>7794</v>
      </c>
      <c r="C126" s="126">
        <f t="shared" ref="C126:C144" si="17">LN(-B$125+B126)</f>
        <v>6.3750248198280968</v>
      </c>
      <c r="D126" s="67">
        <f t="shared" ref="D126:D162" si="18">D125+1</f>
        <v>1</v>
      </c>
      <c r="E126" s="67">
        <f t="shared" ref="E126:E145" si="19">LN(D126)</f>
        <v>0</v>
      </c>
      <c r="F126" s="106" t="s">
        <v>76</v>
      </c>
      <c r="G126" s="73" t="e">
        <f>INDEX(LINEST(C126:C144,E126:E144),2)</f>
        <v>#VALUE!</v>
      </c>
      <c r="H126" s="129" t="s">
        <v>84</v>
      </c>
      <c r="I126" s="128" t="e">
        <f t="shared" si="16"/>
        <v>#VALUE!</v>
      </c>
    </row>
    <row r="127" spans="1:9" ht="15" customHeight="1">
      <c r="A127" s="65">
        <f t="shared" si="15"/>
        <v>1990</v>
      </c>
      <c r="B127" s="104">
        <f t="shared" si="15"/>
        <v>7610</v>
      </c>
      <c r="C127" s="126">
        <f t="shared" si="17"/>
        <v>5.9989365619466826</v>
      </c>
      <c r="D127" s="67">
        <f t="shared" si="18"/>
        <v>2</v>
      </c>
      <c r="E127" s="67">
        <f t="shared" si="19"/>
        <v>0.69314718055994529</v>
      </c>
      <c r="F127" s="69"/>
      <c r="G127" s="130"/>
      <c r="H127" s="127"/>
      <c r="I127" s="128" t="e">
        <f t="shared" si="16"/>
        <v>#VALUE!</v>
      </c>
    </row>
    <row r="128" spans="1:9" ht="15" customHeight="1">
      <c r="A128" s="65">
        <f t="shared" si="15"/>
        <v>1991</v>
      </c>
      <c r="B128" s="104">
        <f t="shared" si="15"/>
        <v>8555</v>
      </c>
      <c r="C128" s="126">
        <f t="shared" si="17"/>
        <v>7.2063772914722524</v>
      </c>
      <c r="D128" s="67">
        <f t="shared" si="18"/>
        <v>3</v>
      </c>
      <c r="E128" s="67">
        <f t="shared" si="19"/>
        <v>1.0986122886681098</v>
      </c>
      <c r="F128" s="106" t="s">
        <v>77</v>
      </c>
      <c r="G128" s="73" t="e">
        <f>I124</f>
        <v>#VALUE!</v>
      </c>
      <c r="H128" s="127"/>
      <c r="I128" s="128" t="e">
        <f t="shared" si="16"/>
        <v>#VALUE!</v>
      </c>
    </row>
    <row r="129" spans="1:9" ht="15" customHeight="1">
      <c r="A129" s="65">
        <f t="shared" si="15"/>
        <v>1992</v>
      </c>
      <c r="B129" s="104">
        <f t="shared" si="15"/>
        <v>8489</v>
      </c>
      <c r="C129" s="126">
        <f t="shared" si="17"/>
        <v>7.1561766374806153</v>
      </c>
      <c r="D129" s="67">
        <f t="shared" si="18"/>
        <v>4</v>
      </c>
      <c r="E129" s="67">
        <f t="shared" si="19"/>
        <v>1.3862943611198906</v>
      </c>
      <c r="F129" s="106" t="s">
        <v>38</v>
      </c>
      <c r="G129" s="131" t="e">
        <f>EXP(G126)</f>
        <v>#VALUE!</v>
      </c>
      <c r="H129" s="127"/>
      <c r="I129" s="128" t="e">
        <f t="shared" si="16"/>
        <v>#VALUE!</v>
      </c>
    </row>
    <row r="130" spans="1:9" ht="15" customHeight="1">
      <c r="A130" s="65">
        <f t="shared" si="15"/>
        <v>1993</v>
      </c>
      <c r="B130" s="104">
        <f t="shared" si="15"/>
        <v>8453</v>
      </c>
      <c r="C130" s="126">
        <f t="shared" si="17"/>
        <v>7.1276936993473985</v>
      </c>
      <c r="D130" s="67">
        <f t="shared" si="18"/>
        <v>5</v>
      </c>
      <c r="E130" s="67">
        <f t="shared" si="19"/>
        <v>1.6094379124341003</v>
      </c>
      <c r="F130" s="106"/>
      <c r="G130" s="53"/>
      <c r="H130" s="127"/>
      <c r="I130" s="128" t="e">
        <f t="shared" si="16"/>
        <v>#VALUE!</v>
      </c>
    </row>
    <row r="131" spans="1:9" ht="15" customHeight="1">
      <c r="A131" s="65">
        <f t="shared" si="15"/>
        <v>1994</v>
      </c>
      <c r="B131" s="104">
        <f t="shared" si="15"/>
        <v>8351</v>
      </c>
      <c r="C131" s="126">
        <f t="shared" si="17"/>
        <v>7.0422861719397432</v>
      </c>
      <c r="D131" s="67">
        <f t="shared" si="18"/>
        <v>6</v>
      </c>
      <c r="E131" s="67">
        <f t="shared" si="19"/>
        <v>1.791759469228055</v>
      </c>
      <c r="F131" s="106"/>
      <c r="G131" s="53"/>
      <c r="H131" s="127"/>
      <c r="I131" s="128" t="e">
        <f t="shared" si="16"/>
        <v>#VALUE!</v>
      </c>
    </row>
    <row r="132" spans="1:9" ht="15" customHeight="1">
      <c r="A132" s="65">
        <f t="shared" si="15"/>
        <v>1995</v>
      </c>
      <c r="B132" s="104">
        <f t="shared" si="15"/>
        <v>8005</v>
      </c>
      <c r="C132" s="126">
        <f t="shared" si="17"/>
        <v>6.6821085974498091</v>
      </c>
      <c r="D132" s="67">
        <f t="shared" si="18"/>
        <v>7</v>
      </c>
      <c r="E132" s="67">
        <f t="shared" si="19"/>
        <v>1.9459101490553132</v>
      </c>
      <c r="F132" s="132" t="s">
        <v>85</v>
      </c>
      <c r="G132" s="53"/>
      <c r="H132" s="127"/>
      <c r="I132" s="128" t="e">
        <f t="shared" si="16"/>
        <v>#VALUE!</v>
      </c>
    </row>
    <row r="133" spans="1:9" ht="15" customHeight="1">
      <c r="A133" s="65">
        <f t="shared" si="15"/>
        <v>1996</v>
      </c>
      <c r="B133" s="104">
        <f t="shared" si="15"/>
        <v>7874</v>
      </c>
      <c r="C133" s="126">
        <f t="shared" si="17"/>
        <v>6.5027900459156234</v>
      </c>
      <c r="D133" s="67">
        <f t="shared" si="18"/>
        <v>8</v>
      </c>
      <c r="E133" s="67">
        <f t="shared" si="19"/>
        <v>2.0794415416798357</v>
      </c>
      <c r="F133" s="132" t="s">
        <v>86</v>
      </c>
      <c r="G133" s="53"/>
      <c r="H133" s="127"/>
      <c r="I133" s="128" t="e">
        <f t="shared" si="16"/>
        <v>#VALUE!</v>
      </c>
    </row>
    <row r="134" spans="1:9" ht="15" customHeight="1">
      <c r="A134" s="65">
        <f t="shared" si="15"/>
        <v>1997</v>
      </c>
      <c r="B134" s="104">
        <f t="shared" si="15"/>
        <v>7667</v>
      </c>
      <c r="C134" s="126">
        <f t="shared" si="17"/>
        <v>6.131226489483141</v>
      </c>
      <c r="D134" s="67">
        <f t="shared" si="18"/>
        <v>9</v>
      </c>
      <c r="E134" s="67">
        <f t="shared" si="19"/>
        <v>2.1972245773362196</v>
      </c>
      <c r="F134" s="132"/>
      <c r="G134" s="53"/>
      <c r="H134" s="127"/>
      <c r="I134" s="128" t="e">
        <f t="shared" si="16"/>
        <v>#VALUE!</v>
      </c>
    </row>
    <row r="135" spans="1:9" ht="15" customHeight="1">
      <c r="A135" s="65">
        <f t="shared" si="15"/>
        <v>1998</v>
      </c>
      <c r="B135" s="104">
        <f t="shared" si="15"/>
        <v>7586</v>
      </c>
      <c r="C135" s="126">
        <f t="shared" si="17"/>
        <v>5.9375362050824263</v>
      </c>
      <c r="D135" s="67">
        <f t="shared" si="18"/>
        <v>10</v>
      </c>
      <c r="E135" s="67">
        <f t="shared" si="19"/>
        <v>2.3025850929940459</v>
      </c>
      <c r="F135" s="132"/>
      <c r="G135" s="53"/>
      <c r="H135" s="127"/>
      <c r="I135" s="128" t="e">
        <f t="shared" si="16"/>
        <v>#VALUE!</v>
      </c>
    </row>
    <row r="136" spans="1:9" ht="15" customHeight="1">
      <c r="A136" s="65">
        <f t="shared" si="15"/>
        <v>1999</v>
      </c>
      <c r="B136" s="104">
        <f t="shared" si="15"/>
        <v>7436</v>
      </c>
      <c r="C136" s="126">
        <f t="shared" si="17"/>
        <v>5.43372200355424</v>
      </c>
      <c r="D136" s="67">
        <f t="shared" si="18"/>
        <v>11</v>
      </c>
      <c r="E136" s="67">
        <f t="shared" si="19"/>
        <v>2.3978952727983707</v>
      </c>
      <c r="F136" s="132"/>
      <c r="G136" s="53"/>
      <c r="H136" s="127"/>
      <c r="I136" s="128" t="e">
        <f t="shared" si="16"/>
        <v>#VALUE!</v>
      </c>
    </row>
    <row r="137" spans="1:9" ht="15" customHeight="1">
      <c r="A137" s="65">
        <f t="shared" si="15"/>
        <v>2000</v>
      </c>
      <c r="B137" s="104">
        <f t="shared" si="15"/>
        <v>7135</v>
      </c>
      <c r="C137" s="126" t="e">
        <f t="shared" si="17"/>
        <v>#NUM!</v>
      </c>
      <c r="D137" s="67">
        <f t="shared" si="18"/>
        <v>12</v>
      </c>
      <c r="E137" s="67">
        <f t="shared" si="19"/>
        <v>2.4849066497880004</v>
      </c>
      <c r="F137" s="132"/>
      <c r="G137" s="53"/>
      <c r="H137" s="127"/>
      <c r="I137" s="128" t="e">
        <f t="shared" si="16"/>
        <v>#VALUE!</v>
      </c>
    </row>
    <row r="138" spans="1:9" ht="15" customHeight="1">
      <c r="A138" s="65">
        <f t="shared" si="15"/>
        <v>2001</v>
      </c>
      <c r="B138" s="104">
        <f t="shared" si="15"/>
        <v>6834</v>
      </c>
      <c r="C138" s="126" t="e">
        <f t="shared" si="17"/>
        <v>#NUM!</v>
      </c>
      <c r="D138" s="67">
        <f t="shared" si="18"/>
        <v>13</v>
      </c>
      <c r="E138" s="67">
        <f t="shared" si="19"/>
        <v>2.5649493574615367</v>
      </c>
      <c r="F138" s="132"/>
      <c r="G138" s="53"/>
      <c r="H138" s="127"/>
      <c r="I138" s="128" t="e">
        <f t="shared" si="16"/>
        <v>#VALUE!</v>
      </c>
    </row>
    <row r="139" spans="1:9" ht="15" customHeight="1">
      <c r="A139" s="65">
        <f t="shared" si="15"/>
        <v>2002</v>
      </c>
      <c r="B139" s="104">
        <f t="shared" si="15"/>
        <v>6429</v>
      </c>
      <c r="C139" s="126" t="e">
        <f t="shared" si="17"/>
        <v>#NUM!</v>
      </c>
      <c r="D139" s="67">
        <f t="shared" si="18"/>
        <v>14</v>
      </c>
      <c r="E139" s="67">
        <f t="shared" si="19"/>
        <v>2.6390573296152584</v>
      </c>
      <c r="F139" s="132"/>
      <c r="G139" s="53"/>
      <c r="H139" s="127"/>
      <c r="I139" s="128" t="e">
        <f t="shared" si="16"/>
        <v>#VALUE!</v>
      </c>
    </row>
    <row r="140" spans="1:9" ht="15" customHeight="1">
      <c r="A140" s="65">
        <f t="shared" si="15"/>
        <v>2003</v>
      </c>
      <c r="B140" s="104">
        <f t="shared" si="15"/>
        <v>6136</v>
      </c>
      <c r="C140" s="126" t="e">
        <f t="shared" si="17"/>
        <v>#NUM!</v>
      </c>
      <c r="D140" s="67">
        <f t="shared" si="18"/>
        <v>15</v>
      </c>
      <c r="E140" s="67">
        <f t="shared" si="19"/>
        <v>2.7080502011022101</v>
      </c>
      <c r="F140" s="132"/>
      <c r="G140" s="53"/>
      <c r="H140" s="127"/>
      <c r="I140" s="128" t="e">
        <f t="shared" si="16"/>
        <v>#VALUE!</v>
      </c>
    </row>
    <row r="141" spans="1:9" ht="15" customHeight="1">
      <c r="A141" s="65">
        <f t="shared" ref="A141:B145" si="20">A21</f>
        <v>2004</v>
      </c>
      <c r="B141" s="104">
        <f t="shared" si="20"/>
        <v>6182</v>
      </c>
      <c r="C141" s="126" t="e">
        <f t="shared" si="17"/>
        <v>#NUM!</v>
      </c>
      <c r="D141" s="67">
        <f t="shared" si="18"/>
        <v>16</v>
      </c>
      <c r="E141" s="67">
        <f t="shared" si="19"/>
        <v>2.7725887222397811</v>
      </c>
      <c r="F141" s="132"/>
      <c r="G141" s="53"/>
      <c r="H141" s="127"/>
      <c r="I141" s="128" t="e">
        <f t="shared" si="16"/>
        <v>#VALUE!</v>
      </c>
    </row>
    <row r="142" spans="1:9" ht="15" customHeight="1">
      <c r="A142" s="65">
        <f t="shared" si="20"/>
        <v>2005</v>
      </c>
      <c r="B142" s="104">
        <f t="shared" si="20"/>
        <v>6155</v>
      </c>
      <c r="C142" s="126" t="e">
        <f t="shared" si="17"/>
        <v>#NUM!</v>
      </c>
      <c r="D142" s="67">
        <f t="shared" si="18"/>
        <v>17</v>
      </c>
      <c r="E142" s="67">
        <f t="shared" si="19"/>
        <v>2.8332133440562162</v>
      </c>
      <c r="F142" s="132"/>
      <c r="G142" s="53"/>
      <c r="H142" s="127"/>
      <c r="I142" s="128" t="e">
        <f t="shared" si="16"/>
        <v>#VALUE!</v>
      </c>
    </row>
    <row r="143" spans="1:9" ht="15" customHeight="1">
      <c r="A143" s="65">
        <f t="shared" si="20"/>
        <v>2006</v>
      </c>
      <c r="B143" s="104">
        <f t="shared" si="20"/>
        <v>5800</v>
      </c>
      <c r="C143" s="126" t="e">
        <f t="shared" si="17"/>
        <v>#NUM!</v>
      </c>
      <c r="D143" s="67">
        <f t="shared" si="18"/>
        <v>18</v>
      </c>
      <c r="E143" s="67">
        <f t="shared" si="19"/>
        <v>2.8903717578961645</v>
      </c>
      <c r="F143" s="132"/>
      <c r="G143" s="53"/>
      <c r="H143" s="127"/>
      <c r="I143" s="128" t="e">
        <f t="shared" si="16"/>
        <v>#VALUE!</v>
      </c>
    </row>
    <row r="144" spans="1:9" ht="15" customHeight="1" thickBot="1">
      <c r="A144" s="97">
        <f t="shared" si="20"/>
        <v>2007</v>
      </c>
      <c r="B144" s="116">
        <f t="shared" si="20"/>
        <v>5531</v>
      </c>
      <c r="C144" s="141" t="e">
        <f t="shared" si="17"/>
        <v>#NUM!</v>
      </c>
      <c r="D144" s="99">
        <f t="shared" si="18"/>
        <v>19</v>
      </c>
      <c r="E144" s="99">
        <f t="shared" si="19"/>
        <v>2.9444389791664403</v>
      </c>
      <c r="F144" s="182"/>
      <c r="G144" s="101"/>
      <c r="H144" s="143"/>
      <c r="I144" s="144" t="e">
        <f t="shared" si="16"/>
        <v>#VALUE!</v>
      </c>
    </row>
    <row r="145" spans="1:9" ht="15" customHeight="1" thickTop="1">
      <c r="A145" s="255">
        <f t="shared" si="20"/>
        <v>2008</v>
      </c>
      <c r="B145" s="81" t="e">
        <f>ROUND(LOOKUP(0,D$125:D$144,B$125:B$144)+G$129*D144^G$125,0)</f>
        <v>#VALUE!</v>
      </c>
      <c r="C145" s="257"/>
      <c r="D145" s="77">
        <f t="shared" si="18"/>
        <v>20</v>
      </c>
      <c r="E145" s="77">
        <f t="shared" si="19"/>
        <v>2.9957322735539909</v>
      </c>
      <c r="F145" s="122"/>
      <c r="G145" s="78"/>
      <c r="H145" s="258"/>
      <c r="I145" s="133" t="e">
        <f t="shared" si="16"/>
        <v>#VALUE!</v>
      </c>
    </row>
    <row r="146" spans="1:9" ht="15" customHeight="1">
      <c r="A146" s="80">
        <v>2009</v>
      </c>
      <c r="B146" s="81" t="e">
        <f>ROUND(LOOKUP(0,D$125:D$144,B$125:B$144)+G$129*D145^G$125,0)</f>
        <v>#VALUE!</v>
      </c>
      <c r="C146" s="134"/>
      <c r="D146" s="67">
        <f t="shared" si="18"/>
        <v>21</v>
      </c>
      <c r="E146" s="67"/>
      <c r="F146" s="83"/>
      <c r="G146" s="69"/>
      <c r="H146" s="84"/>
      <c r="I146" s="128" t="e">
        <f t="shared" si="16"/>
        <v>#VALUE!</v>
      </c>
    </row>
    <row r="147" spans="1:9" ht="15" customHeight="1">
      <c r="A147" s="80">
        <v>2010</v>
      </c>
      <c r="B147" s="81" t="e">
        <f t="shared" ref="B147:B162" si="21">ROUND(LOOKUP(0,D$125:D$144,B$125:B$144)+G$129*D146^G$125,0)</f>
        <v>#VALUE!</v>
      </c>
      <c r="C147" s="134"/>
      <c r="D147" s="67">
        <f t="shared" si="18"/>
        <v>22</v>
      </c>
      <c r="E147" s="67"/>
      <c r="F147" s="83"/>
      <c r="G147" s="69"/>
      <c r="H147" s="84"/>
      <c r="I147" s="128" t="e">
        <f t="shared" si="16"/>
        <v>#VALUE!</v>
      </c>
    </row>
    <row r="148" spans="1:9" ht="15" customHeight="1">
      <c r="A148" s="80">
        <v>2011</v>
      </c>
      <c r="B148" s="81" t="e">
        <f t="shared" si="21"/>
        <v>#VALUE!</v>
      </c>
      <c r="C148" s="134"/>
      <c r="D148" s="67">
        <f t="shared" si="18"/>
        <v>23</v>
      </c>
      <c r="E148" s="67"/>
      <c r="F148" s="83"/>
      <c r="G148" s="69"/>
      <c r="H148" s="84"/>
      <c r="I148" s="128" t="e">
        <f t="shared" si="16"/>
        <v>#VALUE!</v>
      </c>
    </row>
    <row r="149" spans="1:9" ht="15" customHeight="1">
      <c r="A149" s="80">
        <v>2012</v>
      </c>
      <c r="B149" s="81" t="e">
        <f t="shared" si="21"/>
        <v>#VALUE!</v>
      </c>
      <c r="C149" s="134"/>
      <c r="D149" s="67">
        <f t="shared" si="18"/>
        <v>24</v>
      </c>
      <c r="E149" s="67"/>
      <c r="F149" s="83"/>
      <c r="G149" s="69"/>
      <c r="H149" s="84"/>
      <c r="I149" s="128" t="e">
        <f t="shared" si="16"/>
        <v>#VALUE!</v>
      </c>
    </row>
    <row r="150" spans="1:9" ht="15" customHeight="1">
      <c r="A150" s="80">
        <v>2013</v>
      </c>
      <c r="B150" s="81" t="e">
        <f t="shared" si="21"/>
        <v>#VALUE!</v>
      </c>
      <c r="C150" s="134"/>
      <c r="D150" s="67">
        <f t="shared" si="18"/>
        <v>25</v>
      </c>
      <c r="E150" s="67"/>
      <c r="F150" s="83"/>
      <c r="G150" s="69"/>
      <c r="H150" s="84"/>
      <c r="I150" s="128" t="e">
        <f t="shared" si="16"/>
        <v>#VALUE!</v>
      </c>
    </row>
    <row r="151" spans="1:9" ht="15" customHeight="1">
      <c r="A151" s="80">
        <v>2014</v>
      </c>
      <c r="B151" s="81" t="e">
        <f t="shared" si="21"/>
        <v>#VALUE!</v>
      </c>
      <c r="C151" s="134"/>
      <c r="D151" s="67">
        <f t="shared" si="18"/>
        <v>26</v>
      </c>
      <c r="E151" s="67"/>
      <c r="F151" s="83"/>
      <c r="G151" s="69"/>
      <c r="H151" s="84"/>
      <c r="I151" s="128" t="e">
        <f t="shared" si="16"/>
        <v>#VALUE!</v>
      </c>
    </row>
    <row r="152" spans="1:9" ht="15" customHeight="1">
      <c r="A152" s="80">
        <v>2015</v>
      </c>
      <c r="B152" s="81" t="e">
        <f t="shared" si="21"/>
        <v>#VALUE!</v>
      </c>
      <c r="C152" s="134"/>
      <c r="D152" s="67">
        <f t="shared" si="18"/>
        <v>27</v>
      </c>
      <c r="E152" s="67"/>
      <c r="F152" s="83"/>
      <c r="G152" s="69"/>
      <c r="H152" s="84"/>
      <c r="I152" s="128" t="e">
        <f t="shared" si="16"/>
        <v>#VALUE!</v>
      </c>
    </row>
    <row r="153" spans="1:9" ht="15" customHeight="1">
      <c r="A153" s="80">
        <v>2016</v>
      </c>
      <c r="B153" s="81" t="e">
        <f t="shared" si="21"/>
        <v>#VALUE!</v>
      </c>
      <c r="C153" s="134"/>
      <c r="D153" s="67">
        <f t="shared" si="18"/>
        <v>28</v>
      </c>
      <c r="E153" s="67"/>
      <c r="F153" s="83"/>
      <c r="G153" s="69"/>
      <c r="H153" s="84"/>
      <c r="I153" s="128" t="e">
        <f t="shared" si="16"/>
        <v>#VALUE!</v>
      </c>
    </row>
    <row r="154" spans="1:9" ht="15" customHeight="1">
      <c r="A154" s="80">
        <v>2017</v>
      </c>
      <c r="B154" s="81" t="e">
        <f t="shared" si="21"/>
        <v>#VALUE!</v>
      </c>
      <c r="C154" s="134"/>
      <c r="D154" s="67">
        <f t="shared" si="18"/>
        <v>29</v>
      </c>
      <c r="E154" s="67"/>
      <c r="F154" s="83"/>
      <c r="G154" s="69"/>
      <c r="H154" s="84"/>
      <c r="I154" s="128" t="e">
        <f t="shared" si="16"/>
        <v>#VALUE!</v>
      </c>
    </row>
    <row r="155" spans="1:9" ht="15" customHeight="1">
      <c r="A155" s="80">
        <v>2018</v>
      </c>
      <c r="B155" s="81" t="e">
        <f t="shared" si="21"/>
        <v>#VALUE!</v>
      </c>
      <c r="C155" s="134"/>
      <c r="D155" s="67">
        <f t="shared" si="18"/>
        <v>30</v>
      </c>
      <c r="E155" s="67"/>
      <c r="F155" s="83"/>
      <c r="G155" s="69"/>
      <c r="H155" s="84"/>
      <c r="I155" s="128" t="e">
        <f t="shared" si="16"/>
        <v>#VALUE!</v>
      </c>
    </row>
    <row r="156" spans="1:9" ht="15" customHeight="1">
      <c r="A156" s="80">
        <v>2019</v>
      </c>
      <c r="B156" s="81" t="e">
        <f t="shared" si="21"/>
        <v>#VALUE!</v>
      </c>
      <c r="C156" s="134"/>
      <c r="D156" s="67">
        <f t="shared" si="18"/>
        <v>31</v>
      </c>
      <c r="E156" s="67"/>
      <c r="F156" s="83"/>
      <c r="G156" s="69"/>
      <c r="H156" s="84"/>
      <c r="I156" s="128" t="e">
        <f t="shared" si="16"/>
        <v>#VALUE!</v>
      </c>
    </row>
    <row r="157" spans="1:9" ht="15" customHeight="1">
      <c r="A157" s="80">
        <v>2020</v>
      </c>
      <c r="B157" s="81" t="e">
        <f t="shared" si="21"/>
        <v>#VALUE!</v>
      </c>
      <c r="C157" s="134"/>
      <c r="D157" s="67">
        <f t="shared" si="18"/>
        <v>32</v>
      </c>
      <c r="E157" s="67"/>
      <c r="F157" s="83"/>
      <c r="G157" s="69"/>
      <c r="H157" s="84"/>
      <c r="I157" s="128" t="e">
        <f t="shared" si="16"/>
        <v>#VALUE!</v>
      </c>
    </row>
    <row r="158" spans="1:9" ht="15" customHeight="1">
      <c r="A158" s="80">
        <v>2021</v>
      </c>
      <c r="B158" s="81" t="e">
        <f t="shared" si="21"/>
        <v>#VALUE!</v>
      </c>
      <c r="C158" s="134"/>
      <c r="D158" s="67">
        <f t="shared" si="18"/>
        <v>33</v>
      </c>
      <c r="E158" s="67"/>
      <c r="F158" s="83"/>
      <c r="G158" s="69"/>
      <c r="H158" s="84"/>
      <c r="I158" s="128" t="e">
        <f t="shared" si="16"/>
        <v>#VALUE!</v>
      </c>
    </row>
    <row r="159" spans="1:9" ht="15" customHeight="1">
      <c r="A159" s="80">
        <v>2022</v>
      </c>
      <c r="B159" s="81" t="e">
        <f t="shared" si="21"/>
        <v>#VALUE!</v>
      </c>
      <c r="C159" s="134"/>
      <c r="D159" s="67">
        <f t="shared" si="18"/>
        <v>34</v>
      </c>
      <c r="E159" s="67"/>
      <c r="F159" s="83"/>
      <c r="G159" s="69"/>
      <c r="H159" s="84"/>
      <c r="I159" s="128" t="e">
        <f t="shared" si="16"/>
        <v>#VALUE!</v>
      </c>
    </row>
    <row r="160" spans="1:9" ht="15" customHeight="1">
      <c r="A160" s="80">
        <v>2023</v>
      </c>
      <c r="B160" s="81" t="e">
        <f t="shared" si="21"/>
        <v>#VALUE!</v>
      </c>
      <c r="C160" s="134"/>
      <c r="D160" s="67">
        <f t="shared" si="18"/>
        <v>35</v>
      </c>
      <c r="E160" s="67"/>
      <c r="F160" s="83"/>
      <c r="G160" s="69"/>
      <c r="H160" s="84"/>
      <c r="I160" s="128" t="e">
        <f t="shared" si="16"/>
        <v>#VALUE!</v>
      </c>
    </row>
    <row r="161" spans="1:9" ht="15" customHeight="1">
      <c r="A161" s="80">
        <v>2024</v>
      </c>
      <c r="B161" s="81" t="e">
        <f t="shared" si="21"/>
        <v>#VALUE!</v>
      </c>
      <c r="C161" s="135"/>
      <c r="D161" s="67">
        <f t="shared" si="18"/>
        <v>36</v>
      </c>
      <c r="E161" s="67"/>
      <c r="F161" s="69"/>
      <c r="G161" s="69"/>
      <c r="H161" s="69"/>
      <c r="I161" s="136" t="e">
        <f t="shared" si="16"/>
        <v>#VALUE!</v>
      </c>
    </row>
    <row r="162" spans="1:9" ht="15" customHeight="1">
      <c r="A162" s="85">
        <v>2025</v>
      </c>
      <c r="B162" s="81" t="e">
        <f t="shared" si="21"/>
        <v>#VALUE!</v>
      </c>
      <c r="C162" s="137"/>
      <c r="D162" s="87">
        <f t="shared" si="18"/>
        <v>37</v>
      </c>
      <c r="E162" s="87"/>
      <c r="F162" s="89"/>
      <c r="G162" s="89"/>
      <c r="H162" s="89"/>
      <c r="I162" s="138" t="e">
        <f t="shared" si="16"/>
        <v>#VALUE!</v>
      </c>
    </row>
    <row r="163" spans="1:9" ht="15" customHeight="1">
      <c r="A163" s="56" t="s">
        <v>87</v>
      </c>
      <c r="B163" s="57"/>
    </row>
    <row r="164" spans="1:9" ht="15" customHeight="1">
      <c r="A164" s="58" t="s">
        <v>32</v>
      </c>
      <c r="B164" s="59" t="s">
        <v>40</v>
      </c>
      <c r="C164" s="59" t="s">
        <v>36</v>
      </c>
      <c r="D164" s="59" t="s">
        <v>33</v>
      </c>
      <c r="E164" s="103"/>
      <c r="F164" s="60"/>
      <c r="G164" s="61"/>
      <c r="H164" s="63" t="s">
        <v>104</v>
      </c>
      <c r="I164" s="64">
        <f>RSQ(I165:I185,B165:B185)</f>
        <v>0.72504975842149766</v>
      </c>
    </row>
    <row r="165" spans="1:9" ht="15" customHeight="1">
      <c r="A165" s="65">
        <f t="shared" ref="A165:A185" si="22">A5</f>
        <v>1988</v>
      </c>
      <c r="B165" s="104">
        <f t="shared" ref="B165:B184" si="23">+B5</f>
        <v>7207</v>
      </c>
      <c r="C165" s="126">
        <f t="shared" ref="C165:C184" si="24">LN(F$168/B165-1)</f>
        <v>0.31778496559686181</v>
      </c>
      <c r="D165" s="67">
        <v>0</v>
      </c>
      <c r="E165" s="106" t="s">
        <v>75</v>
      </c>
      <c r="F165" s="139">
        <f>INDEX(LINEST(C165:C184,D165:D184),1)</f>
        <v>3.2713596554817259E-2</v>
      </c>
      <c r="G165" s="140" t="s">
        <v>88</v>
      </c>
      <c r="H165" s="127"/>
      <c r="I165" s="128">
        <f t="shared" ref="I165:I202" si="25">$F$168/(1+EXP($F$166+$F$165*D165))</f>
        <v>8563.2342641469204</v>
      </c>
    </row>
    <row r="166" spans="1:9" ht="15" customHeight="1">
      <c r="A166" s="65">
        <f t="shared" si="22"/>
        <v>1989</v>
      </c>
      <c r="B166" s="104">
        <f t="shared" si="23"/>
        <v>7794</v>
      </c>
      <c r="C166" s="126">
        <f t="shared" si="24"/>
        <v>0.17837914510557706</v>
      </c>
      <c r="D166" s="67">
        <f t="shared" ref="D166:D202" si="26">D165+1</f>
        <v>1</v>
      </c>
      <c r="E166" s="106" t="s">
        <v>76</v>
      </c>
      <c r="F166" s="139">
        <f>INDEX(LINEST(C165:C184,D165:D184),2)</f>
        <v>-1.9250185130863517E-3</v>
      </c>
      <c r="G166" s="69"/>
      <c r="H166" s="127"/>
      <c r="I166" s="128">
        <f t="shared" si="25"/>
        <v>8423.3122598971859</v>
      </c>
    </row>
    <row r="167" spans="1:9" ht="15" customHeight="1">
      <c r="A167" s="65">
        <f t="shared" si="22"/>
        <v>1990</v>
      </c>
      <c r="B167" s="104">
        <f t="shared" si="23"/>
        <v>7610</v>
      </c>
      <c r="C167" s="126">
        <f t="shared" si="24"/>
        <v>0.22182862673290049</v>
      </c>
      <c r="D167" s="67">
        <f t="shared" si="26"/>
        <v>2</v>
      </c>
      <c r="E167" s="106" t="s">
        <v>77</v>
      </c>
      <c r="F167" s="73">
        <f>I164</f>
        <v>0.72504975842149766</v>
      </c>
      <c r="G167" s="69"/>
      <c r="H167" s="127"/>
      <c r="I167" s="128">
        <f t="shared" si="25"/>
        <v>8283.4606911454011</v>
      </c>
    </row>
    <row r="168" spans="1:9" ht="15" customHeight="1">
      <c r="A168" s="65">
        <f t="shared" si="22"/>
        <v>1991</v>
      </c>
      <c r="B168" s="104">
        <f t="shared" si="23"/>
        <v>8555</v>
      </c>
      <c r="C168" s="126">
        <f t="shared" si="24"/>
        <v>0</v>
      </c>
      <c r="D168" s="67">
        <f t="shared" si="26"/>
        <v>3</v>
      </c>
      <c r="E168" s="106" t="s">
        <v>39</v>
      </c>
      <c r="F168" s="110">
        <f>MAX(B165:B184)*2</f>
        <v>17110</v>
      </c>
      <c r="G168" s="69"/>
      <c r="H168" s="127"/>
      <c r="I168" s="128">
        <f t="shared" si="25"/>
        <v>8143.7542480532193</v>
      </c>
    </row>
    <row r="169" spans="1:9" ht="15" customHeight="1">
      <c r="A169" s="65">
        <f t="shared" si="22"/>
        <v>1992</v>
      </c>
      <c r="B169" s="104">
        <f t="shared" si="23"/>
        <v>8489</v>
      </c>
      <c r="C169" s="126">
        <f t="shared" si="24"/>
        <v>1.5429879471957222E-2</v>
      </c>
      <c r="D169" s="67">
        <f t="shared" si="26"/>
        <v>4</v>
      </c>
      <c r="E169" s="106"/>
      <c r="F169" s="53"/>
      <c r="G169" s="69"/>
      <c r="H169" s="127"/>
      <c r="I169" s="128">
        <f t="shared" si="25"/>
        <v>8004.2673108100071</v>
      </c>
    </row>
    <row r="170" spans="1:9" ht="15" customHeight="1">
      <c r="A170" s="65">
        <f t="shared" si="22"/>
        <v>1993</v>
      </c>
      <c r="B170" s="104">
        <f t="shared" si="23"/>
        <v>8453</v>
      </c>
      <c r="C170" s="126">
        <f t="shared" si="24"/>
        <v>2.3846834286846284E-2</v>
      </c>
      <c r="D170" s="67">
        <f t="shared" si="26"/>
        <v>5</v>
      </c>
      <c r="E170" s="106"/>
      <c r="F170" s="53"/>
      <c r="G170" s="69"/>
      <c r="H170" s="127"/>
      <c r="I170" s="128">
        <f t="shared" si="25"/>
        <v>7865.0737916822363</v>
      </c>
    </row>
    <row r="171" spans="1:9" ht="15" customHeight="1">
      <c r="A171" s="65">
        <f t="shared" si="22"/>
        <v>1994</v>
      </c>
      <c r="B171" s="104">
        <f t="shared" si="23"/>
        <v>8351</v>
      </c>
      <c r="C171" s="126">
        <f t="shared" si="24"/>
        <v>4.7700451009859611E-2</v>
      </c>
      <c r="D171" s="67">
        <f t="shared" si="26"/>
        <v>6</v>
      </c>
      <c r="E171" s="132" t="s">
        <v>89</v>
      </c>
      <c r="F171" s="53"/>
      <c r="G171" s="69"/>
      <c r="H171" s="127"/>
      <c r="I171" s="128">
        <f t="shared" si="25"/>
        <v>7726.2469791786107</v>
      </c>
    </row>
    <row r="172" spans="1:9" ht="15" customHeight="1">
      <c r="A172" s="65">
        <f t="shared" si="22"/>
        <v>1995</v>
      </c>
      <c r="B172" s="104">
        <f t="shared" si="23"/>
        <v>8005</v>
      </c>
      <c r="C172" s="126">
        <f t="shared" si="24"/>
        <v>0.12875736673089333</v>
      </c>
      <c r="D172" s="67">
        <f t="shared" si="26"/>
        <v>7</v>
      </c>
      <c r="E172" s="132" t="s">
        <v>90</v>
      </c>
      <c r="F172" s="53"/>
      <c r="G172" s="69"/>
      <c r="H172" s="127"/>
      <c r="I172" s="128">
        <f t="shared" si="25"/>
        <v>7587.8593850250099</v>
      </c>
    </row>
    <row r="173" spans="1:9" ht="15" customHeight="1">
      <c r="A173" s="65">
        <f t="shared" si="22"/>
        <v>1996</v>
      </c>
      <c r="B173" s="104">
        <f t="shared" si="23"/>
        <v>7874</v>
      </c>
      <c r="C173" s="126">
        <f t="shared" si="24"/>
        <v>0.15954269897070314</v>
      </c>
      <c r="D173" s="67">
        <f t="shared" si="26"/>
        <v>8</v>
      </c>
      <c r="E173" s="132"/>
      <c r="F173" s="53"/>
      <c r="G173" s="69"/>
      <c r="H173" s="127"/>
      <c r="I173" s="128">
        <f t="shared" si="25"/>
        <v>7449.9825946216906</v>
      </c>
    </row>
    <row r="174" spans="1:9" ht="15" customHeight="1">
      <c r="A174" s="65">
        <f t="shared" si="22"/>
        <v>1997</v>
      </c>
      <c r="B174" s="104">
        <f t="shared" si="23"/>
        <v>7667</v>
      </c>
      <c r="C174" s="126">
        <f t="shared" si="24"/>
        <v>0.20834832170417461</v>
      </c>
      <c r="D174" s="67">
        <f t="shared" si="26"/>
        <v>9</v>
      </c>
      <c r="E174" s="132"/>
      <c r="F174" s="53"/>
      <c r="G174" s="69"/>
      <c r="H174" s="127"/>
      <c r="I174" s="128">
        <f t="shared" si="25"/>
        <v>7312.6871216284671</v>
      </c>
    </row>
    <row r="175" spans="1:9" ht="15" customHeight="1">
      <c r="A175" s="65">
        <f t="shared" si="22"/>
        <v>1998</v>
      </c>
      <c r="B175" s="104">
        <f t="shared" si="23"/>
        <v>7586</v>
      </c>
      <c r="C175" s="126">
        <f t="shared" si="24"/>
        <v>0.22751048535790913</v>
      </c>
      <c r="D175" s="67">
        <f t="shared" si="26"/>
        <v>10</v>
      </c>
      <c r="E175" s="132"/>
      <c r="F175" s="53"/>
      <c r="G175" s="69"/>
      <c r="H175" s="127"/>
      <c r="I175" s="128">
        <f t="shared" si="25"/>
        <v>7176.0422672922559</v>
      </c>
    </row>
    <row r="176" spans="1:9" ht="15" customHeight="1">
      <c r="A176" s="65">
        <f t="shared" si="22"/>
        <v>1999</v>
      </c>
      <c r="B176" s="104">
        <f t="shared" si="23"/>
        <v>7436</v>
      </c>
      <c r="C176" s="126">
        <f t="shared" si="24"/>
        <v>0.26310880454159385</v>
      </c>
      <c r="D176" s="67">
        <f t="shared" si="26"/>
        <v>11</v>
      </c>
      <c r="E176" s="132"/>
      <c r="F176" s="53"/>
      <c r="G176" s="69"/>
      <c r="H176" s="127"/>
      <c r="I176" s="128">
        <f t="shared" si="25"/>
        <v>7040.1159850956183</v>
      </c>
    </row>
    <row r="177" spans="1:9" ht="15" customHeight="1">
      <c r="A177" s="65">
        <f t="shared" si="22"/>
        <v>2000</v>
      </c>
      <c r="B177" s="104">
        <f t="shared" si="23"/>
        <v>7135</v>
      </c>
      <c r="C177" s="126">
        <f t="shared" si="24"/>
        <v>0.33506971184712725</v>
      </c>
      <c r="D177" s="67">
        <f t="shared" si="26"/>
        <v>12</v>
      </c>
      <c r="E177" s="132"/>
      <c r="F177" s="53"/>
      <c r="G177" s="69"/>
      <c r="H177" s="127"/>
      <c r="I177" s="128">
        <f t="shared" si="25"/>
        <v>6904.9747512652821</v>
      </c>
    </row>
    <row r="178" spans="1:9" ht="15" customHeight="1">
      <c r="A178" s="65">
        <f t="shared" si="22"/>
        <v>2001</v>
      </c>
      <c r="B178" s="104">
        <f t="shared" si="23"/>
        <v>6834</v>
      </c>
      <c r="C178" s="126">
        <f t="shared" si="24"/>
        <v>0.40790092555453705</v>
      </c>
      <c r="D178" s="67">
        <f t="shared" si="26"/>
        <v>13</v>
      </c>
      <c r="E178" s="132"/>
      <c r="F178" s="53"/>
      <c r="G178" s="69"/>
      <c r="H178" s="127"/>
      <c r="I178" s="128">
        <f t="shared" si="25"/>
        <v>6770.6834416364654</v>
      </c>
    </row>
    <row r="179" spans="1:9" ht="15" customHeight="1">
      <c r="A179" s="65">
        <f t="shared" si="22"/>
        <v>2002</v>
      </c>
      <c r="B179" s="104">
        <f t="shared" si="23"/>
        <v>6429</v>
      </c>
      <c r="C179" s="126">
        <f t="shared" si="24"/>
        <v>0.50764745694800872</v>
      </c>
      <c r="D179" s="67">
        <f t="shared" si="26"/>
        <v>14</v>
      </c>
      <c r="E179" s="132"/>
      <c r="F179" s="53"/>
      <c r="G179" s="69"/>
      <c r="H179" s="127"/>
      <c r="I179" s="128">
        <f t="shared" si="25"/>
        <v>6637.3052153226736</v>
      </c>
    </row>
    <row r="180" spans="1:9" ht="15" customHeight="1">
      <c r="A180" s="65">
        <f t="shared" si="22"/>
        <v>2003</v>
      </c>
      <c r="B180" s="104">
        <f t="shared" si="23"/>
        <v>6136</v>
      </c>
      <c r="C180" s="126">
        <f t="shared" si="24"/>
        <v>0.58135577457182852</v>
      </c>
      <c r="D180" s="67">
        <f t="shared" si="26"/>
        <v>15</v>
      </c>
      <c r="E180" s="132"/>
      <c r="F180" s="53"/>
      <c r="G180" s="69"/>
      <c r="H180" s="127"/>
      <c r="I180" s="128">
        <f t="shared" si="25"/>
        <v>6504.9014055919397</v>
      </c>
    </row>
    <row r="181" spans="1:9" ht="15" customHeight="1">
      <c r="A181" s="65">
        <f t="shared" si="22"/>
        <v>2004</v>
      </c>
      <c r="B181" s="104">
        <f t="shared" si="23"/>
        <v>6182</v>
      </c>
      <c r="C181" s="126">
        <f t="shared" si="24"/>
        <v>0.56968645911850968</v>
      </c>
      <c r="D181" s="67">
        <f t="shared" si="26"/>
        <v>16</v>
      </c>
      <c r="E181" s="106"/>
      <c r="F181" s="53"/>
      <c r="G181" s="69"/>
      <c r="H181" s="127"/>
      <c r="I181" s="128">
        <f t="shared" si="25"/>
        <v>6373.5314182998482</v>
      </c>
    </row>
    <row r="182" spans="1:9" ht="15" customHeight="1">
      <c r="A182" s="65">
        <f t="shared" si="22"/>
        <v>2005</v>
      </c>
      <c r="B182" s="104">
        <f t="shared" si="23"/>
        <v>6155</v>
      </c>
      <c r="C182" s="126">
        <f t="shared" si="24"/>
        <v>0.57653121341101299</v>
      </c>
      <c r="D182" s="67">
        <f t="shared" si="26"/>
        <v>17</v>
      </c>
      <c r="E182" s="83"/>
      <c r="F182" s="69"/>
      <c r="G182" s="69"/>
      <c r="H182" s="127"/>
      <c r="I182" s="128">
        <f t="shared" si="25"/>
        <v>6243.2526381775497</v>
      </c>
    </row>
    <row r="183" spans="1:9" ht="15" customHeight="1">
      <c r="A183" s="65">
        <f t="shared" si="22"/>
        <v>2006</v>
      </c>
      <c r="B183" s="104">
        <f t="shared" si="23"/>
        <v>5800</v>
      </c>
      <c r="C183" s="126">
        <f t="shared" si="24"/>
        <v>0.66782937257565556</v>
      </c>
      <c r="D183" s="67">
        <f t="shared" si="26"/>
        <v>18</v>
      </c>
      <c r="E183" s="83"/>
      <c r="F183" s="69"/>
      <c r="G183" s="69"/>
      <c r="H183" s="127"/>
      <c r="I183" s="128">
        <f t="shared" si="25"/>
        <v>6114.12034321992</v>
      </c>
    </row>
    <row r="184" spans="1:9" ht="15" customHeight="1" thickBot="1">
      <c r="A184" s="97">
        <f t="shared" si="22"/>
        <v>2007</v>
      </c>
      <c r="B184" s="116">
        <f t="shared" si="23"/>
        <v>5531</v>
      </c>
      <c r="C184" s="141">
        <f t="shared" si="24"/>
        <v>0.73882448161759506</v>
      </c>
      <c r="D184" s="99">
        <f t="shared" si="26"/>
        <v>19</v>
      </c>
      <c r="E184" s="142"/>
      <c r="F184" s="100"/>
      <c r="G184" s="100"/>
      <c r="H184" s="143"/>
      <c r="I184" s="144">
        <f t="shared" si="25"/>
        <v>5986.1876273655716</v>
      </c>
    </row>
    <row r="185" spans="1:9" ht="15" customHeight="1" thickTop="1">
      <c r="A185" s="255">
        <f t="shared" si="22"/>
        <v>2008</v>
      </c>
      <c r="B185" s="81">
        <f t="shared" ref="B185:B202" si="27">ROUND(F$168/(1+EXP(F$166+F$165*D185)),0)</f>
        <v>5860</v>
      </c>
      <c r="C185" s="257"/>
      <c r="D185" s="77">
        <f t="shared" si="26"/>
        <v>20</v>
      </c>
      <c r="E185" s="122"/>
      <c r="F185" s="78"/>
      <c r="G185" s="78"/>
      <c r="H185" s="258"/>
      <c r="I185" s="133">
        <f t="shared" si="25"/>
        <v>5859.5053316071089</v>
      </c>
    </row>
    <row r="186" spans="1:9" ht="15" customHeight="1">
      <c r="A186" s="80">
        <v>2009</v>
      </c>
      <c r="B186" s="81">
        <f t="shared" si="27"/>
        <v>5734</v>
      </c>
      <c r="C186" s="134"/>
      <c r="D186" s="67">
        <f t="shared" si="26"/>
        <v>21</v>
      </c>
      <c r="E186" s="83"/>
      <c r="F186" s="69"/>
      <c r="G186" s="69"/>
      <c r="H186" s="84"/>
      <c r="I186" s="128">
        <f t="shared" si="25"/>
        <v>5734.1219836172149</v>
      </c>
    </row>
    <row r="187" spans="1:9" ht="15" customHeight="1">
      <c r="A187" s="80">
        <v>2010</v>
      </c>
      <c r="B187" s="81">
        <f t="shared" si="27"/>
        <v>5610</v>
      </c>
      <c r="C187" s="134"/>
      <c r="D187" s="67">
        <f t="shared" si="26"/>
        <v>22</v>
      </c>
      <c r="E187" s="83"/>
      <c r="F187" s="69"/>
      <c r="G187" s="69"/>
      <c r="H187" s="84"/>
      <c r="I187" s="128">
        <f t="shared" si="25"/>
        <v>5610.0837459245959</v>
      </c>
    </row>
    <row r="188" spans="1:9" ht="15" customHeight="1">
      <c r="A188" s="80">
        <v>2011</v>
      </c>
      <c r="B188" s="81">
        <f t="shared" si="27"/>
        <v>5487</v>
      </c>
      <c r="C188" s="134"/>
      <c r="D188" s="67">
        <f t="shared" si="26"/>
        <v>23</v>
      </c>
      <c r="E188" s="83"/>
      <c r="F188" s="69"/>
      <c r="G188" s="69"/>
      <c r="H188" s="84"/>
      <c r="I188" s="128">
        <f t="shared" si="25"/>
        <v>5487.434372623542</v>
      </c>
    </row>
    <row r="189" spans="1:9" ht="15" customHeight="1">
      <c r="A189" s="80">
        <v>2012</v>
      </c>
      <c r="B189" s="81">
        <f t="shared" si="27"/>
        <v>5366</v>
      </c>
      <c r="C189" s="134"/>
      <c r="D189" s="67">
        <f t="shared" si="26"/>
        <v>24</v>
      </c>
      <c r="E189" s="83"/>
      <c r="F189" s="69"/>
      <c r="G189" s="69"/>
      <c r="H189" s="84"/>
      <c r="I189" s="128">
        <f t="shared" si="25"/>
        <v>5366.2151745527035</v>
      </c>
    </row>
    <row r="190" spans="1:9" ht="15" customHeight="1">
      <c r="A190" s="80">
        <v>2013</v>
      </c>
      <c r="B190" s="81">
        <f t="shared" si="27"/>
        <v>5246</v>
      </c>
      <c r="C190" s="134"/>
      <c r="D190" s="67">
        <f t="shared" si="26"/>
        <v>25</v>
      </c>
      <c r="E190" s="83"/>
      <c r="F190" s="69"/>
      <c r="G190" s="69"/>
      <c r="H190" s="84"/>
      <c r="I190" s="128">
        <f t="shared" si="25"/>
        <v>5246.4649928326762</v>
      </c>
    </row>
    <row r="191" spans="1:9" ht="15" customHeight="1">
      <c r="A191" s="80">
        <v>2014</v>
      </c>
      <c r="B191" s="81">
        <f t="shared" si="27"/>
        <v>5128</v>
      </c>
      <c r="C191" s="134"/>
      <c r="D191" s="67">
        <f t="shared" si="26"/>
        <v>26</v>
      </c>
      <c r="E191" s="83"/>
      <c r="F191" s="69"/>
      <c r="G191" s="69"/>
      <c r="H191" s="84"/>
      <c r="I191" s="128">
        <f t="shared" si="25"/>
        <v>5128.2201806085986</v>
      </c>
    </row>
    <row r="192" spans="1:9" ht="15" customHeight="1">
      <c r="A192" s="80">
        <v>2015</v>
      </c>
      <c r="B192" s="81">
        <f t="shared" si="27"/>
        <v>5012</v>
      </c>
      <c r="C192" s="134"/>
      <c r="D192" s="67">
        <f t="shared" si="26"/>
        <v>27</v>
      </c>
      <c r="E192" s="83"/>
      <c r="F192" s="69"/>
      <c r="G192" s="69"/>
      <c r="H192" s="84"/>
      <c r="I192" s="128">
        <f t="shared" si="25"/>
        <v>5011.5145928035063</v>
      </c>
    </row>
    <row r="193" spans="1:10" ht="15" customHeight="1">
      <c r="A193" s="80">
        <v>2016</v>
      </c>
      <c r="B193" s="81">
        <f t="shared" si="27"/>
        <v>4896</v>
      </c>
      <c r="C193" s="134"/>
      <c r="D193" s="67">
        <f t="shared" si="26"/>
        <v>28</v>
      </c>
      <c r="E193" s="83"/>
      <c r="F193" s="69"/>
      <c r="G193" s="69"/>
      <c r="H193" s="84"/>
      <c r="I193" s="128">
        <f t="shared" si="25"/>
        <v>4896.3795836507779</v>
      </c>
    </row>
    <row r="194" spans="1:10" ht="15" customHeight="1">
      <c r="A194" s="80">
        <v>2017</v>
      </c>
      <c r="B194" s="81">
        <f t="shared" si="27"/>
        <v>4783</v>
      </c>
      <c r="C194" s="134"/>
      <c r="D194" s="67">
        <f t="shared" si="26"/>
        <v>29</v>
      </c>
      <c r="E194" s="83"/>
      <c r="F194" s="69"/>
      <c r="G194" s="69"/>
      <c r="H194" s="84"/>
      <c r="I194" s="128">
        <f t="shared" si="25"/>
        <v>4782.8440117398923</v>
      </c>
    </row>
    <row r="195" spans="1:10" ht="15" customHeight="1">
      <c r="A195" s="80">
        <v>2018</v>
      </c>
      <c r="B195" s="81">
        <f t="shared" si="27"/>
        <v>4671</v>
      </c>
      <c r="C195" s="134"/>
      <c r="D195" s="67">
        <f t="shared" si="26"/>
        <v>30</v>
      </c>
      <c r="E195" s="83"/>
      <c r="F195" s="69"/>
      <c r="G195" s="69"/>
      <c r="H195" s="84"/>
      <c r="I195" s="128">
        <f t="shared" si="25"/>
        <v>4670.9342522790803</v>
      </c>
    </row>
    <row r="196" spans="1:10" ht="15" customHeight="1">
      <c r="A196" s="80">
        <v>2019</v>
      </c>
      <c r="B196" s="81">
        <f t="shared" si="27"/>
        <v>4561</v>
      </c>
      <c r="C196" s="134"/>
      <c r="D196" s="67">
        <f t="shared" si="26"/>
        <v>31</v>
      </c>
      <c r="E196" s="83"/>
      <c r="F196" s="69"/>
      <c r="G196" s="69"/>
      <c r="H196" s="84"/>
      <c r="I196" s="128">
        <f t="shared" si="25"/>
        <v>4560.6742162513101</v>
      </c>
    </row>
    <row r="197" spans="1:10" ht="15" customHeight="1">
      <c r="A197" s="80">
        <v>2020</v>
      </c>
      <c r="B197" s="81">
        <f t="shared" si="27"/>
        <v>4452</v>
      </c>
      <c r="C197" s="134"/>
      <c r="D197" s="67">
        <f t="shared" si="26"/>
        <v>32</v>
      </c>
      <c r="E197" s="83"/>
      <c r="F197" s="69"/>
      <c r="G197" s="69"/>
      <c r="H197" s="84"/>
      <c r="I197" s="128">
        <f t="shared" si="25"/>
        <v>4452.0853761164981</v>
      </c>
    </row>
    <row r="198" spans="1:10" ht="15" customHeight="1">
      <c r="A198" s="80">
        <v>2021</v>
      </c>
      <c r="B198" s="81">
        <f t="shared" si="27"/>
        <v>4345</v>
      </c>
      <c r="C198" s="134"/>
      <c r="D198" s="67">
        <f t="shared" si="26"/>
        <v>33</v>
      </c>
      <c r="E198" s="83"/>
      <c r="F198" s="69"/>
      <c r="G198" s="69"/>
      <c r="H198" s="84"/>
      <c r="I198" s="128">
        <f t="shared" si="25"/>
        <v>4345.1867976928752</v>
      </c>
    </row>
    <row r="199" spans="1:10" ht="15" customHeight="1">
      <c r="A199" s="80">
        <v>2022</v>
      </c>
      <c r="B199" s="81">
        <f t="shared" si="27"/>
        <v>4240</v>
      </c>
      <c r="C199" s="134"/>
      <c r="D199" s="67">
        <f t="shared" si="26"/>
        <v>34</v>
      </c>
      <c r="E199" s="83"/>
      <c r="F199" s="69"/>
      <c r="G199" s="69"/>
      <c r="H199" s="84"/>
      <c r="I199" s="128">
        <f t="shared" si="25"/>
        <v>4239.9951778340628</v>
      </c>
    </row>
    <row r="200" spans="1:10" ht="15" customHeight="1">
      <c r="A200" s="80">
        <v>2023</v>
      </c>
      <c r="B200" s="81">
        <f t="shared" si="27"/>
        <v>4137</v>
      </c>
      <c r="C200" s="134"/>
      <c r="D200" s="67">
        <f t="shared" si="26"/>
        <v>35</v>
      </c>
      <c r="E200" s="83"/>
      <c r="F200" s="69"/>
      <c r="G200" s="69"/>
      <c r="H200" s="84"/>
      <c r="I200" s="128">
        <f t="shared" si="25"/>
        <v>4136.5248875055222</v>
      </c>
    </row>
    <row r="201" spans="1:10" ht="15" customHeight="1">
      <c r="A201" s="80">
        <v>2024</v>
      </c>
      <c r="B201" s="81">
        <f t="shared" si="27"/>
        <v>4035</v>
      </c>
      <c r="C201" s="135"/>
      <c r="D201" s="67">
        <f t="shared" si="26"/>
        <v>36</v>
      </c>
      <c r="E201" s="69"/>
      <c r="F201" s="69"/>
      <c r="G201" s="69"/>
      <c r="H201" s="69"/>
      <c r="I201" s="136">
        <f t="shared" si="25"/>
        <v>4034.7880198545672</v>
      </c>
    </row>
    <row r="202" spans="1:10" ht="15" customHeight="1">
      <c r="A202" s="85">
        <v>2025</v>
      </c>
      <c r="B202" s="86">
        <f t="shared" si="27"/>
        <v>3935</v>
      </c>
      <c r="C202" s="137"/>
      <c r="D202" s="87">
        <f t="shared" si="26"/>
        <v>37</v>
      </c>
      <c r="E202" s="89"/>
      <c r="F202" s="89"/>
      <c r="G202" s="89"/>
      <c r="H202" s="89"/>
      <c r="I202" s="138">
        <f t="shared" si="25"/>
        <v>3934.7944428619307</v>
      </c>
    </row>
    <row r="203" spans="1:10" ht="15" customHeight="1">
      <c r="A203" s="56" t="s">
        <v>105</v>
      </c>
      <c r="B203" s="57"/>
    </row>
    <row r="204" spans="1:10" ht="15" customHeight="1">
      <c r="A204" s="56"/>
      <c r="B204" s="57"/>
    </row>
    <row r="205" spans="1:10" ht="24">
      <c r="A205" s="145" t="s">
        <v>32</v>
      </c>
      <c r="B205" s="146" t="s">
        <v>91</v>
      </c>
      <c r="C205" s="147" t="s">
        <v>72</v>
      </c>
      <c r="D205" s="147" t="s">
        <v>92</v>
      </c>
      <c r="E205" s="147" t="s">
        <v>93</v>
      </c>
      <c r="F205" s="147" t="s">
        <v>94</v>
      </c>
      <c r="G205" s="147" t="s">
        <v>95</v>
      </c>
      <c r="H205" s="148" t="s">
        <v>96</v>
      </c>
      <c r="I205" s="149" t="s">
        <v>106</v>
      </c>
      <c r="J205" s="150" t="s">
        <v>107</v>
      </c>
    </row>
    <row r="206" spans="1:10" ht="20.100000000000001" customHeight="1">
      <c r="A206" s="65">
        <v>2008</v>
      </c>
      <c r="B206" s="151">
        <f t="shared" ref="B206:B223" si="28">B25</f>
        <v>5443</v>
      </c>
      <c r="C206" s="152">
        <f t="shared" ref="C206:C223" si="29">B65</f>
        <v>5849</v>
      </c>
      <c r="D206" s="152">
        <f t="shared" ref="D206:D223" si="30">B105</f>
        <v>5455</v>
      </c>
      <c r="E206" s="152"/>
      <c r="F206" s="152">
        <f t="shared" ref="F206:F223" si="31">B185</f>
        <v>5860</v>
      </c>
      <c r="G206" s="152">
        <f t="shared" ref="G206:G223" si="32">ROUND(AVERAGE(B206:F206),1)</f>
        <v>5651.8</v>
      </c>
      <c r="H206" s="152">
        <f t="shared" ref="H206:H223" si="33">ROUND((SUM(B206:F206)-MAX(B206:F206)-MIN(B206:F206))/(COUNT(B206:F206)-2),1)</f>
        <v>5652</v>
      </c>
      <c r="I206" s="153">
        <f t="shared" ref="I206:I223" si="34">ROUND(SUMIF(B$224:H$224,"○",B206:H206),0)</f>
        <v>5652</v>
      </c>
      <c r="J206" s="261"/>
    </row>
    <row r="207" spans="1:10" ht="20.100000000000001" customHeight="1">
      <c r="A207" s="80">
        <v>2009</v>
      </c>
      <c r="B207" s="151">
        <f t="shared" si="28"/>
        <v>5355</v>
      </c>
      <c r="C207" s="152">
        <f t="shared" si="29"/>
        <v>5715</v>
      </c>
      <c r="D207" s="152">
        <f t="shared" si="30"/>
        <v>5380</v>
      </c>
      <c r="E207" s="152"/>
      <c r="F207" s="152">
        <f t="shared" si="31"/>
        <v>5734</v>
      </c>
      <c r="G207" s="152">
        <f t="shared" si="32"/>
        <v>5546</v>
      </c>
      <c r="H207" s="152">
        <f t="shared" si="33"/>
        <v>5547.5</v>
      </c>
      <c r="I207" s="153">
        <f t="shared" si="34"/>
        <v>5546</v>
      </c>
      <c r="J207" s="154"/>
    </row>
    <row r="208" spans="1:10" ht="20.100000000000001" customHeight="1">
      <c r="A208" s="80">
        <v>2010</v>
      </c>
      <c r="B208" s="151">
        <f t="shared" si="28"/>
        <v>5266</v>
      </c>
      <c r="C208" s="152">
        <f t="shared" si="29"/>
        <v>5580</v>
      </c>
      <c r="D208" s="152">
        <f t="shared" si="30"/>
        <v>5305</v>
      </c>
      <c r="E208" s="152"/>
      <c r="F208" s="152">
        <f t="shared" si="31"/>
        <v>5610</v>
      </c>
      <c r="G208" s="152">
        <f t="shared" si="32"/>
        <v>5440.3</v>
      </c>
      <c r="H208" s="152">
        <f t="shared" si="33"/>
        <v>5442.5</v>
      </c>
      <c r="I208" s="153">
        <f t="shared" si="34"/>
        <v>5440</v>
      </c>
      <c r="J208" s="154"/>
    </row>
    <row r="209" spans="1:49" ht="20.100000000000001" customHeight="1">
      <c r="A209" s="80">
        <v>2011</v>
      </c>
      <c r="B209" s="151">
        <f t="shared" si="28"/>
        <v>5178</v>
      </c>
      <c r="C209" s="152">
        <f t="shared" si="29"/>
        <v>5446</v>
      </c>
      <c r="D209" s="152">
        <f t="shared" si="30"/>
        <v>5232</v>
      </c>
      <c r="E209" s="152"/>
      <c r="F209" s="152">
        <f t="shared" si="31"/>
        <v>5487</v>
      </c>
      <c r="G209" s="152">
        <f t="shared" si="32"/>
        <v>5335.8</v>
      </c>
      <c r="H209" s="152">
        <f t="shared" si="33"/>
        <v>5339</v>
      </c>
      <c r="I209" s="153">
        <f t="shared" si="34"/>
        <v>5336</v>
      </c>
      <c r="J209" s="154"/>
    </row>
    <row r="210" spans="1:49" ht="20.100000000000001" customHeight="1">
      <c r="A210" s="80">
        <v>2012</v>
      </c>
      <c r="B210" s="151">
        <f t="shared" si="28"/>
        <v>5090</v>
      </c>
      <c r="C210" s="152">
        <f t="shared" si="29"/>
        <v>5311</v>
      </c>
      <c r="D210" s="152">
        <f t="shared" si="30"/>
        <v>5159</v>
      </c>
      <c r="E210" s="152"/>
      <c r="F210" s="152">
        <f t="shared" si="31"/>
        <v>5366</v>
      </c>
      <c r="G210" s="152">
        <f t="shared" si="32"/>
        <v>5231.5</v>
      </c>
      <c r="H210" s="152">
        <f t="shared" si="33"/>
        <v>5235</v>
      </c>
      <c r="I210" s="153">
        <f t="shared" si="34"/>
        <v>5232</v>
      </c>
      <c r="J210" s="154"/>
    </row>
    <row r="211" spans="1:49" ht="20.100000000000001" customHeight="1">
      <c r="A211" s="80">
        <v>2013</v>
      </c>
      <c r="B211" s="151">
        <f t="shared" si="28"/>
        <v>5002</v>
      </c>
      <c r="C211" s="152">
        <f t="shared" si="29"/>
        <v>5177</v>
      </c>
      <c r="D211" s="152">
        <f t="shared" si="30"/>
        <v>5088</v>
      </c>
      <c r="E211" s="152"/>
      <c r="F211" s="152">
        <f t="shared" si="31"/>
        <v>5246</v>
      </c>
      <c r="G211" s="152">
        <f t="shared" si="32"/>
        <v>5128.3</v>
      </c>
      <c r="H211" s="152">
        <f t="shared" si="33"/>
        <v>5132.5</v>
      </c>
      <c r="I211" s="153">
        <f t="shared" si="34"/>
        <v>5128</v>
      </c>
      <c r="J211" s="154"/>
    </row>
    <row r="212" spans="1:49" ht="20.100000000000001" customHeight="1">
      <c r="A212" s="80">
        <v>2014</v>
      </c>
      <c r="B212" s="151">
        <f t="shared" si="28"/>
        <v>4914</v>
      </c>
      <c r="C212" s="152">
        <f t="shared" si="29"/>
        <v>5042</v>
      </c>
      <c r="D212" s="152">
        <f t="shared" si="30"/>
        <v>5018</v>
      </c>
      <c r="E212" s="152"/>
      <c r="F212" s="152">
        <f t="shared" si="31"/>
        <v>5128</v>
      </c>
      <c r="G212" s="152">
        <f t="shared" si="32"/>
        <v>5025.5</v>
      </c>
      <c r="H212" s="152">
        <f t="shared" si="33"/>
        <v>5030</v>
      </c>
      <c r="I212" s="153">
        <f t="shared" si="34"/>
        <v>5026</v>
      </c>
      <c r="J212" s="154"/>
    </row>
    <row r="213" spans="1:49" ht="20.100000000000001" customHeight="1">
      <c r="A213" s="80">
        <v>2015</v>
      </c>
      <c r="B213" s="151">
        <f t="shared" si="28"/>
        <v>4825</v>
      </c>
      <c r="C213" s="152">
        <f t="shared" si="29"/>
        <v>4908</v>
      </c>
      <c r="D213" s="152">
        <f t="shared" si="30"/>
        <v>4948</v>
      </c>
      <c r="E213" s="152"/>
      <c r="F213" s="152">
        <f t="shared" si="31"/>
        <v>5012</v>
      </c>
      <c r="G213" s="152">
        <f t="shared" si="32"/>
        <v>4923.3</v>
      </c>
      <c r="H213" s="152">
        <f t="shared" si="33"/>
        <v>4928</v>
      </c>
      <c r="I213" s="153">
        <f t="shared" si="34"/>
        <v>4923</v>
      </c>
      <c r="J213" s="154"/>
    </row>
    <row r="214" spans="1:49" ht="20.100000000000001" customHeight="1">
      <c r="A214" s="80">
        <v>2016</v>
      </c>
      <c r="B214" s="151">
        <f t="shared" si="28"/>
        <v>4737</v>
      </c>
      <c r="C214" s="152">
        <f t="shared" si="29"/>
        <v>4773</v>
      </c>
      <c r="D214" s="152">
        <f t="shared" si="30"/>
        <v>4880</v>
      </c>
      <c r="E214" s="152"/>
      <c r="F214" s="152">
        <f t="shared" si="31"/>
        <v>4896</v>
      </c>
      <c r="G214" s="152">
        <f t="shared" si="32"/>
        <v>4821.5</v>
      </c>
      <c r="H214" s="152">
        <f t="shared" si="33"/>
        <v>4826.5</v>
      </c>
      <c r="I214" s="153">
        <f t="shared" si="34"/>
        <v>4822</v>
      </c>
      <c r="J214" s="154"/>
    </row>
    <row r="215" spans="1:49" ht="20.100000000000001" customHeight="1">
      <c r="A215" s="80">
        <v>2017</v>
      </c>
      <c r="B215" s="151">
        <f t="shared" si="28"/>
        <v>4649</v>
      </c>
      <c r="C215" s="152">
        <f t="shared" si="29"/>
        <v>4639</v>
      </c>
      <c r="D215" s="152">
        <f t="shared" si="30"/>
        <v>4812</v>
      </c>
      <c r="E215" s="152"/>
      <c r="F215" s="152">
        <f t="shared" si="31"/>
        <v>4783</v>
      </c>
      <c r="G215" s="152">
        <f t="shared" si="32"/>
        <v>4720.8</v>
      </c>
      <c r="H215" s="152">
        <f t="shared" si="33"/>
        <v>4716</v>
      </c>
      <c r="I215" s="153">
        <f t="shared" si="34"/>
        <v>4721</v>
      </c>
      <c r="J215" s="154"/>
    </row>
    <row r="216" spans="1:49" ht="20.100000000000001" customHeight="1">
      <c r="A216" s="80">
        <v>2018</v>
      </c>
      <c r="B216" s="151">
        <f t="shared" si="28"/>
        <v>4561</v>
      </c>
      <c r="C216" s="152">
        <f t="shared" si="29"/>
        <v>4504</v>
      </c>
      <c r="D216" s="152">
        <f t="shared" si="30"/>
        <v>4746</v>
      </c>
      <c r="E216" s="152"/>
      <c r="F216" s="152">
        <f t="shared" si="31"/>
        <v>4671</v>
      </c>
      <c r="G216" s="152">
        <f t="shared" si="32"/>
        <v>4620.5</v>
      </c>
      <c r="H216" s="152">
        <f t="shared" si="33"/>
        <v>4616</v>
      </c>
      <c r="I216" s="153">
        <f t="shared" si="34"/>
        <v>4621</v>
      </c>
      <c r="J216" s="154"/>
    </row>
    <row r="217" spans="1:49" ht="20.100000000000001" customHeight="1">
      <c r="A217" s="80">
        <v>2019</v>
      </c>
      <c r="B217" s="151">
        <f t="shared" si="28"/>
        <v>4472</v>
      </c>
      <c r="C217" s="152">
        <f t="shared" si="29"/>
        <v>4370</v>
      </c>
      <c r="D217" s="152">
        <f t="shared" si="30"/>
        <v>4680</v>
      </c>
      <c r="E217" s="152"/>
      <c r="F217" s="152">
        <f t="shared" si="31"/>
        <v>4561</v>
      </c>
      <c r="G217" s="152">
        <f t="shared" si="32"/>
        <v>4520.8</v>
      </c>
      <c r="H217" s="152">
        <f t="shared" si="33"/>
        <v>4516.5</v>
      </c>
      <c r="I217" s="153">
        <f t="shared" si="34"/>
        <v>4521</v>
      </c>
      <c r="J217" s="154"/>
    </row>
    <row r="218" spans="1:49" ht="20.100000000000001" customHeight="1">
      <c r="A218" s="80">
        <v>2020</v>
      </c>
      <c r="B218" s="151">
        <f t="shared" si="28"/>
        <v>4384</v>
      </c>
      <c r="C218" s="152">
        <f t="shared" si="29"/>
        <v>4235</v>
      </c>
      <c r="D218" s="152">
        <f t="shared" si="30"/>
        <v>4615</v>
      </c>
      <c r="E218" s="152"/>
      <c r="F218" s="152">
        <f t="shared" si="31"/>
        <v>4452</v>
      </c>
      <c r="G218" s="152">
        <f t="shared" si="32"/>
        <v>4421.5</v>
      </c>
      <c r="H218" s="152">
        <f t="shared" si="33"/>
        <v>4418</v>
      </c>
      <c r="I218" s="153">
        <f t="shared" si="34"/>
        <v>4422</v>
      </c>
      <c r="J218" s="154"/>
    </row>
    <row r="219" spans="1:49" ht="20.100000000000001" customHeight="1">
      <c r="A219" s="80">
        <v>2021</v>
      </c>
      <c r="B219" s="151">
        <f t="shared" si="28"/>
        <v>4296</v>
      </c>
      <c r="C219" s="152">
        <f t="shared" si="29"/>
        <v>4101</v>
      </c>
      <c r="D219" s="152">
        <f t="shared" si="30"/>
        <v>4552</v>
      </c>
      <c r="E219" s="152"/>
      <c r="F219" s="152">
        <f t="shared" si="31"/>
        <v>4345</v>
      </c>
      <c r="G219" s="152">
        <f t="shared" si="32"/>
        <v>4323.5</v>
      </c>
      <c r="H219" s="152">
        <f t="shared" si="33"/>
        <v>4320.5</v>
      </c>
      <c r="I219" s="153">
        <f t="shared" si="34"/>
        <v>4324</v>
      </c>
      <c r="J219" s="154"/>
    </row>
    <row r="220" spans="1:49" ht="20.100000000000001" customHeight="1">
      <c r="A220" s="80">
        <v>2022</v>
      </c>
      <c r="B220" s="151">
        <f t="shared" si="28"/>
        <v>4208</v>
      </c>
      <c r="C220" s="152">
        <f t="shared" si="29"/>
        <v>3966</v>
      </c>
      <c r="D220" s="152">
        <f t="shared" si="30"/>
        <v>4489</v>
      </c>
      <c r="E220" s="152"/>
      <c r="F220" s="152">
        <f t="shared" si="31"/>
        <v>4240</v>
      </c>
      <c r="G220" s="152">
        <f t="shared" si="32"/>
        <v>4225.8</v>
      </c>
      <c r="H220" s="152">
        <f t="shared" si="33"/>
        <v>4224</v>
      </c>
      <c r="I220" s="153">
        <f t="shared" si="34"/>
        <v>4226</v>
      </c>
      <c r="J220" s="154"/>
      <c r="L220" s="55">
        <v>806200</v>
      </c>
    </row>
    <row r="221" spans="1:49" ht="20.100000000000001" customHeight="1">
      <c r="A221" s="80">
        <v>2023</v>
      </c>
      <c r="B221" s="151">
        <f t="shared" si="28"/>
        <v>4120</v>
      </c>
      <c r="C221" s="152">
        <f t="shared" si="29"/>
        <v>3832</v>
      </c>
      <c r="D221" s="152">
        <f t="shared" si="30"/>
        <v>4427</v>
      </c>
      <c r="E221" s="152"/>
      <c r="F221" s="152">
        <f t="shared" si="31"/>
        <v>4137</v>
      </c>
      <c r="G221" s="152">
        <f t="shared" si="32"/>
        <v>4129</v>
      </c>
      <c r="H221" s="152">
        <f t="shared" si="33"/>
        <v>4128.5</v>
      </c>
      <c r="I221" s="153">
        <f t="shared" si="34"/>
        <v>4129</v>
      </c>
      <c r="J221" s="154"/>
      <c r="K221" s="55">
        <v>51000</v>
      </c>
      <c r="L221" s="75">
        <f>+K221+E221</f>
        <v>51000</v>
      </c>
    </row>
    <row r="222" spans="1:49" ht="20.100000000000001" customHeight="1">
      <c r="A222" s="80">
        <v>2024</v>
      </c>
      <c r="B222" s="151">
        <f t="shared" si="28"/>
        <v>4031</v>
      </c>
      <c r="C222" s="152">
        <f t="shared" si="29"/>
        <v>3697</v>
      </c>
      <c r="D222" s="152">
        <f t="shared" si="30"/>
        <v>4365</v>
      </c>
      <c r="E222" s="152"/>
      <c r="F222" s="152">
        <f t="shared" si="31"/>
        <v>4035</v>
      </c>
      <c r="G222" s="152">
        <f t="shared" si="32"/>
        <v>4032</v>
      </c>
      <c r="H222" s="152">
        <f t="shared" si="33"/>
        <v>4033</v>
      </c>
      <c r="I222" s="153">
        <f t="shared" si="34"/>
        <v>4032</v>
      </c>
      <c r="J222" s="154"/>
      <c r="L222" s="75">
        <f>+L220-L221</f>
        <v>755200</v>
      </c>
    </row>
    <row r="223" spans="1:49" ht="20.100000000000001" customHeight="1">
      <c r="A223" s="80">
        <v>2025</v>
      </c>
      <c r="B223" s="151">
        <f t="shared" si="28"/>
        <v>3943</v>
      </c>
      <c r="C223" s="152">
        <f t="shared" si="29"/>
        <v>3563</v>
      </c>
      <c r="D223" s="152">
        <f t="shared" si="30"/>
        <v>4305</v>
      </c>
      <c r="E223" s="152"/>
      <c r="F223" s="152">
        <f t="shared" si="31"/>
        <v>3935</v>
      </c>
      <c r="G223" s="152">
        <f t="shared" si="32"/>
        <v>3936.5</v>
      </c>
      <c r="H223" s="152">
        <f t="shared" si="33"/>
        <v>3939</v>
      </c>
      <c r="I223" s="153">
        <f t="shared" si="34"/>
        <v>3937</v>
      </c>
      <c r="J223" s="154"/>
      <c r="K223" s="161"/>
      <c r="L223" s="161">
        <f>B165</f>
        <v>7207</v>
      </c>
      <c r="M223" s="162">
        <f>B166</f>
        <v>7794</v>
      </c>
      <c r="N223" s="161">
        <f>B167</f>
        <v>7610</v>
      </c>
      <c r="O223" s="162">
        <f>B168</f>
        <v>8555</v>
      </c>
      <c r="P223" s="161">
        <f>B169</f>
        <v>8489</v>
      </c>
      <c r="Q223" s="162">
        <f>B170</f>
        <v>8453</v>
      </c>
      <c r="R223" s="162">
        <f>B171</f>
        <v>8351</v>
      </c>
      <c r="S223" s="162">
        <f>B172</f>
        <v>8005</v>
      </c>
      <c r="T223" s="162">
        <f>B173</f>
        <v>7874</v>
      </c>
      <c r="U223" s="162">
        <f>B174</f>
        <v>7667</v>
      </c>
      <c r="V223" s="162">
        <f>B175</f>
        <v>7586</v>
      </c>
      <c r="W223" s="162">
        <f>B176</f>
        <v>7436</v>
      </c>
      <c r="X223" s="162">
        <f>B177</f>
        <v>7135</v>
      </c>
      <c r="Y223" s="162">
        <f>B178</f>
        <v>6834</v>
      </c>
      <c r="Z223" s="162">
        <f>B179</f>
        <v>6429</v>
      </c>
      <c r="AA223" s="162">
        <f>B180</f>
        <v>6136</v>
      </c>
      <c r="AB223" s="162">
        <f>B181</f>
        <v>6182</v>
      </c>
      <c r="AC223" s="162">
        <f>B182</f>
        <v>6155</v>
      </c>
      <c r="AD223" s="162">
        <f>B183</f>
        <v>5800</v>
      </c>
      <c r="AE223" s="162">
        <f>B184</f>
        <v>5531</v>
      </c>
      <c r="AF223" s="162">
        <f>$B185</f>
        <v>5860</v>
      </c>
      <c r="AG223" s="162"/>
      <c r="AH223" s="161"/>
      <c r="AI223" s="161"/>
      <c r="AJ223" s="161"/>
      <c r="AK223" s="161"/>
      <c r="AL223" s="161"/>
      <c r="AM223" s="161"/>
      <c r="AN223" s="161"/>
      <c r="AO223" s="161"/>
      <c r="AP223" s="161"/>
      <c r="AQ223" s="161"/>
      <c r="AR223" s="161"/>
      <c r="AS223" s="161"/>
      <c r="AT223" s="161"/>
      <c r="AU223" s="161"/>
      <c r="AV223" s="161"/>
      <c r="AW223" s="161"/>
    </row>
    <row r="224" spans="1:49" ht="20.100000000000001" customHeight="1">
      <c r="A224" s="155" t="s">
        <v>97</v>
      </c>
      <c r="B224" s="156"/>
      <c r="C224" s="157"/>
      <c r="D224" s="157"/>
      <c r="E224" s="157"/>
      <c r="F224" s="156"/>
      <c r="G224" s="158" t="s">
        <v>243</v>
      </c>
      <c r="H224" s="157"/>
      <c r="I224" s="159"/>
      <c r="J224" s="160"/>
      <c r="K224" s="161"/>
      <c r="L224" s="161"/>
      <c r="M224" s="161"/>
      <c r="N224" s="161"/>
      <c r="O224" s="161"/>
      <c r="P224" s="161"/>
      <c r="Q224" s="161"/>
      <c r="R224" s="161"/>
      <c r="S224" s="161"/>
      <c r="T224" s="161"/>
      <c r="U224" s="161"/>
      <c r="V224" s="161"/>
      <c r="W224" s="161"/>
      <c r="X224" s="161"/>
      <c r="Y224" s="161"/>
      <c r="Z224" s="161"/>
      <c r="AA224" s="161"/>
      <c r="AB224" s="161"/>
      <c r="AC224" s="161"/>
      <c r="AD224" s="161"/>
      <c r="AE224" s="161"/>
      <c r="AF224" s="161"/>
      <c r="AG224" s="161"/>
      <c r="AH224" s="161"/>
      <c r="AI224" s="161"/>
      <c r="AJ224" s="161"/>
      <c r="AK224" s="161"/>
      <c r="AL224" s="161"/>
      <c r="AM224" s="161"/>
      <c r="AN224" s="161"/>
      <c r="AO224" s="161"/>
      <c r="AP224" s="161"/>
      <c r="AQ224" s="161"/>
      <c r="AR224" s="161"/>
      <c r="AS224" s="161"/>
      <c r="AT224" s="161"/>
      <c r="AU224" s="161"/>
      <c r="AV224" s="161"/>
      <c r="AW224" s="161"/>
    </row>
    <row r="225" spans="1:50" s="161" customFormat="1" ht="20.100000000000001" customHeight="1">
      <c r="A225" s="85"/>
      <c r="B225" s="163"/>
      <c r="C225" s="164"/>
      <c r="D225" s="164"/>
      <c r="E225" s="164"/>
      <c r="F225" s="164"/>
      <c r="G225" s="164"/>
      <c r="H225" s="164"/>
      <c r="I225" s="165"/>
      <c r="J225" s="166"/>
      <c r="K225" s="208">
        <f>MAX(B225:I225,F225)</f>
        <v>0</v>
      </c>
      <c r="L225" s="209">
        <f>A165</f>
        <v>1988</v>
      </c>
      <c r="M225" s="209">
        <f t="shared" ref="M225:AW225" si="35">+L225+1</f>
        <v>1989</v>
      </c>
      <c r="N225" s="209">
        <f t="shared" si="35"/>
        <v>1990</v>
      </c>
      <c r="O225" s="209">
        <f t="shared" si="35"/>
        <v>1991</v>
      </c>
      <c r="P225" s="209">
        <f t="shared" si="35"/>
        <v>1992</v>
      </c>
      <c r="Q225" s="209">
        <f t="shared" si="35"/>
        <v>1993</v>
      </c>
      <c r="R225" s="209">
        <f t="shared" si="35"/>
        <v>1994</v>
      </c>
      <c r="S225" s="209">
        <f t="shared" si="35"/>
        <v>1995</v>
      </c>
      <c r="T225" s="209">
        <f t="shared" si="35"/>
        <v>1996</v>
      </c>
      <c r="U225" s="209">
        <f t="shared" si="35"/>
        <v>1997</v>
      </c>
      <c r="V225" s="209">
        <f t="shared" si="35"/>
        <v>1998</v>
      </c>
      <c r="W225" s="209">
        <f t="shared" si="35"/>
        <v>1999</v>
      </c>
      <c r="X225" s="209">
        <f t="shared" si="35"/>
        <v>2000</v>
      </c>
      <c r="Y225" s="209">
        <f t="shared" si="35"/>
        <v>2001</v>
      </c>
      <c r="Z225" s="209">
        <f t="shared" si="35"/>
        <v>2002</v>
      </c>
      <c r="AA225" s="209">
        <f t="shared" si="35"/>
        <v>2003</v>
      </c>
      <c r="AB225" s="209">
        <f t="shared" si="35"/>
        <v>2004</v>
      </c>
      <c r="AC225" s="209">
        <f t="shared" si="35"/>
        <v>2005</v>
      </c>
      <c r="AD225" s="209">
        <f t="shared" si="35"/>
        <v>2006</v>
      </c>
      <c r="AE225" s="209">
        <f t="shared" si="35"/>
        <v>2007</v>
      </c>
      <c r="AF225" s="209">
        <f t="shared" si="35"/>
        <v>2008</v>
      </c>
      <c r="AG225" s="209">
        <f t="shared" si="35"/>
        <v>2009</v>
      </c>
      <c r="AH225" s="209">
        <f t="shared" si="35"/>
        <v>2010</v>
      </c>
      <c r="AI225" s="209">
        <f t="shared" si="35"/>
        <v>2011</v>
      </c>
      <c r="AJ225" s="209">
        <f t="shared" si="35"/>
        <v>2012</v>
      </c>
      <c r="AK225" s="209">
        <f t="shared" si="35"/>
        <v>2013</v>
      </c>
      <c r="AL225" s="209">
        <f t="shared" si="35"/>
        <v>2014</v>
      </c>
      <c r="AM225" s="209">
        <f t="shared" si="35"/>
        <v>2015</v>
      </c>
      <c r="AN225" s="209">
        <f t="shared" si="35"/>
        <v>2016</v>
      </c>
      <c r="AO225" s="209">
        <f t="shared" si="35"/>
        <v>2017</v>
      </c>
      <c r="AP225" s="209">
        <f t="shared" si="35"/>
        <v>2018</v>
      </c>
      <c r="AQ225" s="209">
        <f t="shared" si="35"/>
        <v>2019</v>
      </c>
      <c r="AR225" s="209">
        <f t="shared" si="35"/>
        <v>2020</v>
      </c>
      <c r="AS225" s="209">
        <f t="shared" si="35"/>
        <v>2021</v>
      </c>
      <c r="AT225" s="209">
        <f t="shared" si="35"/>
        <v>2022</v>
      </c>
      <c r="AU225" s="209">
        <f t="shared" si="35"/>
        <v>2023</v>
      </c>
      <c r="AV225" s="209">
        <f t="shared" si="35"/>
        <v>2024</v>
      </c>
      <c r="AW225" s="209">
        <f t="shared" si="35"/>
        <v>2025</v>
      </c>
    </row>
    <row r="226" spans="1:50" ht="20.100000000000001" customHeight="1">
      <c r="A226" s="167" t="s">
        <v>98</v>
      </c>
      <c r="B226" s="168">
        <f>I4</f>
        <v>0.70339963746538758</v>
      </c>
      <c r="C226" s="169">
        <f>I44</f>
        <v>0.7330574852137639</v>
      </c>
      <c r="D226" s="169">
        <f>I84</f>
        <v>0.71624667845925472</v>
      </c>
      <c r="E226" s="169"/>
      <c r="F226" s="169">
        <f>I164</f>
        <v>0.72504975842149766</v>
      </c>
      <c r="G226" s="170"/>
      <c r="H226" s="171"/>
      <c r="I226" s="172"/>
      <c r="J226" s="173"/>
      <c r="K226" s="209" t="s">
        <v>99</v>
      </c>
      <c r="L226" s="209"/>
      <c r="M226" s="209"/>
      <c r="N226" s="209"/>
      <c r="O226" s="209"/>
      <c r="P226" s="209"/>
      <c r="Q226" s="209"/>
      <c r="R226" s="209"/>
      <c r="S226" s="209"/>
      <c r="T226" s="209"/>
      <c r="U226" s="209"/>
      <c r="V226" s="209"/>
      <c r="W226" s="209"/>
      <c r="X226" s="209"/>
      <c r="Y226" s="209"/>
      <c r="Z226" s="209"/>
      <c r="AA226" s="209"/>
      <c r="AB226" s="209"/>
      <c r="AC226" s="209"/>
      <c r="AD226" s="209"/>
      <c r="AE226" s="210">
        <f>+AE223</f>
        <v>5531</v>
      </c>
      <c r="AF226" s="210">
        <f>+B25</f>
        <v>5443</v>
      </c>
      <c r="AG226" s="210">
        <f>B26</f>
        <v>5355</v>
      </c>
      <c r="AH226" s="210">
        <f>B27</f>
        <v>5266</v>
      </c>
      <c r="AI226" s="210">
        <f>B28</f>
        <v>5178</v>
      </c>
      <c r="AJ226" s="210">
        <f>B29</f>
        <v>5090</v>
      </c>
      <c r="AK226" s="210">
        <f>B30</f>
        <v>5002</v>
      </c>
      <c r="AL226" s="210">
        <f>B31</f>
        <v>4914</v>
      </c>
      <c r="AM226" s="210">
        <f>B32</f>
        <v>4825</v>
      </c>
      <c r="AN226" s="210">
        <f>B33</f>
        <v>4737</v>
      </c>
      <c r="AO226" s="210">
        <f>B34</f>
        <v>4649</v>
      </c>
      <c r="AP226" s="210">
        <f>B35</f>
        <v>4561</v>
      </c>
      <c r="AQ226" s="210">
        <f>B36</f>
        <v>4472</v>
      </c>
      <c r="AR226" s="210">
        <f>B37</f>
        <v>4384</v>
      </c>
      <c r="AS226" s="210">
        <f>B38</f>
        <v>4296</v>
      </c>
      <c r="AT226" s="210">
        <f>B39</f>
        <v>4208</v>
      </c>
      <c r="AU226" s="210">
        <f>B40</f>
        <v>4120</v>
      </c>
      <c r="AV226" s="210">
        <f>B41</f>
        <v>4031</v>
      </c>
      <c r="AW226" s="210">
        <f>B42</f>
        <v>3943</v>
      </c>
      <c r="AX226" s="161"/>
    </row>
    <row r="227" spans="1:50" ht="20.100000000000001" customHeight="1">
      <c r="K227" s="209" t="s">
        <v>100</v>
      </c>
      <c r="L227" s="209"/>
      <c r="M227" s="209"/>
      <c r="N227" s="209"/>
      <c r="O227" s="209"/>
      <c r="P227" s="209"/>
      <c r="Q227" s="209"/>
      <c r="R227" s="209"/>
      <c r="S227" s="209"/>
      <c r="T227" s="209"/>
      <c r="U227" s="209"/>
      <c r="V227" s="209"/>
      <c r="W227" s="209"/>
      <c r="X227" s="209"/>
      <c r="Y227" s="209"/>
      <c r="Z227" s="209"/>
      <c r="AA227" s="209"/>
      <c r="AB227" s="209"/>
      <c r="AC227" s="209"/>
      <c r="AD227" s="209"/>
      <c r="AE227" s="210">
        <f>+AE226</f>
        <v>5531</v>
      </c>
      <c r="AF227" s="210">
        <f>+B65</f>
        <v>5849</v>
      </c>
      <c r="AG227" s="210">
        <f>B66</f>
        <v>5715</v>
      </c>
      <c r="AH227" s="210">
        <f>B67</f>
        <v>5580</v>
      </c>
      <c r="AI227" s="210">
        <f>B68</f>
        <v>5446</v>
      </c>
      <c r="AJ227" s="210">
        <f>B69</f>
        <v>5311</v>
      </c>
      <c r="AK227" s="210">
        <f>B70</f>
        <v>5177</v>
      </c>
      <c r="AL227" s="210">
        <f>B71</f>
        <v>5042</v>
      </c>
      <c r="AM227" s="210">
        <f>B72</f>
        <v>4908</v>
      </c>
      <c r="AN227" s="210">
        <f>B73</f>
        <v>4773</v>
      </c>
      <c r="AO227" s="210">
        <f>B74</f>
        <v>4639</v>
      </c>
      <c r="AP227" s="210">
        <f>B75</f>
        <v>4504</v>
      </c>
      <c r="AQ227" s="210">
        <f>B76</f>
        <v>4370</v>
      </c>
      <c r="AR227" s="210">
        <f>B77</f>
        <v>4235</v>
      </c>
      <c r="AS227" s="210">
        <f>B78</f>
        <v>4101</v>
      </c>
      <c r="AT227" s="210">
        <f>B79</f>
        <v>3966</v>
      </c>
      <c r="AU227" s="210">
        <f>B80</f>
        <v>3832</v>
      </c>
      <c r="AV227" s="210">
        <f>B81</f>
        <v>3697</v>
      </c>
      <c r="AW227" s="210">
        <f>B82</f>
        <v>3563</v>
      </c>
      <c r="AX227" s="161"/>
    </row>
    <row r="228" spans="1:50" ht="20.100000000000001" customHeight="1">
      <c r="K228" s="209" t="s">
        <v>101</v>
      </c>
      <c r="L228" s="209"/>
      <c r="M228" s="209"/>
      <c r="N228" s="209"/>
      <c r="O228" s="209"/>
      <c r="P228" s="209"/>
      <c r="Q228" s="209"/>
      <c r="R228" s="209"/>
      <c r="S228" s="209"/>
      <c r="T228" s="209"/>
      <c r="U228" s="209"/>
      <c r="V228" s="209"/>
      <c r="W228" s="209"/>
      <c r="X228" s="209"/>
      <c r="Y228" s="209"/>
      <c r="Z228" s="209"/>
      <c r="AA228" s="209"/>
      <c r="AB228" s="209"/>
      <c r="AC228" s="209"/>
      <c r="AD228" s="209"/>
      <c r="AE228" s="210">
        <f>+AE227</f>
        <v>5531</v>
      </c>
      <c r="AF228" s="210">
        <f>+B105</f>
        <v>5455</v>
      </c>
      <c r="AG228" s="210">
        <f>B106</f>
        <v>5380</v>
      </c>
      <c r="AH228" s="210">
        <f>B107</f>
        <v>5305</v>
      </c>
      <c r="AI228" s="210">
        <f>B108</f>
        <v>5232</v>
      </c>
      <c r="AJ228" s="210">
        <f>B109</f>
        <v>5159</v>
      </c>
      <c r="AK228" s="210">
        <f>B110</f>
        <v>5088</v>
      </c>
      <c r="AL228" s="210">
        <f>B111</f>
        <v>5018</v>
      </c>
      <c r="AM228" s="210">
        <f>B112</f>
        <v>4948</v>
      </c>
      <c r="AN228" s="210">
        <f>B113</f>
        <v>4880</v>
      </c>
      <c r="AO228" s="210">
        <f>B114</f>
        <v>4812</v>
      </c>
      <c r="AP228" s="210">
        <f>B115</f>
        <v>4746</v>
      </c>
      <c r="AQ228" s="210">
        <f>B116</f>
        <v>4680</v>
      </c>
      <c r="AR228" s="210">
        <f>B117</f>
        <v>4615</v>
      </c>
      <c r="AS228" s="210">
        <f>B118</f>
        <v>4552</v>
      </c>
      <c r="AT228" s="210">
        <f>B119</f>
        <v>4489</v>
      </c>
      <c r="AU228" s="210">
        <f>B120</f>
        <v>4427</v>
      </c>
      <c r="AV228" s="210">
        <f>B121</f>
        <v>4365</v>
      </c>
      <c r="AW228" s="210">
        <f>B122</f>
        <v>4305</v>
      </c>
      <c r="AX228" s="161"/>
    </row>
    <row r="229" spans="1:50" ht="20.100000000000001" customHeight="1">
      <c r="K229" s="209" t="s">
        <v>102</v>
      </c>
      <c r="L229" s="209"/>
      <c r="M229" s="209"/>
      <c r="N229" s="209"/>
      <c r="O229" s="209"/>
      <c r="P229" s="209"/>
      <c r="Q229" s="209"/>
      <c r="R229" s="209"/>
      <c r="S229" s="209"/>
      <c r="T229" s="209"/>
      <c r="U229" s="209"/>
      <c r="V229" s="209"/>
      <c r="W229" s="209"/>
      <c r="X229" s="209"/>
      <c r="Y229" s="209"/>
      <c r="Z229" s="209"/>
      <c r="AA229" s="209"/>
      <c r="AB229" s="209"/>
      <c r="AC229" s="209"/>
      <c r="AD229" s="209"/>
      <c r="AE229" s="210">
        <f>+AE228</f>
        <v>5531</v>
      </c>
      <c r="AF229" s="210" t="e">
        <f>+B145</f>
        <v>#VALUE!</v>
      </c>
      <c r="AG229" s="210" t="e">
        <f>+B146</f>
        <v>#VALUE!</v>
      </c>
      <c r="AH229" s="210" t="e">
        <f>+B147</f>
        <v>#VALUE!</v>
      </c>
      <c r="AI229" s="210" t="e">
        <f>+B148</f>
        <v>#VALUE!</v>
      </c>
      <c r="AJ229" s="210" t="e">
        <f>+B149</f>
        <v>#VALUE!</v>
      </c>
      <c r="AK229" s="210" t="e">
        <f>+B150</f>
        <v>#VALUE!</v>
      </c>
      <c r="AL229" s="210" t="e">
        <f>+B151</f>
        <v>#VALUE!</v>
      </c>
      <c r="AM229" s="210" t="e">
        <f>+B152</f>
        <v>#VALUE!</v>
      </c>
      <c r="AN229" s="210" t="e">
        <f>+B153</f>
        <v>#VALUE!</v>
      </c>
      <c r="AO229" s="210" t="e">
        <f>+B154</f>
        <v>#VALUE!</v>
      </c>
      <c r="AP229" s="210" t="e">
        <f>+B155</f>
        <v>#VALUE!</v>
      </c>
      <c r="AQ229" s="210" t="e">
        <f>+B156</f>
        <v>#VALUE!</v>
      </c>
      <c r="AR229" s="210" t="e">
        <f>+B157</f>
        <v>#VALUE!</v>
      </c>
      <c r="AS229" s="210" t="e">
        <f>+B158</f>
        <v>#VALUE!</v>
      </c>
      <c r="AT229" s="210" t="e">
        <f>+B159</f>
        <v>#VALUE!</v>
      </c>
      <c r="AU229" s="210" t="e">
        <f>+B160</f>
        <v>#VALUE!</v>
      </c>
      <c r="AV229" s="210" t="e">
        <f>+B161</f>
        <v>#VALUE!</v>
      </c>
      <c r="AW229" s="210" t="e">
        <f>+B162</f>
        <v>#VALUE!</v>
      </c>
      <c r="AX229" s="161"/>
    </row>
    <row r="230" spans="1:50" ht="20.100000000000001" customHeight="1">
      <c r="K230" s="209" t="s">
        <v>103</v>
      </c>
      <c r="L230" s="209"/>
      <c r="M230" s="209"/>
      <c r="N230" s="209"/>
      <c r="O230" s="209"/>
      <c r="P230" s="209"/>
      <c r="Q230" s="209"/>
      <c r="R230" s="209"/>
      <c r="S230" s="209"/>
      <c r="T230" s="209"/>
      <c r="U230" s="209"/>
      <c r="V230" s="209"/>
      <c r="W230" s="209"/>
      <c r="X230" s="209"/>
      <c r="Y230" s="209"/>
      <c r="Z230" s="209"/>
      <c r="AA230" s="209"/>
      <c r="AB230" s="209"/>
      <c r="AC230" s="209"/>
      <c r="AD230" s="209"/>
      <c r="AE230" s="210">
        <f>+AE229</f>
        <v>5531</v>
      </c>
      <c r="AF230" s="210">
        <f>+B185</f>
        <v>5860</v>
      </c>
      <c r="AG230" s="210">
        <f>B186</f>
        <v>5734</v>
      </c>
      <c r="AH230" s="210">
        <f>B187</f>
        <v>5610</v>
      </c>
      <c r="AI230" s="210">
        <f>B188</f>
        <v>5487</v>
      </c>
      <c r="AJ230" s="210">
        <f>B189</f>
        <v>5366</v>
      </c>
      <c r="AK230" s="210">
        <f>B190</f>
        <v>5246</v>
      </c>
      <c r="AL230" s="210">
        <f>B191</f>
        <v>5128</v>
      </c>
      <c r="AM230" s="210">
        <f>B192</f>
        <v>5012</v>
      </c>
      <c r="AN230" s="210">
        <f>B193</f>
        <v>4896</v>
      </c>
      <c r="AO230" s="210">
        <f>B194</f>
        <v>4783</v>
      </c>
      <c r="AP230" s="210">
        <f>B195</f>
        <v>4671</v>
      </c>
      <c r="AQ230" s="210">
        <f>B196</f>
        <v>4561</v>
      </c>
      <c r="AR230" s="210">
        <f>B197</f>
        <v>4452</v>
      </c>
      <c r="AS230" s="210">
        <f>B198</f>
        <v>4345</v>
      </c>
      <c r="AT230" s="210">
        <f>B199</f>
        <v>4240</v>
      </c>
      <c r="AU230" s="210">
        <f>B200</f>
        <v>4137</v>
      </c>
      <c r="AV230" s="210">
        <f>B201</f>
        <v>4035</v>
      </c>
      <c r="AW230" s="210">
        <f>B202</f>
        <v>3935</v>
      </c>
      <c r="AX230" s="161"/>
    </row>
    <row r="231" spans="1:50" ht="20.100000000000001" customHeight="1">
      <c r="K231" s="209" t="s">
        <v>95</v>
      </c>
      <c r="L231" s="209"/>
      <c r="M231" s="209"/>
      <c r="N231" s="209"/>
      <c r="O231" s="209"/>
      <c r="P231" s="209"/>
      <c r="Q231" s="209"/>
      <c r="R231" s="209"/>
      <c r="S231" s="209"/>
      <c r="T231" s="209"/>
      <c r="U231" s="209"/>
      <c r="V231" s="209"/>
      <c r="W231" s="209"/>
      <c r="X231" s="209"/>
      <c r="Y231" s="209"/>
      <c r="Z231" s="209"/>
      <c r="AA231" s="209"/>
      <c r="AB231" s="209"/>
      <c r="AC231" s="209"/>
      <c r="AD231" s="209"/>
      <c r="AE231" s="210">
        <f>+AE230</f>
        <v>5531</v>
      </c>
      <c r="AF231" s="211">
        <f>+H206</f>
        <v>5652</v>
      </c>
      <c r="AG231" s="211">
        <f>+H207</f>
        <v>5547.5</v>
      </c>
      <c r="AH231" s="211">
        <f>+H208</f>
        <v>5442.5</v>
      </c>
      <c r="AI231" s="211">
        <f>+H209</f>
        <v>5339</v>
      </c>
      <c r="AJ231" s="211">
        <f>+H210</f>
        <v>5235</v>
      </c>
      <c r="AK231" s="211">
        <f>+H211</f>
        <v>5132.5</v>
      </c>
      <c r="AL231" s="211">
        <f>+H212</f>
        <v>5030</v>
      </c>
      <c r="AM231" s="211">
        <f>+H213</f>
        <v>4928</v>
      </c>
      <c r="AN231" s="211">
        <f>+H214</f>
        <v>4826.5</v>
      </c>
      <c r="AO231" s="211">
        <f>+H215</f>
        <v>4716</v>
      </c>
      <c r="AP231" s="211">
        <f>+H216</f>
        <v>4616</v>
      </c>
      <c r="AQ231" s="211">
        <f>+H217</f>
        <v>4516.5</v>
      </c>
      <c r="AR231" s="211">
        <f>+H218</f>
        <v>4418</v>
      </c>
      <c r="AS231" s="211">
        <f>+H219</f>
        <v>4320.5</v>
      </c>
      <c r="AT231" s="211">
        <f>+H220</f>
        <v>4224</v>
      </c>
      <c r="AU231" s="211">
        <f>+H221</f>
        <v>4128.5</v>
      </c>
      <c r="AV231" s="211">
        <f>+H222</f>
        <v>4033</v>
      </c>
      <c r="AW231" s="75">
        <f>+H223</f>
        <v>3939</v>
      </c>
      <c r="AX231" s="161"/>
    </row>
    <row r="232" spans="1:50" ht="20.100000000000001" customHeight="1"/>
    <row r="233" spans="1:50" ht="20.100000000000001" customHeight="1"/>
    <row r="234" spans="1:50" ht="20.100000000000001" customHeight="1"/>
    <row r="235" spans="1:50" ht="20.100000000000001" customHeight="1"/>
    <row r="236" spans="1:50" ht="20.100000000000001" customHeight="1"/>
    <row r="237" spans="1:50" ht="20.100000000000001" customHeight="1"/>
    <row r="238" spans="1:50" ht="20.100000000000001" customHeight="1"/>
    <row r="239" spans="1:50" ht="20.100000000000001" customHeight="1"/>
    <row r="240" spans="1:50" ht="20.100000000000001" customHeight="1"/>
    <row r="241" ht="20.100000000000001" customHeight="1"/>
    <row r="242" ht="20.100000000000001" customHeight="1"/>
    <row r="243" ht="20.100000000000001" customHeight="1"/>
    <row r="244" ht="20.100000000000001" customHeight="1"/>
    <row r="245" ht="20.100000000000001" customHeight="1"/>
    <row r="246" ht="20.100000000000001" customHeight="1"/>
    <row r="247" ht="20.100000000000001" customHeight="1"/>
    <row r="248" ht="20.100000000000001" customHeight="1"/>
  </sheetData>
  <phoneticPr fontId="50" type="noConversion"/>
  <pageMargins left="0.74803149606299213" right="0.74803149606299213" top="0.78740157480314965" bottom="0.78740157480314965" header="0.51181102362204722" footer="0.51181102362204722"/>
  <pageSetup paperSize="9" scale="70" fitToHeight="3" orientation="portrait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>
  <sheetPr codeName="Sheet42">
    <tabColor indexed="45"/>
  </sheetPr>
  <dimension ref="A1:AO204"/>
  <sheetViews>
    <sheetView workbookViewId="0"/>
  </sheetViews>
  <sheetFormatPr defaultRowHeight="15" customHeight="1"/>
  <cols>
    <col min="1" max="1" width="8.88671875" style="55"/>
    <col min="2" max="2" width="9.21875" style="55" customWidth="1"/>
    <col min="3" max="3" width="9.5546875" style="55" customWidth="1"/>
    <col min="4" max="4" width="9" style="55" customWidth="1"/>
    <col min="5" max="5" width="11.33203125" style="55" customWidth="1"/>
    <col min="6" max="6" width="9.44140625" style="55" customWidth="1"/>
    <col min="7" max="7" width="15.109375" style="55" bestFit="1" customWidth="1"/>
    <col min="8" max="8" width="12.88671875" style="55" bestFit="1" customWidth="1"/>
    <col min="9" max="9" width="11.5546875" style="55" bestFit="1" customWidth="1"/>
    <col min="10" max="11" width="8.88671875" style="55"/>
    <col min="12" max="41" width="6.77734375" style="55" customWidth="1"/>
    <col min="42" max="16384" width="8.88671875" style="55"/>
  </cols>
  <sheetData>
    <row r="1" spans="1:13" ht="15" customHeight="1">
      <c r="A1" s="54" t="s">
        <v>281</v>
      </c>
    </row>
    <row r="2" spans="1:13" ht="15" customHeight="1">
      <c r="A2" s="54"/>
    </row>
    <row r="3" spans="1:13" ht="15" customHeight="1">
      <c r="A3" s="56" t="s">
        <v>74</v>
      </c>
      <c r="B3" s="57"/>
    </row>
    <row r="4" spans="1:13" ht="15" customHeight="1">
      <c r="A4" s="58" t="s">
        <v>32</v>
      </c>
      <c r="B4" s="59" t="s">
        <v>40</v>
      </c>
      <c r="C4" s="59" t="s">
        <v>33</v>
      </c>
      <c r="D4" s="60"/>
      <c r="E4" s="60"/>
      <c r="F4" s="61"/>
      <c r="G4" s="62"/>
      <c r="H4" s="63" t="s">
        <v>256</v>
      </c>
      <c r="I4" s="64">
        <f>RSQ(I5:I15,B5:B15)</f>
        <v>0.96615047414044852</v>
      </c>
    </row>
    <row r="5" spans="1:13" ht="15" customHeight="1">
      <c r="A5" s="176">
        <v>1997</v>
      </c>
      <c r="B5" s="180">
        <f>+동호동20년!B14</f>
        <v>7667</v>
      </c>
      <c r="C5" s="177">
        <v>0</v>
      </c>
      <c r="D5" s="178"/>
      <c r="E5" s="178"/>
      <c r="F5" s="179"/>
      <c r="G5" s="262"/>
      <c r="H5" s="263"/>
      <c r="I5" s="70">
        <f t="shared" ref="I5:I33" si="0">$E$6*C5+$E$7</f>
        <v>7667</v>
      </c>
    </row>
    <row r="6" spans="1:13" ht="15" customHeight="1">
      <c r="A6" s="65" t="e">
        <f>#REF!</f>
        <v>#REF!</v>
      </c>
      <c r="B6" s="180">
        <f>+동호동20년!B15</f>
        <v>7586</v>
      </c>
      <c r="C6" s="67">
        <f>+C5+1</f>
        <v>1</v>
      </c>
      <c r="D6" s="53" t="s">
        <v>75</v>
      </c>
      <c r="E6" s="68">
        <f>(B15-B5)/C15</f>
        <v>-213.6</v>
      </c>
      <c r="F6" s="69"/>
      <c r="G6" s="53"/>
      <c r="H6" s="69"/>
      <c r="I6" s="70">
        <f t="shared" si="0"/>
        <v>7453.4</v>
      </c>
      <c r="J6" s="71">
        <v>570570</v>
      </c>
      <c r="K6" s="55">
        <v>570570</v>
      </c>
      <c r="L6" s="55">
        <v>766</v>
      </c>
    </row>
    <row r="7" spans="1:13" ht="15" customHeight="1">
      <c r="A7" s="65" t="e">
        <f>#REF!</f>
        <v>#REF!</v>
      </c>
      <c r="B7" s="180">
        <f>+동호동20년!B16</f>
        <v>7436</v>
      </c>
      <c r="C7" s="67">
        <f t="shared" ref="C7:C33" si="1">C6+1</f>
        <v>2</v>
      </c>
      <c r="D7" s="53" t="s">
        <v>76</v>
      </c>
      <c r="E7" s="72">
        <f>B5</f>
        <v>7667</v>
      </c>
      <c r="F7" s="69"/>
      <c r="G7" s="53"/>
      <c r="H7" s="69"/>
      <c r="I7" s="70">
        <f t="shared" si="0"/>
        <v>7239.8</v>
      </c>
      <c r="J7" s="71">
        <v>583230</v>
      </c>
      <c r="K7" s="55">
        <v>583230</v>
      </c>
      <c r="L7" s="55">
        <v>1094</v>
      </c>
    </row>
    <row r="8" spans="1:13" ht="15" customHeight="1">
      <c r="A8" s="65" t="e">
        <f>#REF!</f>
        <v>#REF!</v>
      </c>
      <c r="B8" s="180">
        <f>+동호동20년!B17</f>
        <v>7135</v>
      </c>
      <c r="C8" s="67">
        <f t="shared" si="1"/>
        <v>3</v>
      </c>
      <c r="D8" s="53" t="s">
        <v>77</v>
      </c>
      <c r="E8" s="73">
        <f>I4</f>
        <v>0.96615047414044852</v>
      </c>
      <c r="F8" s="69"/>
      <c r="G8" s="53"/>
      <c r="H8" s="69"/>
      <c r="I8" s="70">
        <f t="shared" si="0"/>
        <v>7026.2</v>
      </c>
      <c r="J8" s="71">
        <v>590162</v>
      </c>
      <c r="K8" s="55">
        <v>590162</v>
      </c>
      <c r="L8" s="55">
        <v>1277</v>
      </c>
    </row>
    <row r="9" spans="1:13" ht="15" customHeight="1">
      <c r="A9" s="65" t="e">
        <f>#REF!</f>
        <v>#REF!</v>
      </c>
      <c r="B9" s="180">
        <f>+동호동20년!B18</f>
        <v>6834</v>
      </c>
      <c r="C9" s="67">
        <f t="shared" si="1"/>
        <v>4</v>
      </c>
      <c r="D9" s="53"/>
      <c r="E9" s="53"/>
      <c r="F9" s="69"/>
      <c r="G9" s="53"/>
      <c r="H9" s="69"/>
      <c r="I9" s="70">
        <f t="shared" si="0"/>
        <v>6812.6</v>
      </c>
      <c r="J9" s="71">
        <v>600343</v>
      </c>
      <c r="K9" s="55">
        <v>600343</v>
      </c>
      <c r="L9" s="55">
        <v>1147</v>
      </c>
    </row>
    <row r="10" spans="1:13" ht="15" customHeight="1">
      <c r="A10" s="65" t="e">
        <f>#REF!</f>
        <v>#REF!</v>
      </c>
      <c r="B10" s="180">
        <f>+동호동20년!B19</f>
        <v>6429</v>
      </c>
      <c r="C10" s="67">
        <f t="shared" si="1"/>
        <v>5</v>
      </c>
      <c r="D10" s="53"/>
      <c r="E10" s="53"/>
      <c r="F10" s="69"/>
      <c r="G10" s="53"/>
      <c r="H10" s="69"/>
      <c r="I10" s="70">
        <f t="shared" si="0"/>
        <v>6599</v>
      </c>
      <c r="J10" s="71">
        <v>611921</v>
      </c>
      <c r="K10" s="55">
        <v>611921</v>
      </c>
      <c r="L10" s="55">
        <v>1355</v>
      </c>
    </row>
    <row r="11" spans="1:13" ht="15" customHeight="1">
      <c r="A11" s="65" t="e">
        <f>#REF!</f>
        <v>#REF!</v>
      </c>
      <c r="B11" s="180">
        <f>+동호동20년!B20</f>
        <v>6136</v>
      </c>
      <c r="C11" s="67">
        <f t="shared" si="1"/>
        <v>6</v>
      </c>
      <c r="D11" s="53"/>
      <c r="E11" s="53"/>
      <c r="F11" s="69"/>
      <c r="G11" s="53"/>
      <c r="H11" s="69"/>
      <c r="I11" s="70">
        <f t="shared" si="0"/>
        <v>6385.4</v>
      </c>
      <c r="J11" s="74">
        <v>622238</v>
      </c>
      <c r="K11" s="55">
        <v>622238</v>
      </c>
      <c r="L11" s="55">
        <v>1717</v>
      </c>
    </row>
    <row r="12" spans="1:13" ht="15" customHeight="1">
      <c r="A12" s="65" t="e">
        <f>#REF!</f>
        <v>#REF!</v>
      </c>
      <c r="B12" s="180">
        <f>+동호동20년!B21</f>
        <v>6182</v>
      </c>
      <c r="C12" s="67">
        <f t="shared" si="1"/>
        <v>7</v>
      </c>
      <c r="D12" s="53" t="s">
        <v>73</v>
      </c>
      <c r="E12" s="53"/>
      <c r="F12" s="69"/>
      <c r="G12" s="53"/>
      <c r="H12" s="69"/>
      <c r="I12" s="70">
        <f t="shared" si="0"/>
        <v>6171.8</v>
      </c>
      <c r="J12" s="74">
        <v>623897</v>
      </c>
      <c r="K12" s="55">
        <v>623897</v>
      </c>
      <c r="L12" s="55">
        <v>1614</v>
      </c>
    </row>
    <row r="13" spans="1:13" ht="15" customHeight="1">
      <c r="A13" s="65" t="e">
        <f>#REF!</f>
        <v>#REF!</v>
      </c>
      <c r="B13" s="180">
        <f>+동호동20년!B22</f>
        <v>6155</v>
      </c>
      <c r="C13" s="67">
        <f t="shared" si="1"/>
        <v>8</v>
      </c>
      <c r="D13" s="53"/>
      <c r="E13" s="53"/>
      <c r="F13" s="69"/>
      <c r="G13" s="53"/>
      <c r="H13" s="69"/>
      <c r="I13" s="70">
        <f t="shared" si="0"/>
        <v>5958.2</v>
      </c>
      <c r="J13" s="74">
        <v>626069</v>
      </c>
      <c r="K13" s="55">
        <v>626069</v>
      </c>
      <c r="L13" s="55">
        <v>1584</v>
      </c>
    </row>
    <row r="14" spans="1:13" ht="15" customHeight="1">
      <c r="A14" s="65" t="e">
        <f>#REF!</f>
        <v>#REF!</v>
      </c>
      <c r="B14" s="180">
        <f>+동호동20년!B23</f>
        <v>5800</v>
      </c>
      <c r="C14" s="67">
        <f t="shared" si="1"/>
        <v>9</v>
      </c>
      <c r="D14" s="53"/>
      <c r="E14" s="53"/>
      <c r="F14" s="69"/>
      <c r="G14" s="53"/>
      <c r="H14" s="69"/>
      <c r="I14" s="70">
        <f t="shared" si="0"/>
        <v>5744.6</v>
      </c>
      <c r="J14" s="74">
        <v>618816</v>
      </c>
      <c r="K14" s="55">
        <v>620374</v>
      </c>
      <c r="L14" s="75">
        <v>1555</v>
      </c>
      <c r="M14" s="75"/>
    </row>
    <row r="15" spans="1:13" ht="15" customHeight="1" thickBot="1">
      <c r="A15" s="97" t="e">
        <f>#REF!</f>
        <v>#REF!</v>
      </c>
      <c r="B15" s="181">
        <f>+동호동20년!B24</f>
        <v>5531</v>
      </c>
      <c r="C15" s="99">
        <f t="shared" si="1"/>
        <v>10</v>
      </c>
      <c r="D15" s="101"/>
      <c r="E15" s="101"/>
      <c r="F15" s="100"/>
      <c r="G15" s="101"/>
      <c r="H15" s="100"/>
      <c r="I15" s="102">
        <f t="shared" si="0"/>
        <v>5531</v>
      </c>
      <c r="J15" s="74">
        <v>622472</v>
      </c>
      <c r="K15" s="55">
        <v>624260</v>
      </c>
      <c r="L15" s="75">
        <v>1788</v>
      </c>
      <c r="M15" s="75"/>
    </row>
    <row r="16" spans="1:13" ht="15" customHeight="1" thickTop="1">
      <c r="A16" s="80">
        <v>2008</v>
      </c>
      <c r="B16" s="81">
        <f t="shared" ref="B16:B33" si="2">ROUND($E$6*C16+$E$7,0)</f>
        <v>5317</v>
      </c>
      <c r="C16" s="77">
        <f t="shared" si="1"/>
        <v>11</v>
      </c>
      <c r="D16" s="256"/>
      <c r="E16" s="256"/>
      <c r="F16" s="78"/>
      <c r="G16" s="256"/>
      <c r="H16" s="78"/>
      <c r="I16" s="79">
        <f t="shared" si="0"/>
        <v>5317.4</v>
      </c>
      <c r="K16" s="55">
        <v>623804</v>
      </c>
      <c r="L16" s="75">
        <f>+J16-K16</f>
        <v>-623804</v>
      </c>
      <c r="M16" s="75"/>
    </row>
    <row r="17" spans="1:9" ht="15" customHeight="1">
      <c r="A17" s="80">
        <v>2009</v>
      </c>
      <c r="B17" s="81">
        <f t="shared" si="2"/>
        <v>5104</v>
      </c>
      <c r="C17" s="67">
        <f t="shared" si="1"/>
        <v>12</v>
      </c>
      <c r="D17" s="69"/>
      <c r="E17" s="69"/>
      <c r="F17" s="69"/>
      <c r="G17" s="69"/>
      <c r="H17" s="69"/>
      <c r="I17" s="70">
        <f t="shared" si="0"/>
        <v>5103.8</v>
      </c>
    </row>
    <row r="18" spans="1:9" ht="15" customHeight="1">
      <c r="A18" s="80">
        <v>2010</v>
      </c>
      <c r="B18" s="81">
        <f t="shared" si="2"/>
        <v>4890</v>
      </c>
      <c r="C18" s="82">
        <f t="shared" si="1"/>
        <v>13</v>
      </c>
      <c r="D18" s="69"/>
      <c r="E18" s="69"/>
      <c r="F18" s="69"/>
      <c r="G18" s="69"/>
      <c r="H18" s="69"/>
      <c r="I18" s="70">
        <f t="shared" si="0"/>
        <v>4890.2000000000007</v>
      </c>
    </row>
    <row r="19" spans="1:9" ht="15" customHeight="1">
      <c r="A19" s="80">
        <v>2011</v>
      </c>
      <c r="B19" s="81">
        <f t="shared" si="2"/>
        <v>4677</v>
      </c>
      <c r="C19" s="82">
        <f t="shared" si="1"/>
        <v>14</v>
      </c>
      <c r="D19" s="69"/>
      <c r="E19" s="69"/>
      <c r="F19" s="69"/>
      <c r="G19" s="69"/>
      <c r="H19" s="69"/>
      <c r="I19" s="70">
        <f t="shared" si="0"/>
        <v>4676.6000000000004</v>
      </c>
    </row>
    <row r="20" spans="1:9" ht="15" customHeight="1">
      <c r="A20" s="80">
        <v>2012</v>
      </c>
      <c r="B20" s="81">
        <f t="shared" si="2"/>
        <v>4463</v>
      </c>
      <c r="C20" s="82">
        <f t="shared" si="1"/>
        <v>15</v>
      </c>
      <c r="D20" s="69"/>
      <c r="E20" s="69"/>
      <c r="F20" s="69"/>
      <c r="G20" s="69"/>
      <c r="H20" s="69"/>
      <c r="I20" s="70">
        <f t="shared" si="0"/>
        <v>4463</v>
      </c>
    </row>
    <row r="21" spans="1:9" ht="15" customHeight="1">
      <c r="A21" s="80">
        <v>2013</v>
      </c>
      <c r="B21" s="81">
        <f t="shared" si="2"/>
        <v>4249</v>
      </c>
      <c r="C21" s="82">
        <f t="shared" si="1"/>
        <v>16</v>
      </c>
      <c r="D21" s="69"/>
      <c r="E21" s="69"/>
      <c r="F21" s="69"/>
      <c r="G21" s="69"/>
      <c r="H21" s="69"/>
      <c r="I21" s="70">
        <f t="shared" si="0"/>
        <v>4249.3999999999996</v>
      </c>
    </row>
    <row r="22" spans="1:9" ht="15" customHeight="1">
      <c r="A22" s="80">
        <v>2014</v>
      </c>
      <c r="B22" s="81">
        <f t="shared" si="2"/>
        <v>4036</v>
      </c>
      <c r="C22" s="82">
        <f t="shared" si="1"/>
        <v>17</v>
      </c>
      <c r="D22" s="69"/>
      <c r="E22" s="69"/>
      <c r="F22" s="69"/>
      <c r="G22" s="69"/>
      <c r="H22" s="69"/>
      <c r="I22" s="70">
        <f t="shared" si="0"/>
        <v>4035.8</v>
      </c>
    </row>
    <row r="23" spans="1:9" ht="15" customHeight="1">
      <c r="A23" s="80">
        <v>2015</v>
      </c>
      <c r="B23" s="81">
        <f t="shared" si="2"/>
        <v>3822</v>
      </c>
      <c r="C23" s="82">
        <f t="shared" si="1"/>
        <v>18</v>
      </c>
      <c r="D23" s="69"/>
      <c r="E23" s="69"/>
      <c r="F23" s="69"/>
      <c r="G23" s="69"/>
      <c r="H23" s="69"/>
      <c r="I23" s="70">
        <f t="shared" si="0"/>
        <v>3822.2000000000003</v>
      </c>
    </row>
    <row r="24" spans="1:9" ht="15" customHeight="1">
      <c r="A24" s="80">
        <v>2016</v>
      </c>
      <c r="B24" s="81">
        <f t="shared" si="2"/>
        <v>3609</v>
      </c>
      <c r="C24" s="82">
        <f t="shared" si="1"/>
        <v>19</v>
      </c>
      <c r="D24" s="69"/>
      <c r="E24" s="69"/>
      <c r="F24" s="69"/>
      <c r="G24" s="69"/>
      <c r="H24" s="69"/>
      <c r="I24" s="70">
        <f t="shared" si="0"/>
        <v>3608.6</v>
      </c>
    </row>
    <row r="25" spans="1:9" ht="15" customHeight="1">
      <c r="A25" s="80">
        <v>2017</v>
      </c>
      <c r="B25" s="81">
        <f t="shared" si="2"/>
        <v>3395</v>
      </c>
      <c r="C25" s="82">
        <f t="shared" si="1"/>
        <v>20</v>
      </c>
      <c r="D25" s="69"/>
      <c r="E25" s="69"/>
      <c r="F25" s="69"/>
      <c r="G25" s="69"/>
      <c r="H25" s="69"/>
      <c r="I25" s="70">
        <f t="shared" si="0"/>
        <v>3395</v>
      </c>
    </row>
    <row r="26" spans="1:9" ht="15" customHeight="1">
      <c r="A26" s="80">
        <v>2018</v>
      </c>
      <c r="B26" s="81">
        <f t="shared" si="2"/>
        <v>3181</v>
      </c>
      <c r="C26" s="82">
        <f t="shared" si="1"/>
        <v>21</v>
      </c>
      <c r="D26" s="69"/>
      <c r="E26" s="69"/>
      <c r="F26" s="69"/>
      <c r="G26" s="69"/>
      <c r="H26" s="69"/>
      <c r="I26" s="70">
        <f t="shared" si="0"/>
        <v>3181.4000000000005</v>
      </c>
    </row>
    <row r="27" spans="1:9" ht="15" customHeight="1">
      <c r="A27" s="80">
        <v>2019</v>
      </c>
      <c r="B27" s="81">
        <f t="shared" si="2"/>
        <v>2968</v>
      </c>
      <c r="C27" s="82">
        <f t="shared" si="1"/>
        <v>22</v>
      </c>
      <c r="D27" s="69"/>
      <c r="E27" s="69"/>
      <c r="F27" s="69"/>
      <c r="G27" s="69"/>
      <c r="H27" s="69"/>
      <c r="I27" s="70">
        <f t="shared" si="0"/>
        <v>2967.8</v>
      </c>
    </row>
    <row r="28" spans="1:9" ht="15" customHeight="1">
      <c r="A28" s="80">
        <v>2020</v>
      </c>
      <c r="B28" s="81">
        <f t="shared" si="2"/>
        <v>2754</v>
      </c>
      <c r="C28" s="82">
        <f t="shared" si="1"/>
        <v>23</v>
      </c>
      <c r="D28" s="69"/>
      <c r="E28" s="69"/>
      <c r="F28" s="69"/>
      <c r="G28" s="69"/>
      <c r="H28" s="69"/>
      <c r="I28" s="70">
        <f t="shared" si="0"/>
        <v>2754.2</v>
      </c>
    </row>
    <row r="29" spans="1:9" ht="15" customHeight="1">
      <c r="A29" s="80">
        <v>2021</v>
      </c>
      <c r="B29" s="81">
        <f t="shared" si="2"/>
        <v>2541</v>
      </c>
      <c r="C29" s="82">
        <f t="shared" si="1"/>
        <v>24</v>
      </c>
      <c r="D29" s="69"/>
      <c r="E29" s="69"/>
      <c r="F29" s="69"/>
      <c r="G29" s="69"/>
      <c r="H29" s="69"/>
      <c r="I29" s="70">
        <f t="shared" si="0"/>
        <v>2540.6000000000004</v>
      </c>
    </row>
    <row r="30" spans="1:9" ht="15" customHeight="1">
      <c r="A30" s="80">
        <v>2022</v>
      </c>
      <c r="B30" s="81">
        <f t="shared" si="2"/>
        <v>2327</v>
      </c>
      <c r="C30" s="82">
        <f t="shared" si="1"/>
        <v>25</v>
      </c>
      <c r="D30" s="69"/>
      <c r="E30" s="69"/>
      <c r="F30" s="69"/>
      <c r="G30" s="69"/>
      <c r="H30" s="69"/>
      <c r="I30" s="70">
        <f t="shared" si="0"/>
        <v>2327</v>
      </c>
    </row>
    <row r="31" spans="1:9" ht="15" customHeight="1">
      <c r="A31" s="80">
        <v>2023</v>
      </c>
      <c r="B31" s="81">
        <f t="shared" si="2"/>
        <v>2113</v>
      </c>
      <c r="C31" s="82">
        <f t="shared" si="1"/>
        <v>26</v>
      </c>
      <c r="D31" s="69"/>
      <c r="E31" s="69"/>
      <c r="F31" s="69"/>
      <c r="G31" s="69"/>
      <c r="H31" s="69"/>
      <c r="I31" s="70">
        <f t="shared" si="0"/>
        <v>2113.4000000000005</v>
      </c>
    </row>
    <row r="32" spans="1:9" ht="15" customHeight="1">
      <c r="A32" s="80">
        <v>2024</v>
      </c>
      <c r="B32" s="81">
        <f t="shared" si="2"/>
        <v>1900</v>
      </c>
      <c r="C32" s="67">
        <f t="shared" si="1"/>
        <v>27</v>
      </c>
      <c r="D32" s="83"/>
      <c r="E32" s="69"/>
      <c r="F32" s="69"/>
      <c r="G32" s="69"/>
      <c r="H32" s="84"/>
      <c r="I32" s="70">
        <f t="shared" si="0"/>
        <v>1899.8000000000002</v>
      </c>
    </row>
    <row r="33" spans="1:9" ht="15" customHeight="1">
      <c r="A33" s="85">
        <v>2025</v>
      </c>
      <c r="B33" s="86">
        <f t="shared" si="2"/>
        <v>1686</v>
      </c>
      <c r="C33" s="87">
        <f t="shared" si="1"/>
        <v>28</v>
      </c>
      <c r="D33" s="88"/>
      <c r="E33" s="89"/>
      <c r="F33" s="89"/>
      <c r="G33" s="89"/>
      <c r="H33" s="90"/>
      <c r="I33" s="91">
        <f t="shared" si="0"/>
        <v>1686.1999999999998</v>
      </c>
    </row>
    <row r="34" spans="1:9" ht="15" customHeight="1">
      <c r="A34" s="56" t="s">
        <v>78</v>
      </c>
      <c r="B34" s="92"/>
      <c r="I34" s="89"/>
    </row>
    <row r="35" spans="1:9" ht="15" customHeight="1">
      <c r="A35" s="58" t="s">
        <v>32</v>
      </c>
      <c r="B35" s="59" t="s">
        <v>40</v>
      </c>
      <c r="C35" s="59" t="s">
        <v>33</v>
      </c>
      <c r="D35" s="60"/>
      <c r="E35" s="60"/>
      <c r="F35" s="61"/>
      <c r="G35" s="62"/>
      <c r="H35" s="63" t="s">
        <v>256</v>
      </c>
      <c r="I35" s="64">
        <f>RSQ(I36:I46,B36:B46)</f>
        <v>0.96615047414044875</v>
      </c>
    </row>
    <row r="36" spans="1:9" ht="15" customHeight="1">
      <c r="A36" s="65">
        <f t="shared" ref="A36:B46" si="3">A5</f>
        <v>1997</v>
      </c>
      <c r="B36" s="93">
        <f t="shared" si="3"/>
        <v>7667</v>
      </c>
      <c r="C36" s="67">
        <v>0</v>
      </c>
      <c r="D36" s="53"/>
      <c r="E36" s="53"/>
      <c r="F36" s="69"/>
      <c r="G36" s="264"/>
      <c r="H36" s="265"/>
      <c r="I36" s="94">
        <f t="shared" ref="I36:I64" si="4">$E$37*C36+$E$38</f>
        <v>7729.681818181818</v>
      </c>
    </row>
    <row r="37" spans="1:9" ht="15" customHeight="1">
      <c r="A37" s="65" t="e">
        <f t="shared" si="3"/>
        <v>#REF!</v>
      </c>
      <c r="B37" s="93">
        <f t="shared" si="3"/>
        <v>7586</v>
      </c>
      <c r="C37" s="67">
        <f>+C36+1</f>
        <v>1</v>
      </c>
      <c r="D37" s="53" t="s">
        <v>75</v>
      </c>
      <c r="E37" s="68">
        <f>INDEX(LINEST(B36:B46,C36:C46),1)</f>
        <v>-220.64545454545458</v>
      </c>
      <c r="F37" s="69"/>
      <c r="G37" s="53"/>
      <c r="H37" s="69"/>
      <c r="I37" s="70">
        <f t="shared" si="4"/>
        <v>7509.0363636363636</v>
      </c>
    </row>
    <row r="38" spans="1:9" ht="15" customHeight="1">
      <c r="A38" s="65" t="e">
        <f t="shared" si="3"/>
        <v>#REF!</v>
      </c>
      <c r="B38" s="93">
        <f t="shared" si="3"/>
        <v>7436</v>
      </c>
      <c r="C38" s="67">
        <f t="shared" ref="C38:C64" si="5">C37+1</f>
        <v>2</v>
      </c>
      <c r="D38" s="53" t="s">
        <v>76</v>
      </c>
      <c r="E38" s="72">
        <f>INDEX(LINEST(B36:B46,C36:C46),2)</f>
        <v>7729.681818181818</v>
      </c>
      <c r="F38" s="69"/>
      <c r="G38" s="53"/>
      <c r="H38" s="69"/>
      <c r="I38" s="70">
        <f t="shared" si="4"/>
        <v>7288.3909090909092</v>
      </c>
    </row>
    <row r="39" spans="1:9" ht="15" customHeight="1">
      <c r="A39" s="65" t="e">
        <f t="shared" si="3"/>
        <v>#REF!</v>
      </c>
      <c r="B39" s="93">
        <f t="shared" si="3"/>
        <v>7135</v>
      </c>
      <c r="C39" s="67">
        <f t="shared" si="5"/>
        <v>3</v>
      </c>
      <c r="D39" s="53" t="s">
        <v>77</v>
      </c>
      <c r="E39" s="73">
        <f>I35</f>
        <v>0.96615047414044875</v>
      </c>
      <c r="F39" s="69"/>
      <c r="G39" s="53"/>
      <c r="H39" s="69"/>
      <c r="I39" s="70">
        <f t="shared" si="4"/>
        <v>7067.7454545454548</v>
      </c>
    </row>
    <row r="40" spans="1:9" ht="15" customHeight="1">
      <c r="A40" s="65" t="e">
        <f t="shared" si="3"/>
        <v>#REF!</v>
      </c>
      <c r="B40" s="93">
        <f t="shared" si="3"/>
        <v>6834</v>
      </c>
      <c r="C40" s="67">
        <f t="shared" si="5"/>
        <v>4</v>
      </c>
      <c r="D40" s="53"/>
      <c r="E40" s="53"/>
      <c r="F40" s="69"/>
      <c r="G40" s="53"/>
      <c r="H40" s="69"/>
      <c r="I40" s="70">
        <f t="shared" si="4"/>
        <v>6847.0999999999995</v>
      </c>
    </row>
    <row r="41" spans="1:9" ht="15" customHeight="1">
      <c r="A41" s="65" t="e">
        <f t="shared" si="3"/>
        <v>#REF!</v>
      </c>
      <c r="B41" s="93">
        <f t="shared" si="3"/>
        <v>6429</v>
      </c>
      <c r="C41" s="67">
        <f t="shared" si="5"/>
        <v>5</v>
      </c>
      <c r="D41" s="53"/>
      <c r="E41" s="53"/>
      <c r="F41" s="69"/>
      <c r="G41" s="95"/>
      <c r="H41" s="69"/>
      <c r="I41" s="70">
        <f t="shared" si="4"/>
        <v>6626.454545454545</v>
      </c>
    </row>
    <row r="42" spans="1:9" ht="15" customHeight="1">
      <c r="A42" s="65" t="e">
        <f t="shared" si="3"/>
        <v>#REF!</v>
      </c>
      <c r="B42" s="93">
        <f t="shared" si="3"/>
        <v>6136</v>
      </c>
      <c r="C42" s="67">
        <f t="shared" si="5"/>
        <v>6</v>
      </c>
      <c r="D42" s="53"/>
      <c r="E42" s="53"/>
      <c r="F42" s="69"/>
      <c r="G42" s="53"/>
      <c r="H42" s="69"/>
      <c r="I42" s="70">
        <f t="shared" si="4"/>
        <v>6405.8090909090906</v>
      </c>
    </row>
    <row r="43" spans="1:9" ht="15" customHeight="1">
      <c r="A43" s="65" t="e">
        <f t="shared" si="3"/>
        <v>#REF!</v>
      </c>
      <c r="B43" s="93">
        <f t="shared" si="3"/>
        <v>6182</v>
      </c>
      <c r="C43" s="67">
        <f t="shared" si="5"/>
        <v>7</v>
      </c>
      <c r="D43" s="53" t="s">
        <v>73</v>
      </c>
      <c r="E43" s="53"/>
      <c r="F43" s="69"/>
      <c r="G43" s="53"/>
      <c r="H43" s="69"/>
      <c r="I43" s="70">
        <f t="shared" si="4"/>
        <v>6185.1636363636362</v>
      </c>
    </row>
    <row r="44" spans="1:9" ht="15" customHeight="1">
      <c r="A44" s="65" t="e">
        <f t="shared" si="3"/>
        <v>#REF!</v>
      </c>
      <c r="B44" s="93">
        <f t="shared" si="3"/>
        <v>6155</v>
      </c>
      <c r="C44" s="67">
        <f t="shared" si="5"/>
        <v>8</v>
      </c>
      <c r="D44" s="53"/>
      <c r="E44" s="53"/>
      <c r="F44" s="69"/>
      <c r="G44" s="53"/>
      <c r="H44" s="69"/>
      <c r="I44" s="70">
        <f t="shared" si="4"/>
        <v>5964.5181818181809</v>
      </c>
    </row>
    <row r="45" spans="1:9" ht="15" customHeight="1">
      <c r="A45" s="65" t="e">
        <f t="shared" si="3"/>
        <v>#REF!</v>
      </c>
      <c r="B45" s="93">
        <f t="shared" si="3"/>
        <v>5800</v>
      </c>
      <c r="C45" s="67">
        <f t="shared" si="5"/>
        <v>9</v>
      </c>
      <c r="D45" s="53"/>
      <c r="E45" s="53"/>
      <c r="F45" s="69"/>
      <c r="G45" s="53"/>
      <c r="H45" s="69"/>
      <c r="I45" s="70">
        <f t="shared" si="4"/>
        <v>5743.8727272727265</v>
      </c>
    </row>
    <row r="46" spans="1:9" ht="15" customHeight="1" thickBot="1">
      <c r="A46" s="97" t="e">
        <f t="shared" si="3"/>
        <v>#REF!</v>
      </c>
      <c r="B46" s="98">
        <f t="shared" si="3"/>
        <v>5531</v>
      </c>
      <c r="C46" s="99">
        <f t="shared" si="5"/>
        <v>10</v>
      </c>
      <c r="D46" s="100"/>
      <c r="E46" s="100"/>
      <c r="F46" s="100"/>
      <c r="G46" s="101"/>
      <c r="H46" s="101"/>
      <c r="I46" s="102">
        <f t="shared" si="4"/>
        <v>5523.2272727272721</v>
      </c>
    </row>
    <row r="47" spans="1:9" ht="15" customHeight="1" thickTop="1">
      <c r="A47" s="80">
        <v>2008</v>
      </c>
      <c r="B47" s="81">
        <f t="shared" ref="B47:B64" si="6">ROUND(E$37*C47+E$38,0)</f>
        <v>5303</v>
      </c>
      <c r="C47" s="77">
        <f t="shared" si="5"/>
        <v>11</v>
      </c>
      <c r="D47" s="78"/>
      <c r="E47" s="78"/>
      <c r="F47" s="78"/>
      <c r="G47" s="256"/>
      <c r="H47" s="256"/>
      <c r="I47" s="79">
        <f t="shared" si="4"/>
        <v>5302.5818181818177</v>
      </c>
    </row>
    <row r="48" spans="1:9" ht="15" customHeight="1">
      <c r="A48" s="80">
        <v>2009</v>
      </c>
      <c r="B48" s="81">
        <f t="shared" si="6"/>
        <v>5082</v>
      </c>
      <c r="C48" s="67">
        <f t="shared" si="5"/>
        <v>12</v>
      </c>
      <c r="D48" s="69"/>
      <c r="E48" s="69"/>
      <c r="F48" s="69"/>
      <c r="G48" s="69"/>
      <c r="H48" s="69"/>
      <c r="I48" s="70">
        <f t="shared" si="4"/>
        <v>5081.9363636363632</v>
      </c>
    </row>
    <row r="49" spans="1:9" ht="15" customHeight="1">
      <c r="A49" s="80">
        <v>2010</v>
      </c>
      <c r="B49" s="81">
        <f t="shared" si="6"/>
        <v>4861</v>
      </c>
      <c r="C49" s="82">
        <f t="shared" si="5"/>
        <v>13</v>
      </c>
      <c r="D49" s="69"/>
      <c r="E49" s="69"/>
      <c r="F49" s="69"/>
      <c r="G49" s="69"/>
      <c r="H49" s="69"/>
      <c r="I49" s="70">
        <f t="shared" si="4"/>
        <v>4861.2909090909088</v>
      </c>
    </row>
    <row r="50" spans="1:9" ht="15" customHeight="1">
      <c r="A50" s="80">
        <v>2011</v>
      </c>
      <c r="B50" s="81">
        <f t="shared" si="6"/>
        <v>4641</v>
      </c>
      <c r="C50" s="82">
        <f t="shared" si="5"/>
        <v>14</v>
      </c>
      <c r="D50" s="69"/>
      <c r="E50" s="69"/>
      <c r="F50" s="69"/>
      <c r="G50" s="69"/>
      <c r="H50" s="69"/>
      <c r="I50" s="70">
        <f t="shared" si="4"/>
        <v>4640.6454545454544</v>
      </c>
    </row>
    <row r="51" spans="1:9" ht="15" customHeight="1">
      <c r="A51" s="80">
        <v>2012</v>
      </c>
      <c r="B51" s="81">
        <f t="shared" si="6"/>
        <v>4420</v>
      </c>
      <c r="C51" s="82">
        <f t="shared" si="5"/>
        <v>15</v>
      </c>
      <c r="D51" s="69"/>
      <c r="E51" s="69"/>
      <c r="F51" s="69"/>
      <c r="G51" s="69"/>
      <c r="H51" s="69"/>
      <c r="I51" s="70">
        <f t="shared" si="4"/>
        <v>4419.9999999999991</v>
      </c>
    </row>
    <row r="52" spans="1:9" ht="15" customHeight="1">
      <c r="A52" s="80">
        <v>2013</v>
      </c>
      <c r="B52" s="81">
        <f t="shared" si="6"/>
        <v>4199</v>
      </c>
      <c r="C52" s="82">
        <f t="shared" si="5"/>
        <v>16</v>
      </c>
      <c r="D52" s="69"/>
      <c r="E52" s="69"/>
      <c r="F52" s="69"/>
      <c r="G52" s="69"/>
      <c r="H52" s="69"/>
      <c r="I52" s="70">
        <f t="shared" si="4"/>
        <v>4199.3545454545447</v>
      </c>
    </row>
    <row r="53" spans="1:9" ht="15" customHeight="1">
      <c r="A53" s="80">
        <v>2014</v>
      </c>
      <c r="B53" s="81">
        <f t="shared" si="6"/>
        <v>3979</v>
      </c>
      <c r="C53" s="82">
        <f t="shared" si="5"/>
        <v>17</v>
      </c>
      <c r="D53" s="69"/>
      <c r="E53" s="69"/>
      <c r="F53" s="69"/>
      <c r="G53" s="69"/>
      <c r="H53" s="69"/>
      <c r="I53" s="70">
        <f t="shared" si="4"/>
        <v>3978.7090909090903</v>
      </c>
    </row>
    <row r="54" spans="1:9" ht="15" customHeight="1">
      <c r="A54" s="80">
        <v>2015</v>
      </c>
      <c r="B54" s="81">
        <f t="shared" si="6"/>
        <v>3758</v>
      </c>
      <c r="C54" s="82">
        <f t="shared" si="5"/>
        <v>18</v>
      </c>
      <c r="D54" s="69"/>
      <c r="E54" s="69"/>
      <c r="F54" s="69"/>
      <c r="G54" s="69"/>
      <c r="H54" s="69"/>
      <c r="I54" s="70">
        <f t="shared" si="4"/>
        <v>3758.0636363636354</v>
      </c>
    </row>
    <row r="55" spans="1:9" ht="15" customHeight="1">
      <c r="A55" s="80">
        <v>2016</v>
      </c>
      <c r="B55" s="81">
        <f t="shared" si="6"/>
        <v>3537</v>
      </c>
      <c r="C55" s="82">
        <f t="shared" si="5"/>
        <v>19</v>
      </c>
      <c r="D55" s="69"/>
      <c r="E55" s="69"/>
      <c r="F55" s="69"/>
      <c r="G55" s="69"/>
      <c r="H55" s="69"/>
      <c r="I55" s="70">
        <f t="shared" si="4"/>
        <v>3537.4181818181805</v>
      </c>
    </row>
    <row r="56" spans="1:9" ht="15" customHeight="1">
      <c r="A56" s="80">
        <v>2017</v>
      </c>
      <c r="B56" s="81">
        <f t="shared" si="6"/>
        <v>3317</v>
      </c>
      <c r="C56" s="82">
        <f t="shared" si="5"/>
        <v>20</v>
      </c>
      <c r="D56" s="69"/>
      <c r="E56" s="69"/>
      <c r="F56" s="69"/>
      <c r="G56" s="69"/>
      <c r="H56" s="69"/>
      <c r="I56" s="70">
        <f t="shared" si="4"/>
        <v>3316.7727272727261</v>
      </c>
    </row>
    <row r="57" spans="1:9" ht="15" customHeight="1">
      <c r="A57" s="80">
        <v>2018</v>
      </c>
      <c r="B57" s="81">
        <f t="shared" si="6"/>
        <v>3096</v>
      </c>
      <c r="C57" s="82">
        <f t="shared" si="5"/>
        <v>21</v>
      </c>
      <c r="D57" s="69"/>
      <c r="E57" s="69"/>
      <c r="F57" s="69"/>
      <c r="G57" s="69"/>
      <c r="H57" s="69"/>
      <c r="I57" s="70">
        <f t="shared" si="4"/>
        <v>3096.1272727272717</v>
      </c>
    </row>
    <row r="58" spans="1:9" ht="15" customHeight="1">
      <c r="A58" s="80">
        <v>2019</v>
      </c>
      <c r="B58" s="81">
        <f t="shared" si="6"/>
        <v>2875</v>
      </c>
      <c r="C58" s="82">
        <f t="shared" si="5"/>
        <v>22</v>
      </c>
      <c r="D58" s="69"/>
      <c r="E58" s="69"/>
      <c r="F58" s="69"/>
      <c r="G58" s="69"/>
      <c r="H58" s="69"/>
      <c r="I58" s="70">
        <f t="shared" si="4"/>
        <v>2875.4818181818173</v>
      </c>
    </row>
    <row r="59" spans="1:9" ht="15" customHeight="1">
      <c r="A59" s="80">
        <v>2020</v>
      </c>
      <c r="B59" s="81">
        <f t="shared" si="6"/>
        <v>2655</v>
      </c>
      <c r="C59" s="82">
        <f t="shared" si="5"/>
        <v>23</v>
      </c>
      <c r="D59" s="69"/>
      <c r="E59" s="69"/>
      <c r="F59" s="69"/>
      <c r="G59" s="69"/>
      <c r="H59" s="69"/>
      <c r="I59" s="70">
        <f t="shared" si="4"/>
        <v>2654.8363636363629</v>
      </c>
    </row>
    <row r="60" spans="1:9" ht="15" customHeight="1">
      <c r="A60" s="80">
        <v>2021</v>
      </c>
      <c r="B60" s="81">
        <f t="shared" si="6"/>
        <v>2434</v>
      </c>
      <c r="C60" s="82">
        <f t="shared" si="5"/>
        <v>24</v>
      </c>
      <c r="D60" s="69"/>
      <c r="E60" s="69"/>
      <c r="F60" s="69"/>
      <c r="G60" s="69"/>
      <c r="H60" s="69"/>
      <c r="I60" s="70">
        <f t="shared" si="4"/>
        <v>2434.1909090909085</v>
      </c>
    </row>
    <row r="61" spans="1:9" ht="15" customHeight="1">
      <c r="A61" s="80">
        <v>2022</v>
      </c>
      <c r="B61" s="81">
        <f t="shared" si="6"/>
        <v>2214</v>
      </c>
      <c r="C61" s="82">
        <f t="shared" si="5"/>
        <v>25</v>
      </c>
      <c r="D61" s="69"/>
      <c r="E61" s="69"/>
      <c r="F61" s="69"/>
      <c r="G61" s="69"/>
      <c r="H61" s="69"/>
      <c r="I61" s="70">
        <f t="shared" si="4"/>
        <v>2213.5454545454531</v>
      </c>
    </row>
    <row r="62" spans="1:9" ht="15" customHeight="1">
      <c r="A62" s="80">
        <v>2023</v>
      </c>
      <c r="B62" s="81">
        <f t="shared" si="6"/>
        <v>1993</v>
      </c>
      <c r="C62" s="82">
        <f t="shared" si="5"/>
        <v>26</v>
      </c>
      <c r="D62" s="69"/>
      <c r="E62" s="69"/>
      <c r="F62" s="69"/>
      <c r="G62" s="69"/>
      <c r="H62" s="69"/>
      <c r="I62" s="70">
        <f t="shared" si="4"/>
        <v>1992.8999999999987</v>
      </c>
    </row>
    <row r="63" spans="1:9" ht="15" customHeight="1">
      <c r="A63" s="80">
        <v>2024</v>
      </c>
      <c r="B63" s="81">
        <f t="shared" si="6"/>
        <v>1772</v>
      </c>
      <c r="C63" s="67">
        <f t="shared" si="5"/>
        <v>27</v>
      </c>
      <c r="D63" s="69"/>
      <c r="E63" s="69"/>
      <c r="F63" s="69"/>
      <c r="G63" s="69"/>
      <c r="H63" s="69"/>
      <c r="I63" s="70">
        <f t="shared" si="4"/>
        <v>1772.2545454545443</v>
      </c>
    </row>
    <row r="64" spans="1:9" ht="15" customHeight="1">
      <c r="A64" s="85">
        <v>2025</v>
      </c>
      <c r="B64" s="86">
        <f t="shared" si="6"/>
        <v>1552</v>
      </c>
      <c r="C64" s="87">
        <f t="shared" si="5"/>
        <v>28</v>
      </c>
      <c r="D64" s="89"/>
      <c r="E64" s="89"/>
      <c r="F64" s="89"/>
      <c r="G64" s="89"/>
      <c r="H64" s="89"/>
      <c r="I64" s="91">
        <f t="shared" si="4"/>
        <v>1551.6090909090899</v>
      </c>
    </row>
    <row r="65" spans="1:11" ht="15" customHeight="1">
      <c r="A65" s="56" t="s">
        <v>79</v>
      </c>
      <c r="B65" s="57"/>
    </row>
    <row r="66" spans="1:11" ht="15" customHeight="1">
      <c r="A66" s="58" t="s">
        <v>32</v>
      </c>
      <c r="B66" s="59" t="s">
        <v>40</v>
      </c>
      <c r="C66" s="59" t="s">
        <v>34</v>
      </c>
      <c r="D66" s="59" t="s">
        <v>33</v>
      </c>
      <c r="E66" s="103"/>
      <c r="F66" s="60"/>
      <c r="G66" s="61"/>
      <c r="H66" s="63" t="s">
        <v>256</v>
      </c>
      <c r="I66" s="64">
        <f>RSQ(I67:I77,B67:B77)</f>
        <v>0.96892863284539132</v>
      </c>
    </row>
    <row r="67" spans="1:11" ht="15" customHeight="1">
      <c r="A67" s="65">
        <v>1997</v>
      </c>
      <c r="B67" s="104">
        <f t="shared" ref="B67:B77" si="7">B5</f>
        <v>7667</v>
      </c>
      <c r="C67" s="105">
        <f t="shared" ref="C67:C95" si="8">LN(B67)</f>
        <v>8.9446806835588948</v>
      </c>
      <c r="D67" s="67">
        <v>0</v>
      </c>
      <c r="E67" s="106"/>
      <c r="F67" s="53"/>
      <c r="G67" s="69"/>
      <c r="H67" s="265"/>
      <c r="I67" s="109">
        <f t="shared" ref="I67:I95" si="9">ROUND($F$69*(1+$F$68)^(D67),1)</f>
        <v>7667</v>
      </c>
    </row>
    <row r="68" spans="1:11" ht="15" customHeight="1">
      <c r="A68" s="65" t="e">
        <f t="shared" ref="A68:A77" si="10">A6</f>
        <v>#REF!</v>
      </c>
      <c r="B68" s="104">
        <f t="shared" si="7"/>
        <v>7586</v>
      </c>
      <c r="C68" s="105">
        <f t="shared" si="8"/>
        <v>8.9340597222488434</v>
      </c>
      <c r="D68" s="67">
        <f>+D67+1</f>
        <v>1</v>
      </c>
      <c r="E68" s="106" t="s">
        <v>37</v>
      </c>
      <c r="F68" s="73">
        <f>ROUND((B77/B67)^(1/D77)-1,5)</f>
        <v>-3.2129999999999999E-2</v>
      </c>
      <c r="G68" s="107"/>
      <c r="H68" s="108"/>
      <c r="I68" s="109">
        <f t="shared" si="9"/>
        <v>7420.7</v>
      </c>
    </row>
    <row r="69" spans="1:11" ht="15" customHeight="1">
      <c r="A69" s="65" t="e">
        <f t="shared" si="10"/>
        <v>#REF!</v>
      </c>
      <c r="B69" s="104">
        <f t="shared" si="7"/>
        <v>7436</v>
      </c>
      <c r="C69" s="105">
        <f t="shared" si="8"/>
        <v>8.9140883488413341</v>
      </c>
      <c r="D69" s="67">
        <f t="shared" ref="D69:D95" si="11">D68+1</f>
        <v>2</v>
      </c>
      <c r="E69" s="106" t="s">
        <v>80</v>
      </c>
      <c r="F69" s="110">
        <f>B67</f>
        <v>7667</v>
      </c>
      <c r="G69" s="107"/>
      <c r="H69" s="108"/>
      <c r="I69" s="109">
        <f t="shared" si="9"/>
        <v>7182.2</v>
      </c>
      <c r="K69" s="111"/>
    </row>
    <row r="70" spans="1:11" ht="15" customHeight="1">
      <c r="A70" s="65" t="e">
        <f t="shared" si="10"/>
        <v>#REF!</v>
      </c>
      <c r="B70" s="104">
        <f t="shared" si="7"/>
        <v>7135</v>
      </c>
      <c r="C70" s="105">
        <f t="shared" si="8"/>
        <v>8.8727675299109361</v>
      </c>
      <c r="D70" s="67">
        <f t="shared" si="11"/>
        <v>3</v>
      </c>
      <c r="E70" s="106" t="s">
        <v>77</v>
      </c>
      <c r="F70" s="73">
        <f>I66</f>
        <v>0.96892863284539132</v>
      </c>
      <c r="G70" s="108"/>
      <c r="H70" s="108"/>
      <c r="I70" s="109">
        <f t="shared" si="9"/>
        <v>6951.5</v>
      </c>
    </row>
    <row r="71" spans="1:11" ht="15" customHeight="1">
      <c r="A71" s="65" t="e">
        <f t="shared" si="10"/>
        <v>#REF!</v>
      </c>
      <c r="B71" s="104">
        <f t="shared" si="7"/>
        <v>6834</v>
      </c>
      <c r="C71" s="105">
        <f t="shared" si="8"/>
        <v>8.8296654326752364</v>
      </c>
      <c r="D71" s="67">
        <f t="shared" si="11"/>
        <v>4</v>
      </c>
      <c r="E71" s="106"/>
      <c r="F71" s="73"/>
      <c r="G71" s="108"/>
      <c r="H71" s="108"/>
      <c r="I71" s="109">
        <f t="shared" si="9"/>
        <v>6728.1</v>
      </c>
    </row>
    <row r="72" spans="1:11" ht="15" customHeight="1">
      <c r="A72" s="65" t="e">
        <f t="shared" si="10"/>
        <v>#REF!</v>
      </c>
      <c r="B72" s="104">
        <f t="shared" si="7"/>
        <v>6429</v>
      </c>
      <c r="C72" s="105">
        <f t="shared" si="8"/>
        <v>8.7685742841416872</v>
      </c>
      <c r="D72" s="67">
        <f t="shared" si="11"/>
        <v>5</v>
      </c>
      <c r="E72" s="106" t="s">
        <v>81</v>
      </c>
      <c r="F72" s="72"/>
      <c r="G72" s="108"/>
      <c r="H72" s="108"/>
      <c r="I72" s="109">
        <f t="shared" si="9"/>
        <v>6511.9</v>
      </c>
    </row>
    <row r="73" spans="1:11" ht="15" customHeight="1">
      <c r="A73" s="65" t="e">
        <f t="shared" si="10"/>
        <v>#REF!</v>
      </c>
      <c r="B73" s="104">
        <f t="shared" si="7"/>
        <v>6136</v>
      </c>
      <c r="C73" s="105">
        <f t="shared" si="8"/>
        <v>8.7219283430470913</v>
      </c>
      <c r="D73" s="67">
        <f t="shared" si="11"/>
        <v>6</v>
      </c>
      <c r="E73" s="112"/>
      <c r="F73" s="113"/>
      <c r="G73" s="108"/>
      <c r="H73" s="108"/>
      <c r="I73" s="109">
        <f t="shared" si="9"/>
        <v>6302.7</v>
      </c>
    </row>
    <row r="74" spans="1:11" ht="15" customHeight="1">
      <c r="A74" s="65" t="e">
        <f t="shared" si="10"/>
        <v>#REF!</v>
      </c>
      <c r="B74" s="104">
        <f t="shared" si="7"/>
        <v>6182</v>
      </c>
      <c r="C74" s="105">
        <f t="shared" si="8"/>
        <v>8.7293971226920615</v>
      </c>
      <c r="D74" s="67">
        <f t="shared" si="11"/>
        <v>7</v>
      </c>
      <c r="E74" s="114"/>
      <c r="F74" s="113"/>
      <c r="G74" s="108"/>
      <c r="H74" s="108"/>
      <c r="I74" s="109">
        <f t="shared" si="9"/>
        <v>6100.2</v>
      </c>
    </row>
    <row r="75" spans="1:11" ht="15" customHeight="1">
      <c r="A75" s="65" t="e">
        <f t="shared" si="10"/>
        <v>#REF!</v>
      </c>
      <c r="B75" s="104">
        <f t="shared" si="7"/>
        <v>6155</v>
      </c>
      <c r="C75" s="105">
        <f t="shared" si="8"/>
        <v>8.7250200386185544</v>
      </c>
      <c r="D75" s="67">
        <f t="shared" si="11"/>
        <v>8</v>
      </c>
      <c r="E75" s="114"/>
      <c r="F75" s="113"/>
      <c r="G75" s="108"/>
      <c r="H75" s="108"/>
      <c r="I75" s="109">
        <f t="shared" si="9"/>
        <v>5904.2</v>
      </c>
    </row>
    <row r="76" spans="1:11" ht="15" customHeight="1">
      <c r="A76" s="65" t="e">
        <f t="shared" si="10"/>
        <v>#REF!</v>
      </c>
      <c r="B76" s="104">
        <f t="shared" si="7"/>
        <v>5800</v>
      </c>
      <c r="C76" s="105">
        <f t="shared" si="8"/>
        <v>8.66561319653451</v>
      </c>
      <c r="D76" s="67">
        <f t="shared" si="11"/>
        <v>9</v>
      </c>
      <c r="E76" s="108"/>
      <c r="F76" s="108"/>
      <c r="G76" s="115"/>
      <c r="H76" s="108"/>
      <c r="I76" s="109">
        <f t="shared" si="9"/>
        <v>5714.5</v>
      </c>
    </row>
    <row r="77" spans="1:11" s="100" customFormat="1" ht="15" customHeight="1" thickBot="1">
      <c r="A77" s="97" t="e">
        <f t="shared" si="10"/>
        <v>#REF!</v>
      </c>
      <c r="B77" s="116">
        <f t="shared" si="7"/>
        <v>5531</v>
      </c>
      <c r="C77" s="117">
        <f t="shared" si="8"/>
        <v>8.6181239099946776</v>
      </c>
      <c r="D77" s="99">
        <f t="shared" si="11"/>
        <v>10</v>
      </c>
      <c r="E77" s="118"/>
      <c r="F77" s="118"/>
      <c r="G77" s="119"/>
      <c r="H77" s="118"/>
      <c r="I77" s="120">
        <f t="shared" si="9"/>
        <v>5530.9</v>
      </c>
    </row>
    <row r="78" spans="1:11" s="78" customFormat="1" ht="15" customHeight="1" thickTop="1">
      <c r="A78" s="80">
        <v>2008</v>
      </c>
      <c r="B78" s="81">
        <f t="shared" ref="B78:B95" si="12">ROUND(F$69*(1+F$68)^D78,0)</f>
        <v>5353</v>
      </c>
      <c r="C78" s="121">
        <f t="shared" si="8"/>
        <v>8.5854124303933812</v>
      </c>
      <c r="D78" s="77">
        <f t="shared" si="11"/>
        <v>11</v>
      </c>
      <c r="E78" s="259"/>
      <c r="F78" s="259"/>
      <c r="G78" s="260"/>
      <c r="H78" s="259"/>
      <c r="I78" s="123">
        <f t="shared" si="9"/>
        <v>5353.2</v>
      </c>
    </row>
    <row r="79" spans="1:11" ht="15" customHeight="1">
      <c r="A79" s="80">
        <v>2009</v>
      </c>
      <c r="B79" s="81">
        <f t="shared" si="12"/>
        <v>5181</v>
      </c>
      <c r="C79" s="105">
        <f t="shared" si="8"/>
        <v>8.5527533668147875</v>
      </c>
      <c r="D79" s="67">
        <f t="shared" si="11"/>
        <v>12</v>
      </c>
      <c r="E79" s="83"/>
      <c r="F79" s="69"/>
      <c r="G79" s="69"/>
      <c r="H79" s="69"/>
      <c r="I79" s="109">
        <f t="shared" si="9"/>
        <v>5181.2</v>
      </c>
    </row>
    <row r="80" spans="1:11" ht="15" customHeight="1">
      <c r="A80" s="80">
        <v>2010</v>
      </c>
      <c r="B80" s="81">
        <f t="shared" si="12"/>
        <v>5015</v>
      </c>
      <c r="C80" s="105">
        <f t="shared" si="8"/>
        <v>8.5201887003960355</v>
      </c>
      <c r="D80" s="67">
        <f t="shared" si="11"/>
        <v>13</v>
      </c>
      <c r="E80" s="83"/>
      <c r="F80" s="69"/>
      <c r="G80" s="69"/>
      <c r="H80" s="69"/>
      <c r="I80" s="109">
        <f t="shared" si="9"/>
        <v>5014.7</v>
      </c>
    </row>
    <row r="81" spans="1:9" ht="15" customHeight="1">
      <c r="A81" s="80">
        <v>2011</v>
      </c>
      <c r="B81" s="81">
        <f t="shared" si="12"/>
        <v>4854</v>
      </c>
      <c r="C81" s="105">
        <f t="shared" si="8"/>
        <v>8.4875583862865476</v>
      </c>
      <c r="D81" s="67">
        <f t="shared" si="11"/>
        <v>14</v>
      </c>
      <c r="E81" s="83"/>
      <c r="F81" s="69"/>
      <c r="G81" s="69"/>
      <c r="H81" s="69"/>
      <c r="I81" s="109">
        <f t="shared" si="9"/>
        <v>4853.6000000000004</v>
      </c>
    </row>
    <row r="82" spans="1:9" ht="15" customHeight="1">
      <c r="A82" s="80">
        <v>2012</v>
      </c>
      <c r="B82" s="81">
        <f t="shared" si="12"/>
        <v>4698</v>
      </c>
      <c r="C82" s="105">
        <f t="shared" si="8"/>
        <v>8.4548921652188582</v>
      </c>
      <c r="D82" s="67">
        <f t="shared" si="11"/>
        <v>15</v>
      </c>
      <c r="E82" s="83"/>
      <c r="F82" s="69"/>
      <c r="G82" s="69"/>
      <c r="H82" s="69"/>
      <c r="I82" s="109">
        <f t="shared" si="9"/>
        <v>4697.7</v>
      </c>
    </row>
    <row r="83" spans="1:9" ht="15" customHeight="1">
      <c r="A83" s="80">
        <v>2013</v>
      </c>
      <c r="B83" s="81">
        <f t="shared" si="12"/>
        <v>4547</v>
      </c>
      <c r="C83" s="105">
        <f t="shared" si="8"/>
        <v>8.4222229538250097</v>
      </c>
      <c r="D83" s="67">
        <f t="shared" si="11"/>
        <v>16</v>
      </c>
      <c r="E83" s="83"/>
      <c r="F83" s="69"/>
      <c r="G83" s="69"/>
      <c r="H83" s="69"/>
      <c r="I83" s="109">
        <f t="shared" si="9"/>
        <v>4546.7</v>
      </c>
    </row>
    <row r="84" spans="1:9" ht="15" customHeight="1">
      <c r="A84" s="80">
        <v>2014</v>
      </c>
      <c r="B84" s="81">
        <f t="shared" si="12"/>
        <v>4401</v>
      </c>
      <c r="C84" s="105">
        <f t="shared" si="8"/>
        <v>8.3895870668110906</v>
      </c>
      <c r="D84" s="67">
        <f t="shared" si="11"/>
        <v>17</v>
      </c>
      <c r="E84" s="83"/>
      <c r="F84" s="69"/>
      <c r="G84" s="69"/>
      <c r="H84" s="69"/>
      <c r="I84" s="109">
        <f t="shared" si="9"/>
        <v>4400.6000000000004</v>
      </c>
    </row>
    <row r="85" spans="1:9" ht="15" customHeight="1">
      <c r="A85" s="80">
        <v>2015</v>
      </c>
      <c r="B85" s="81">
        <f t="shared" si="12"/>
        <v>4259</v>
      </c>
      <c r="C85" s="105">
        <f t="shared" si="8"/>
        <v>8.3567896699232129</v>
      </c>
      <c r="D85" s="67">
        <f t="shared" si="11"/>
        <v>18</v>
      </c>
      <c r="E85" s="83"/>
      <c r="F85" s="69"/>
      <c r="G85" s="69"/>
      <c r="H85" s="69"/>
      <c r="I85" s="109">
        <f t="shared" si="9"/>
        <v>4259.2</v>
      </c>
    </row>
    <row r="86" spans="1:9" ht="15" customHeight="1">
      <c r="A86" s="80">
        <v>2016</v>
      </c>
      <c r="B86" s="81">
        <f t="shared" si="12"/>
        <v>4122</v>
      </c>
      <c r="C86" s="105">
        <f t="shared" si="8"/>
        <v>8.3240937614504045</v>
      </c>
      <c r="D86" s="67">
        <f t="shared" si="11"/>
        <v>19</v>
      </c>
      <c r="E86" s="83"/>
      <c r="F86" s="69"/>
      <c r="G86" s="69"/>
      <c r="H86" s="69"/>
      <c r="I86" s="109">
        <f t="shared" si="9"/>
        <v>4122.3999999999996</v>
      </c>
    </row>
    <row r="87" spans="1:9" ht="15" customHeight="1">
      <c r="A87" s="80">
        <v>2017</v>
      </c>
      <c r="B87" s="81">
        <f t="shared" si="12"/>
        <v>3990</v>
      </c>
      <c r="C87" s="105">
        <f t="shared" si="8"/>
        <v>8.2915465098839096</v>
      </c>
      <c r="D87" s="67">
        <f t="shared" si="11"/>
        <v>20</v>
      </c>
      <c r="E87" s="83"/>
      <c r="F87" s="69"/>
      <c r="G87" s="69"/>
      <c r="H87" s="69"/>
      <c r="I87" s="109">
        <f t="shared" si="9"/>
        <v>3989.9</v>
      </c>
    </row>
    <row r="88" spans="1:9" ht="15" customHeight="1">
      <c r="A88" s="80">
        <v>2018</v>
      </c>
      <c r="B88" s="81">
        <f t="shared" si="12"/>
        <v>3862</v>
      </c>
      <c r="C88" s="105">
        <f t="shared" si="8"/>
        <v>8.2589404629884591</v>
      </c>
      <c r="D88" s="67">
        <f t="shared" si="11"/>
        <v>21</v>
      </c>
      <c r="E88" s="83"/>
      <c r="F88" s="69"/>
      <c r="G88" s="69"/>
      <c r="H88" s="69"/>
      <c r="I88" s="109">
        <f t="shared" si="9"/>
        <v>3861.7</v>
      </c>
    </row>
    <row r="89" spans="1:9" ht="15" customHeight="1">
      <c r="A89" s="80">
        <v>2019</v>
      </c>
      <c r="B89" s="81">
        <f t="shared" si="12"/>
        <v>3738</v>
      </c>
      <c r="C89" s="105">
        <f t="shared" si="8"/>
        <v>8.2263059880155076</v>
      </c>
      <c r="D89" s="67">
        <f t="shared" si="11"/>
        <v>22</v>
      </c>
      <c r="E89" s="83"/>
      <c r="F89" s="69"/>
      <c r="G89" s="69"/>
      <c r="H89" s="69"/>
      <c r="I89" s="109">
        <f t="shared" si="9"/>
        <v>3737.7</v>
      </c>
    </row>
    <row r="90" spans="1:9" ht="15" customHeight="1">
      <c r="A90" s="80">
        <v>2020</v>
      </c>
      <c r="B90" s="81">
        <f t="shared" si="12"/>
        <v>3618</v>
      </c>
      <c r="C90" s="105">
        <f t="shared" si="8"/>
        <v>8.1936766659552411</v>
      </c>
      <c r="D90" s="67">
        <f t="shared" si="11"/>
        <v>23</v>
      </c>
      <c r="E90" s="83"/>
      <c r="F90" s="69"/>
      <c r="G90" s="69"/>
      <c r="H90" s="69"/>
      <c r="I90" s="109">
        <f t="shared" si="9"/>
        <v>3617.6</v>
      </c>
    </row>
    <row r="91" spans="1:9" ht="15" customHeight="1">
      <c r="A91" s="80">
        <v>2021</v>
      </c>
      <c r="B91" s="81">
        <f t="shared" si="12"/>
        <v>3501</v>
      </c>
      <c r="C91" s="105">
        <f t="shared" si="8"/>
        <v>8.160803920954665</v>
      </c>
      <c r="D91" s="67">
        <f t="shared" si="11"/>
        <v>24</v>
      </c>
      <c r="E91" s="83"/>
      <c r="F91" s="69"/>
      <c r="G91" s="69"/>
      <c r="H91" s="69"/>
      <c r="I91" s="109">
        <f t="shared" si="9"/>
        <v>3501.3</v>
      </c>
    </row>
    <row r="92" spans="1:9" ht="15" customHeight="1">
      <c r="A92" s="80">
        <v>2022</v>
      </c>
      <c r="B92" s="81">
        <f t="shared" si="12"/>
        <v>3389</v>
      </c>
      <c r="C92" s="105">
        <f t="shared" si="8"/>
        <v>8.1282901716070519</v>
      </c>
      <c r="D92" s="67">
        <f t="shared" si="11"/>
        <v>25</v>
      </c>
      <c r="E92" s="83"/>
      <c r="F92" s="69"/>
      <c r="G92" s="69"/>
      <c r="H92" s="69"/>
      <c r="I92" s="109">
        <f t="shared" si="9"/>
        <v>3388.8</v>
      </c>
    </row>
    <row r="93" spans="1:9" ht="15" customHeight="1">
      <c r="A93" s="80">
        <v>2023</v>
      </c>
      <c r="B93" s="81">
        <f t="shared" si="12"/>
        <v>3280</v>
      </c>
      <c r="C93" s="105">
        <f t="shared" si="8"/>
        <v>8.09559870137819</v>
      </c>
      <c r="D93" s="67">
        <f t="shared" si="11"/>
        <v>26</v>
      </c>
      <c r="E93" s="83"/>
      <c r="F93" s="69"/>
      <c r="G93" s="69"/>
      <c r="H93" s="69"/>
      <c r="I93" s="109">
        <f t="shared" si="9"/>
        <v>3280</v>
      </c>
    </row>
    <row r="94" spans="1:9" ht="15" customHeight="1">
      <c r="A94" s="80">
        <v>2024</v>
      </c>
      <c r="B94" s="81">
        <f t="shared" si="12"/>
        <v>3175</v>
      </c>
      <c r="C94" s="105">
        <f t="shared" si="8"/>
        <v>8.0630629113267922</v>
      </c>
      <c r="D94" s="67">
        <f t="shared" si="11"/>
        <v>27</v>
      </c>
      <c r="E94" s="69"/>
      <c r="F94" s="69"/>
      <c r="G94" s="69"/>
      <c r="H94" s="69"/>
      <c r="I94" s="109">
        <f t="shared" si="9"/>
        <v>3174.6</v>
      </c>
    </row>
    <row r="95" spans="1:9" ht="15" customHeight="1">
      <c r="A95" s="85">
        <v>2025</v>
      </c>
      <c r="B95" s="86">
        <f t="shared" si="12"/>
        <v>3073</v>
      </c>
      <c r="C95" s="124">
        <f t="shared" si="8"/>
        <v>8.030409562130485</v>
      </c>
      <c r="D95" s="87">
        <f t="shared" si="11"/>
        <v>28</v>
      </c>
      <c r="E95" s="89"/>
      <c r="F95" s="89"/>
      <c r="G95" s="89"/>
      <c r="H95" s="89"/>
      <c r="I95" s="125">
        <f t="shared" si="9"/>
        <v>3072.6</v>
      </c>
    </row>
    <row r="96" spans="1:9" ht="15" customHeight="1">
      <c r="A96" s="56" t="s">
        <v>82</v>
      </c>
      <c r="B96" s="57"/>
    </row>
    <row r="97" spans="1:9" ht="15" customHeight="1">
      <c r="A97" s="58" t="s">
        <v>32</v>
      </c>
      <c r="B97" s="59" t="s">
        <v>40</v>
      </c>
      <c r="C97" s="59" t="s">
        <v>83</v>
      </c>
      <c r="D97" s="59" t="s">
        <v>33</v>
      </c>
      <c r="E97" s="59" t="s">
        <v>35</v>
      </c>
      <c r="F97" s="103"/>
      <c r="G97" s="60"/>
      <c r="H97" s="63" t="s">
        <v>256</v>
      </c>
      <c r="I97" s="64" t="e">
        <f>RSQ(I98:I108,B98:B108)</f>
        <v>#VALUE!</v>
      </c>
    </row>
    <row r="98" spans="1:9" ht="15" customHeight="1">
      <c r="A98" s="65">
        <v>1997</v>
      </c>
      <c r="B98" s="104">
        <f t="shared" ref="B98:B108" si="13">B5</f>
        <v>7667</v>
      </c>
      <c r="C98" s="126" t="e">
        <f t="shared" ref="C98:C108" si="14">LN(-B$98+B98)</f>
        <v>#NUM!</v>
      </c>
      <c r="D98" s="67">
        <v>0</v>
      </c>
      <c r="E98" s="67"/>
      <c r="F98" s="106"/>
      <c r="G98" s="53"/>
      <c r="H98" s="265"/>
      <c r="I98" s="276" t="e">
        <f>$B$98+$G$103*D98^$G$99</f>
        <v>#VALUE!</v>
      </c>
    </row>
    <row r="99" spans="1:9" ht="15" customHeight="1">
      <c r="A99" s="65" t="e">
        <f t="shared" ref="A99:A108" si="15">A6</f>
        <v>#REF!</v>
      </c>
      <c r="B99" s="104">
        <f t="shared" si="13"/>
        <v>7586</v>
      </c>
      <c r="C99" s="126" t="e">
        <f t="shared" si="14"/>
        <v>#NUM!</v>
      </c>
      <c r="D99" s="67">
        <f>+D98+1</f>
        <v>1</v>
      </c>
      <c r="E99" s="67">
        <f t="shared" ref="E99:E108" si="16">LN(D99)</f>
        <v>0</v>
      </c>
      <c r="F99" s="106" t="s">
        <v>75</v>
      </c>
      <c r="G99" s="73" t="e">
        <f>INDEX(LINEST(C99:C108,E99:E108),1)</f>
        <v>#VALUE!</v>
      </c>
      <c r="H99" s="127"/>
      <c r="I99" s="128" t="e">
        <f t="shared" ref="I99:I126" si="17">$B$98+$G$103*D99^$G$99</f>
        <v>#VALUE!</v>
      </c>
    </row>
    <row r="100" spans="1:9" ht="15" customHeight="1">
      <c r="A100" s="65" t="e">
        <f t="shared" si="15"/>
        <v>#REF!</v>
      </c>
      <c r="B100" s="104">
        <f t="shared" si="13"/>
        <v>7436</v>
      </c>
      <c r="C100" s="126" t="e">
        <f t="shared" si="14"/>
        <v>#NUM!</v>
      </c>
      <c r="D100" s="67">
        <f t="shared" ref="D100:D126" si="18">D99+1</f>
        <v>2</v>
      </c>
      <c r="E100" s="67">
        <f t="shared" si="16"/>
        <v>0.69314718055994529</v>
      </c>
      <c r="F100" s="106" t="s">
        <v>76</v>
      </c>
      <c r="G100" s="73" t="e">
        <f>INDEX(LINEST(C99:C108,E99:E108),2)</f>
        <v>#VALUE!</v>
      </c>
      <c r="H100" s="129" t="s">
        <v>84</v>
      </c>
      <c r="I100" s="128" t="e">
        <f t="shared" si="17"/>
        <v>#VALUE!</v>
      </c>
    </row>
    <row r="101" spans="1:9" ht="15" customHeight="1">
      <c r="A101" s="65" t="e">
        <f t="shared" si="15"/>
        <v>#REF!</v>
      </c>
      <c r="B101" s="104">
        <f t="shared" si="13"/>
        <v>7135</v>
      </c>
      <c r="C101" s="126" t="e">
        <f t="shared" si="14"/>
        <v>#NUM!</v>
      </c>
      <c r="D101" s="67">
        <f t="shared" si="18"/>
        <v>3</v>
      </c>
      <c r="E101" s="67">
        <f t="shared" si="16"/>
        <v>1.0986122886681098</v>
      </c>
      <c r="F101" s="69"/>
      <c r="G101" s="130"/>
      <c r="H101" s="127"/>
      <c r="I101" s="128" t="e">
        <f t="shared" si="17"/>
        <v>#VALUE!</v>
      </c>
    </row>
    <row r="102" spans="1:9" ht="15" customHeight="1">
      <c r="A102" s="65" t="e">
        <f t="shared" si="15"/>
        <v>#REF!</v>
      </c>
      <c r="B102" s="104">
        <f t="shared" si="13"/>
        <v>6834</v>
      </c>
      <c r="C102" s="126" t="e">
        <f t="shared" si="14"/>
        <v>#NUM!</v>
      </c>
      <c r="D102" s="67">
        <f t="shared" si="18"/>
        <v>4</v>
      </c>
      <c r="E102" s="67">
        <f t="shared" si="16"/>
        <v>1.3862943611198906</v>
      </c>
      <c r="F102" s="106" t="s">
        <v>77</v>
      </c>
      <c r="G102" s="73" t="e">
        <f>I97</f>
        <v>#VALUE!</v>
      </c>
      <c r="H102" s="127"/>
      <c r="I102" s="128" t="e">
        <f t="shared" si="17"/>
        <v>#VALUE!</v>
      </c>
    </row>
    <row r="103" spans="1:9" ht="15" customHeight="1">
      <c r="A103" s="65" t="e">
        <f t="shared" si="15"/>
        <v>#REF!</v>
      </c>
      <c r="B103" s="104">
        <f t="shared" si="13"/>
        <v>6429</v>
      </c>
      <c r="C103" s="126" t="e">
        <f t="shared" si="14"/>
        <v>#NUM!</v>
      </c>
      <c r="D103" s="67">
        <f t="shared" si="18"/>
        <v>5</v>
      </c>
      <c r="E103" s="67">
        <f t="shared" si="16"/>
        <v>1.6094379124341003</v>
      </c>
      <c r="F103" s="106" t="s">
        <v>38</v>
      </c>
      <c r="G103" s="131" t="e">
        <f>EXP(G100)</f>
        <v>#VALUE!</v>
      </c>
      <c r="H103" s="127"/>
      <c r="I103" s="128" t="e">
        <f t="shared" si="17"/>
        <v>#VALUE!</v>
      </c>
    </row>
    <row r="104" spans="1:9" ht="15" customHeight="1">
      <c r="A104" s="65" t="e">
        <f t="shared" si="15"/>
        <v>#REF!</v>
      </c>
      <c r="B104" s="104">
        <f t="shared" si="13"/>
        <v>6136</v>
      </c>
      <c r="C104" s="126" t="e">
        <f t="shared" si="14"/>
        <v>#NUM!</v>
      </c>
      <c r="D104" s="67">
        <f t="shared" si="18"/>
        <v>6</v>
      </c>
      <c r="E104" s="67">
        <f t="shared" si="16"/>
        <v>1.791759469228055</v>
      </c>
      <c r="F104" s="106"/>
      <c r="G104" s="53"/>
      <c r="H104" s="127"/>
      <c r="I104" s="128" t="e">
        <f t="shared" si="17"/>
        <v>#VALUE!</v>
      </c>
    </row>
    <row r="105" spans="1:9" ht="15" customHeight="1">
      <c r="A105" s="65" t="e">
        <f t="shared" si="15"/>
        <v>#REF!</v>
      </c>
      <c r="B105" s="104">
        <f t="shared" si="13"/>
        <v>6182</v>
      </c>
      <c r="C105" s="126" t="e">
        <f t="shared" si="14"/>
        <v>#NUM!</v>
      </c>
      <c r="D105" s="67">
        <f t="shared" si="18"/>
        <v>7</v>
      </c>
      <c r="E105" s="67">
        <f t="shared" si="16"/>
        <v>1.9459101490553132</v>
      </c>
      <c r="F105" s="106"/>
      <c r="G105" s="53"/>
      <c r="H105" s="127"/>
      <c r="I105" s="128" t="e">
        <f t="shared" si="17"/>
        <v>#VALUE!</v>
      </c>
    </row>
    <row r="106" spans="1:9" ht="15" customHeight="1">
      <c r="A106" s="65" t="e">
        <f t="shared" si="15"/>
        <v>#REF!</v>
      </c>
      <c r="B106" s="104">
        <f t="shared" si="13"/>
        <v>6155</v>
      </c>
      <c r="C106" s="126" t="e">
        <f t="shared" si="14"/>
        <v>#NUM!</v>
      </c>
      <c r="D106" s="67">
        <f t="shared" si="18"/>
        <v>8</v>
      </c>
      <c r="E106" s="67">
        <f t="shared" si="16"/>
        <v>2.0794415416798357</v>
      </c>
      <c r="F106" s="132" t="s">
        <v>85</v>
      </c>
      <c r="G106" s="53"/>
      <c r="H106" s="127"/>
      <c r="I106" s="128" t="e">
        <f t="shared" si="17"/>
        <v>#VALUE!</v>
      </c>
    </row>
    <row r="107" spans="1:9" ht="15" customHeight="1">
      <c r="A107" s="65" t="e">
        <f t="shared" si="15"/>
        <v>#REF!</v>
      </c>
      <c r="B107" s="104">
        <f t="shared" si="13"/>
        <v>5800</v>
      </c>
      <c r="C107" s="126" t="e">
        <f t="shared" si="14"/>
        <v>#NUM!</v>
      </c>
      <c r="D107" s="67">
        <f t="shared" si="18"/>
        <v>9</v>
      </c>
      <c r="E107" s="67">
        <f t="shared" si="16"/>
        <v>2.1972245773362196</v>
      </c>
      <c r="F107" s="132" t="s">
        <v>86</v>
      </c>
      <c r="G107" s="53"/>
      <c r="H107" s="127"/>
      <c r="I107" s="128" t="e">
        <f t="shared" si="17"/>
        <v>#VALUE!</v>
      </c>
    </row>
    <row r="108" spans="1:9" s="100" customFormat="1" ht="15" customHeight="1" thickBot="1">
      <c r="A108" s="97" t="e">
        <f t="shared" si="15"/>
        <v>#REF!</v>
      </c>
      <c r="B108" s="116">
        <f t="shared" si="13"/>
        <v>5531</v>
      </c>
      <c r="C108" s="126" t="e">
        <f t="shared" si="14"/>
        <v>#NUM!</v>
      </c>
      <c r="D108" s="99">
        <f t="shared" si="18"/>
        <v>10</v>
      </c>
      <c r="E108" s="99">
        <f t="shared" si="16"/>
        <v>2.3025850929940459</v>
      </c>
      <c r="F108" s="182"/>
      <c r="G108" s="101"/>
      <c r="H108" s="143"/>
      <c r="I108" s="144" t="e">
        <f t="shared" si="17"/>
        <v>#VALUE!</v>
      </c>
    </row>
    <row r="109" spans="1:9" s="78" customFormat="1" ht="15" customHeight="1" thickTop="1">
      <c r="A109" s="80">
        <v>2008</v>
      </c>
      <c r="B109" s="81" t="e">
        <f>ROUND(LOOKUP(0,D$98:D$108,B$98:B$108)+G$103*D109^G$99,0)</f>
        <v>#VALUE!</v>
      </c>
      <c r="C109" s="257"/>
      <c r="D109" s="77">
        <f t="shared" si="18"/>
        <v>11</v>
      </c>
      <c r="E109" s="77"/>
      <c r="F109" s="266"/>
      <c r="G109" s="256"/>
      <c r="H109" s="258"/>
      <c r="I109" s="133" t="e">
        <f t="shared" si="17"/>
        <v>#VALUE!</v>
      </c>
    </row>
    <row r="110" spans="1:9" ht="15" customHeight="1">
      <c r="A110" s="80">
        <v>2009</v>
      </c>
      <c r="B110" s="81" t="e">
        <f t="shared" ref="B110:B126" si="19">ROUND(LOOKUP(0,D$98:D$108,B$98:B$108)+G$103*D110^G$99,0)</f>
        <v>#VALUE!</v>
      </c>
      <c r="C110" s="134"/>
      <c r="D110" s="67">
        <f t="shared" si="18"/>
        <v>12</v>
      </c>
      <c r="E110" s="67"/>
      <c r="F110" s="83"/>
      <c r="G110" s="69"/>
      <c r="H110" s="84"/>
      <c r="I110" s="128" t="e">
        <f t="shared" si="17"/>
        <v>#VALUE!</v>
      </c>
    </row>
    <row r="111" spans="1:9" ht="15" customHeight="1">
      <c r="A111" s="80">
        <v>2010</v>
      </c>
      <c r="B111" s="81" t="e">
        <f t="shared" si="19"/>
        <v>#VALUE!</v>
      </c>
      <c r="C111" s="134"/>
      <c r="D111" s="67">
        <f t="shared" si="18"/>
        <v>13</v>
      </c>
      <c r="E111" s="67"/>
      <c r="F111" s="83"/>
      <c r="G111" s="69"/>
      <c r="H111" s="84"/>
      <c r="I111" s="128" t="e">
        <f t="shared" si="17"/>
        <v>#VALUE!</v>
      </c>
    </row>
    <row r="112" spans="1:9" ht="15" customHeight="1">
      <c r="A112" s="80">
        <v>2011</v>
      </c>
      <c r="B112" s="81" t="e">
        <f t="shared" si="19"/>
        <v>#VALUE!</v>
      </c>
      <c r="C112" s="134"/>
      <c r="D112" s="67">
        <f t="shared" si="18"/>
        <v>14</v>
      </c>
      <c r="E112" s="67"/>
      <c r="F112" s="83"/>
      <c r="G112" s="69"/>
      <c r="H112" s="84"/>
      <c r="I112" s="128" t="e">
        <f t="shared" si="17"/>
        <v>#VALUE!</v>
      </c>
    </row>
    <row r="113" spans="1:9" ht="15" customHeight="1">
      <c r="A113" s="80">
        <v>2012</v>
      </c>
      <c r="B113" s="81" t="e">
        <f t="shared" si="19"/>
        <v>#VALUE!</v>
      </c>
      <c r="C113" s="134"/>
      <c r="D113" s="67">
        <f t="shared" si="18"/>
        <v>15</v>
      </c>
      <c r="E113" s="67"/>
      <c r="F113" s="83"/>
      <c r="G113" s="69"/>
      <c r="H113" s="84"/>
      <c r="I113" s="128" t="e">
        <f t="shared" si="17"/>
        <v>#VALUE!</v>
      </c>
    </row>
    <row r="114" spans="1:9" ht="15" customHeight="1">
      <c r="A114" s="80">
        <v>2013</v>
      </c>
      <c r="B114" s="81" t="e">
        <f t="shared" si="19"/>
        <v>#VALUE!</v>
      </c>
      <c r="C114" s="134"/>
      <c r="D114" s="67">
        <f t="shared" si="18"/>
        <v>16</v>
      </c>
      <c r="E114" s="67"/>
      <c r="F114" s="83"/>
      <c r="G114" s="69"/>
      <c r="H114" s="84"/>
      <c r="I114" s="128" t="e">
        <f t="shared" si="17"/>
        <v>#VALUE!</v>
      </c>
    </row>
    <row r="115" spans="1:9" ht="15" customHeight="1">
      <c r="A115" s="80">
        <v>2014</v>
      </c>
      <c r="B115" s="81" t="e">
        <f t="shared" si="19"/>
        <v>#VALUE!</v>
      </c>
      <c r="C115" s="134"/>
      <c r="D115" s="67">
        <f t="shared" si="18"/>
        <v>17</v>
      </c>
      <c r="E115" s="67"/>
      <c r="F115" s="83"/>
      <c r="G115" s="69"/>
      <c r="H115" s="84"/>
      <c r="I115" s="128" t="e">
        <f t="shared" si="17"/>
        <v>#VALUE!</v>
      </c>
    </row>
    <row r="116" spans="1:9" ht="15" customHeight="1">
      <c r="A116" s="80">
        <v>2015</v>
      </c>
      <c r="B116" s="81" t="e">
        <f t="shared" si="19"/>
        <v>#VALUE!</v>
      </c>
      <c r="C116" s="134"/>
      <c r="D116" s="67">
        <f t="shared" si="18"/>
        <v>18</v>
      </c>
      <c r="E116" s="67"/>
      <c r="F116" s="83"/>
      <c r="G116" s="69"/>
      <c r="H116" s="84"/>
      <c r="I116" s="128" t="e">
        <f t="shared" si="17"/>
        <v>#VALUE!</v>
      </c>
    </row>
    <row r="117" spans="1:9" ht="15" customHeight="1">
      <c r="A117" s="80">
        <v>2016</v>
      </c>
      <c r="B117" s="81" t="e">
        <f t="shared" si="19"/>
        <v>#VALUE!</v>
      </c>
      <c r="C117" s="134"/>
      <c r="D117" s="67">
        <f t="shared" si="18"/>
        <v>19</v>
      </c>
      <c r="E117" s="67"/>
      <c r="F117" s="83"/>
      <c r="G117" s="69"/>
      <c r="H117" s="84"/>
      <c r="I117" s="128" t="e">
        <f t="shared" si="17"/>
        <v>#VALUE!</v>
      </c>
    </row>
    <row r="118" spans="1:9" ht="15" customHeight="1">
      <c r="A118" s="80">
        <v>2017</v>
      </c>
      <c r="B118" s="81" t="e">
        <f t="shared" si="19"/>
        <v>#VALUE!</v>
      </c>
      <c r="C118" s="134"/>
      <c r="D118" s="67">
        <f t="shared" si="18"/>
        <v>20</v>
      </c>
      <c r="E118" s="67"/>
      <c r="F118" s="83"/>
      <c r="G118" s="69"/>
      <c r="H118" s="84"/>
      <c r="I118" s="128" t="e">
        <f t="shared" si="17"/>
        <v>#VALUE!</v>
      </c>
    </row>
    <row r="119" spans="1:9" ht="15" customHeight="1">
      <c r="A119" s="80">
        <v>2018</v>
      </c>
      <c r="B119" s="81" t="e">
        <f t="shared" si="19"/>
        <v>#VALUE!</v>
      </c>
      <c r="C119" s="134"/>
      <c r="D119" s="67">
        <f t="shared" si="18"/>
        <v>21</v>
      </c>
      <c r="E119" s="67"/>
      <c r="F119" s="83"/>
      <c r="G119" s="69"/>
      <c r="H119" s="84"/>
      <c r="I119" s="128" t="e">
        <f t="shared" si="17"/>
        <v>#VALUE!</v>
      </c>
    </row>
    <row r="120" spans="1:9" ht="15" customHeight="1">
      <c r="A120" s="80">
        <v>2019</v>
      </c>
      <c r="B120" s="81" t="e">
        <f t="shared" si="19"/>
        <v>#VALUE!</v>
      </c>
      <c r="C120" s="134"/>
      <c r="D120" s="67">
        <f t="shared" si="18"/>
        <v>22</v>
      </c>
      <c r="E120" s="67"/>
      <c r="F120" s="83"/>
      <c r="G120" s="69"/>
      <c r="H120" s="84"/>
      <c r="I120" s="128" t="e">
        <f t="shared" si="17"/>
        <v>#VALUE!</v>
      </c>
    </row>
    <row r="121" spans="1:9" ht="15" customHeight="1">
      <c r="A121" s="80">
        <v>2020</v>
      </c>
      <c r="B121" s="81" t="e">
        <f t="shared" si="19"/>
        <v>#VALUE!</v>
      </c>
      <c r="C121" s="134"/>
      <c r="D121" s="67">
        <f t="shared" si="18"/>
        <v>23</v>
      </c>
      <c r="E121" s="67"/>
      <c r="F121" s="83"/>
      <c r="G121" s="69"/>
      <c r="H121" s="84"/>
      <c r="I121" s="128" t="e">
        <f t="shared" si="17"/>
        <v>#VALUE!</v>
      </c>
    </row>
    <row r="122" spans="1:9" ht="15" customHeight="1">
      <c r="A122" s="80">
        <v>2021</v>
      </c>
      <c r="B122" s="81" t="e">
        <f t="shared" si="19"/>
        <v>#VALUE!</v>
      </c>
      <c r="C122" s="134"/>
      <c r="D122" s="67">
        <f t="shared" si="18"/>
        <v>24</v>
      </c>
      <c r="E122" s="67"/>
      <c r="F122" s="83"/>
      <c r="G122" s="69"/>
      <c r="H122" s="84"/>
      <c r="I122" s="128" t="e">
        <f t="shared" si="17"/>
        <v>#VALUE!</v>
      </c>
    </row>
    <row r="123" spans="1:9" ht="15" customHeight="1">
      <c r="A123" s="80">
        <v>2022</v>
      </c>
      <c r="B123" s="81" t="e">
        <f t="shared" si="19"/>
        <v>#VALUE!</v>
      </c>
      <c r="C123" s="134"/>
      <c r="D123" s="67">
        <f t="shared" si="18"/>
        <v>25</v>
      </c>
      <c r="E123" s="67"/>
      <c r="F123" s="83"/>
      <c r="G123" s="69"/>
      <c r="H123" s="84"/>
      <c r="I123" s="128" t="e">
        <f t="shared" si="17"/>
        <v>#VALUE!</v>
      </c>
    </row>
    <row r="124" spans="1:9" ht="15" customHeight="1">
      <c r="A124" s="80">
        <v>2023</v>
      </c>
      <c r="B124" s="81" t="e">
        <f t="shared" si="19"/>
        <v>#VALUE!</v>
      </c>
      <c r="C124" s="134"/>
      <c r="D124" s="67">
        <f t="shared" si="18"/>
        <v>26</v>
      </c>
      <c r="E124" s="67"/>
      <c r="F124" s="83"/>
      <c r="G124" s="69"/>
      <c r="H124" s="84"/>
      <c r="I124" s="128" t="e">
        <f t="shared" si="17"/>
        <v>#VALUE!</v>
      </c>
    </row>
    <row r="125" spans="1:9" ht="15" customHeight="1">
      <c r="A125" s="80">
        <v>2024</v>
      </c>
      <c r="B125" s="81" t="e">
        <f t="shared" si="19"/>
        <v>#VALUE!</v>
      </c>
      <c r="C125" s="135"/>
      <c r="D125" s="67">
        <f t="shared" si="18"/>
        <v>27</v>
      </c>
      <c r="E125" s="67"/>
      <c r="F125" s="69"/>
      <c r="G125" s="69"/>
      <c r="H125" s="69"/>
      <c r="I125" s="136" t="e">
        <f t="shared" si="17"/>
        <v>#VALUE!</v>
      </c>
    </row>
    <row r="126" spans="1:9" ht="15" customHeight="1">
      <c r="A126" s="85">
        <v>2025</v>
      </c>
      <c r="B126" s="81" t="e">
        <f t="shared" si="19"/>
        <v>#VALUE!</v>
      </c>
      <c r="C126" s="137"/>
      <c r="D126" s="87">
        <f t="shared" si="18"/>
        <v>28</v>
      </c>
      <c r="E126" s="87"/>
      <c r="F126" s="89"/>
      <c r="G126" s="89"/>
      <c r="H126" s="89"/>
      <c r="I126" s="138" t="e">
        <f t="shared" si="17"/>
        <v>#VALUE!</v>
      </c>
    </row>
    <row r="127" spans="1:9" ht="15" customHeight="1">
      <c r="A127" s="56" t="s">
        <v>87</v>
      </c>
      <c r="B127" s="57"/>
    </row>
    <row r="128" spans="1:9" ht="15" customHeight="1">
      <c r="A128" s="58" t="s">
        <v>32</v>
      </c>
      <c r="B128" s="59" t="s">
        <v>40</v>
      </c>
      <c r="C128" s="59" t="s">
        <v>36</v>
      </c>
      <c r="D128" s="59" t="s">
        <v>33</v>
      </c>
      <c r="E128" s="103"/>
      <c r="F128" s="60"/>
      <c r="G128" s="61"/>
      <c r="H128" s="63" t="s">
        <v>256</v>
      </c>
      <c r="I128" s="64">
        <f>RSQ(I129:I139,B129:B139)</f>
        <v>0.96740687068497866</v>
      </c>
    </row>
    <row r="129" spans="1:9" ht="15" customHeight="1">
      <c r="A129" s="65">
        <v>1997</v>
      </c>
      <c r="B129" s="104">
        <f t="shared" ref="B129:B139" si="20">+B5</f>
        <v>7667</v>
      </c>
      <c r="C129" s="126">
        <f t="shared" ref="C129:C139" si="21">LN(F$133/B129-1)</f>
        <v>0</v>
      </c>
      <c r="D129" s="67">
        <v>0</v>
      </c>
      <c r="E129" s="106"/>
      <c r="F129" s="53"/>
      <c r="G129" s="69"/>
      <c r="H129" s="265"/>
      <c r="I129" s="267">
        <f t="shared" ref="I129:I157" si="22">$F$133/(1+EXP($F$131+$F$130*D129))</f>
        <v>7739.414919967272</v>
      </c>
    </row>
    <row r="130" spans="1:9" ht="15" customHeight="1">
      <c r="A130" s="65" t="e">
        <f t="shared" ref="A130:A139" si="23">A6</f>
        <v>#REF!</v>
      </c>
      <c r="B130" s="104">
        <f t="shared" si="20"/>
        <v>7586</v>
      </c>
      <c r="C130" s="126">
        <f t="shared" si="21"/>
        <v>2.1130302278042388E-2</v>
      </c>
      <c r="D130" s="67">
        <f>+D129+1</f>
        <v>1</v>
      </c>
      <c r="E130" s="106" t="s">
        <v>75</v>
      </c>
      <c r="F130" s="139">
        <f>INDEX(LINEST(C129:C139,D129:D139),1)</f>
        <v>5.8877754796946381E-2</v>
      </c>
      <c r="G130" s="140" t="s">
        <v>88</v>
      </c>
      <c r="H130" s="127"/>
      <c r="I130" s="128">
        <f t="shared" si="22"/>
        <v>7513.7296227993529</v>
      </c>
    </row>
    <row r="131" spans="1:9" ht="15" customHeight="1">
      <c r="A131" s="65" t="e">
        <f t="shared" si="23"/>
        <v>#REF!</v>
      </c>
      <c r="B131" s="104">
        <f t="shared" si="20"/>
        <v>7436</v>
      </c>
      <c r="C131" s="126">
        <f t="shared" si="21"/>
        <v>6.0276493005260078E-2</v>
      </c>
      <c r="D131" s="67">
        <f t="shared" ref="D131:D157" si="24">D130+1</f>
        <v>2</v>
      </c>
      <c r="E131" s="106" t="s">
        <v>76</v>
      </c>
      <c r="F131" s="139">
        <f>INDEX(LINEST(C129:C139,D129:D139),2)</f>
        <v>-1.8890589127283808E-2</v>
      </c>
      <c r="G131" s="69"/>
      <c r="H131" s="127"/>
      <c r="I131" s="128">
        <f t="shared" si="22"/>
        <v>7288.3097289798761</v>
      </c>
    </row>
    <row r="132" spans="1:9" ht="15" customHeight="1">
      <c r="A132" s="65" t="e">
        <f t="shared" si="23"/>
        <v>#REF!</v>
      </c>
      <c r="B132" s="104">
        <f t="shared" si="20"/>
        <v>7135</v>
      </c>
      <c r="C132" s="126">
        <f t="shared" si="21"/>
        <v>0.13899994468524071</v>
      </c>
      <c r="D132" s="67">
        <f t="shared" si="24"/>
        <v>3</v>
      </c>
      <c r="E132" s="106" t="s">
        <v>77</v>
      </c>
      <c r="F132" s="73">
        <f>I128</f>
        <v>0.96740687068497866</v>
      </c>
      <c r="G132" s="69"/>
      <c r="H132" s="127"/>
      <c r="I132" s="128">
        <f t="shared" si="22"/>
        <v>7063.5442390699482</v>
      </c>
    </row>
    <row r="133" spans="1:9" ht="15" customHeight="1">
      <c r="A133" s="65" t="e">
        <f t="shared" si="23"/>
        <v>#REF!</v>
      </c>
      <c r="B133" s="104">
        <f t="shared" si="20"/>
        <v>6834</v>
      </c>
      <c r="C133" s="126">
        <f t="shared" si="21"/>
        <v>0.2181560098031706</v>
      </c>
      <c r="D133" s="67">
        <f t="shared" si="24"/>
        <v>4</v>
      </c>
      <c r="E133" s="106" t="s">
        <v>39</v>
      </c>
      <c r="F133" s="110">
        <f>MAX(B129:B139)*2</f>
        <v>15334</v>
      </c>
      <c r="G133" s="69"/>
      <c r="H133" s="127"/>
      <c r="I133" s="128">
        <f t="shared" si="22"/>
        <v>6839.81764156179</v>
      </c>
    </row>
    <row r="134" spans="1:9" ht="15" customHeight="1">
      <c r="A134" s="65" t="e">
        <f t="shared" si="23"/>
        <v>#REF!</v>
      </c>
      <c r="B134" s="104">
        <f t="shared" si="20"/>
        <v>6429</v>
      </c>
      <c r="C134" s="126">
        <f t="shared" si="21"/>
        <v>0.32579391158207538</v>
      </c>
      <c r="D134" s="67">
        <f t="shared" si="24"/>
        <v>5</v>
      </c>
      <c r="E134" s="106"/>
      <c r="F134" s="53"/>
      <c r="G134" s="69"/>
      <c r="H134" s="127"/>
      <c r="I134" s="128">
        <f t="shared" si="22"/>
        <v>6617.5073022460383</v>
      </c>
    </row>
    <row r="135" spans="1:9" ht="15" customHeight="1">
      <c r="A135" s="65" t="e">
        <f t="shared" si="23"/>
        <v>#REF!</v>
      </c>
      <c r="B135" s="104">
        <f t="shared" si="20"/>
        <v>6136</v>
      </c>
      <c r="C135" s="126">
        <f t="shared" si="21"/>
        <v>0.40481300505277695</v>
      </c>
      <c r="D135" s="67">
        <f t="shared" si="24"/>
        <v>6</v>
      </c>
      <c r="E135" s="106"/>
      <c r="F135" s="53"/>
      <c r="G135" s="69"/>
      <c r="H135" s="127"/>
      <c r="I135" s="128">
        <f t="shared" si="22"/>
        <v>6396.9809568049941</v>
      </c>
    </row>
    <row r="136" spans="1:9" ht="15" customHeight="1">
      <c r="A136" s="65" t="e">
        <f t="shared" si="23"/>
        <v>#REF!</v>
      </c>
      <c r="B136" s="104">
        <f t="shared" si="20"/>
        <v>6182</v>
      </c>
      <c r="C136" s="126">
        <f t="shared" si="21"/>
        <v>0.3923305909275176</v>
      </c>
      <c r="D136" s="67">
        <f t="shared" si="24"/>
        <v>7</v>
      </c>
      <c r="E136" s="132" t="s">
        <v>89</v>
      </c>
      <c r="F136" s="53"/>
      <c r="G136" s="69"/>
      <c r="H136" s="127"/>
      <c r="I136" s="128">
        <f t="shared" si="22"/>
        <v>6178.5943414116837</v>
      </c>
    </row>
    <row r="137" spans="1:9" ht="15" customHeight="1">
      <c r="A137" s="65" t="e">
        <f t="shared" si="23"/>
        <v>#REF!</v>
      </c>
      <c r="B137" s="104">
        <f t="shared" si="20"/>
        <v>6155</v>
      </c>
      <c r="C137" s="126">
        <f t="shared" si="21"/>
        <v>0.39965350660053717</v>
      </c>
      <c r="D137" s="67">
        <f t="shared" si="24"/>
        <v>8</v>
      </c>
      <c r="E137" s="132" t="s">
        <v>90</v>
      </c>
      <c r="F137" s="53"/>
      <c r="G137" s="69"/>
      <c r="H137" s="127"/>
      <c r="I137" s="128">
        <f t="shared" si="22"/>
        <v>5962.6889927510074</v>
      </c>
    </row>
    <row r="138" spans="1:9" ht="15" customHeight="1">
      <c r="A138" s="65" t="e">
        <f t="shared" si="23"/>
        <v>#REF!</v>
      </c>
      <c r="B138" s="104">
        <f t="shared" si="20"/>
        <v>5800</v>
      </c>
      <c r="C138" s="126">
        <f t="shared" si="21"/>
        <v>0.49700643923026022</v>
      </c>
      <c r="D138" s="67">
        <f t="shared" si="24"/>
        <v>9</v>
      </c>
      <c r="E138" s="132"/>
      <c r="F138" s="53"/>
      <c r="G138" s="69"/>
      <c r="H138" s="127"/>
      <c r="I138" s="128">
        <f t="shared" si="22"/>
        <v>5749.5902448286597</v>
      </c>
    </row>
    <row r="139" spans="1:9" ht="15" customHeight="1" thickBot="1">
      <c r="A139" s="97" t="e">
        <f t="shared" si="23"/>
        <v>#REF!</v>
      </c>
      <c r="B139" s="116">
        <f t="shared" si="20"/>
        <v>5531</v>
      </c>
      <c r="C139" s="141">
        <f t="shared" si="21"/>
        <v>0.57231983026704802</v>
      </c>
      <c r="D139" s="99">
        <f t="shared" si="24"/>
        <v>10</v>
      </c>
      <c r="E139" s="182"/>
      <c r="F139" s="101"/>
      <c r="G139" s="100"/>
      <c r="H139" s="143"/>
      <c r="I139" s="144">
        <f t="shared" si="22"/>
        <v>5539.6054453411598</v>
      </c>
    </row>
    <row r="140" spans="1:9" ht="15" customHeight="1" thickTop="1">
      <c r="A140" s="80">
        <v>2008</v>
      </c>
      <c r="B140" s="81">
        <f t="shared" ref="B140:B157" si="25">ROUND(F$133/(1+EXP(F$131+F$130*D140)),0)</f>
        <v>5333</v>
      </c>
      <c r="C140" s="257"/>
      <c r="D140" s="77">
        <f t="shared" si="24"/>
        <v>11</v>
      </c>
      <c r="E140" s="266"/>
      <c r="F140" s="256"/>
      <c r="G140" s="78"/>
      <c r="H140" s="258"/>
      <c r="I140" s="133">
        <f t="shared" si="22"/>
        <v>5333.0224094071327</v>
      </c>
    </row>
    <row r="141" spans="1:9" ht="15" customHeight="1">
      <c r="A141" s="80">
        <v>2009</v>
      </c>
      <c r="B141" s="81">
        <f t="shared" si="25"/>
        <v>5130</v>
      </c>
      <c r="C141" s="134"/>
      <c r="D141" s="67">
        <f t="shared" si="24"/>
        <v>12</v>
      </c>
      <c r="E141" s="83"/>
      <c r="F141" s="69"/>
      <c r="G141" s="69"/>
      <c r="H141" s="84"/>
      <c r="I141" s="128">
        <f t="shared" si="22"/>
        <v>5130.1081232725119</v>
      </c>
    </row>
    <row r="142" spans="1:9" ht="15" customHeight="1">
      <c r="A142" s="80">
        <v>2010</v>
      </c>
      <c r="B142" s="81">
        <f t="shared" si="25"/>
        <v>4931</v>
      </c>
      <c r="C142" s="134"/>
      <c r="D142" s="67">
        <f t="shared" si="24"/>
        <v>13</v>
      </c>
      <c r="E142" s="83"/>
      <c r="F142" s="69"/>
      <c r="G142" s="69"/>
      <c r="H142" s="84"/>
      <c r="I142" s="128">
        <f t="shared" si="22"/>
        <v>4931.1077053671324</v>
      </c>
    </row>
    <row r="143" spans="1:9" ht="15" customHeight="1">
      <c r="A143" s="80">
        <v>2011</v>
      </c>
      <c r="B143" s="81">
        <f t="shared" si="25"/>
        <v>4736</v>
      </c>
      <c r="C143" s="134"/>
      <c r="D143" s="67">
        <f t="shared" si="24"/>
        <v>14</v>
      </c>
      <c r="E143" s="83"/>
      <c r="F143" s="69"/>
      <c r="G143" s="69"/>
      <c r="H143" s="84"/>
      <c r="I143" s="128">
        <f t="shared" si="22"/>
        <v>4736.243626965007</v>
      </c>
    </row>
    <row r="144" spans="1:9" ht="15" customHeight="1">
      <c r="A144" s="80">
        <v>2012</v>
      </c>
      <c r="B144" s="81">
        <f t="shared" si="25"/>
        <v>4546</v>
      </c>
      <c r="C144" s="134"/>
      <c r="D144" s="67">
        <f t="shared" si="24"/>
        <v>15</v>
      </c>
      <c r="E144" s="83"/>
      <c r="F144" s="69"/>
      <c r="G144" s="69"/>
      <c r="H144" s="84"/>
      <c r="I144" s="128">
        <f t="shared" si="22"/>
        <v>4545.7151898292623</v>
      </c>
    </row>
    <row r="145" spans="1:10" ht="15" customHeight="1">
      <c r="A145" s="80">
        <v>2013</v>
      </c>
      <c r="B145" s="81">
        <f t="shared" si="25"/>
        <v>4360</v>
      </c>
      <c r="C145" s="134"/>
      <c r="D145" s="67">
        <f t="shared" si="24"/>
        <v>16</v>
      </c>
      <c r="E145" s="83"/>
      <c r="F145" s="69"/>
      <c r="G145" s="69"/>
      <c r="H145" s="84"/>
      <c r="I145" s="128">
        <f t="shared" si="22"/>
        <v>4359.6982537293034</v>
      </c>
    </row>
    <row r="146" spans="1:10" ht="15" customHeight="1">
      <c r="A146" s="80">
        <v>2014</v>
      </c>
      <c r="B146" s="81">
        <f t="shared" si="25"/>
        <v>4178</v>
      </c>
      <c r="C146" s="134"/>
      <c r="D146" s="67">
        <f t="shared" si="24"/>
        <v>17</v>
      </c>
      <c r="E146" s="83"/>
      <c r="F146" s="69"/>
      <c r="G146" s="69"/>
      <c r="H146" s="84"/>
      <c r="I146" s="128">
        <f t="shared" si="22"/>
        <v>4178.3452027035737</v>
      </c>
    </row>
    <row r="147" spans="1:10" ht="15" customHeight="1">
      <c r="A147" s="80">
        <v>2015</v>
      </c>
      <c r="B147" s="81">
        <f t="shared" si="25"/>
        <v>4002</v>
      </c>
      <c r="C147" s="134"/>
      <c r="D147" s="67">
        <f t="shared" si="24"/>
        <v>18</v>
      </c>
      <c r="E147" s="83"/>
      <c r="F147" s="69"/>
      <c r="G147" s="69"/>
      <c r="H147" s="84"/>
      <c r="I147" s="128">
        <f t="shared" si="22"/>
        <v>4001.7851354820959</v>
      </c>
    </row>
    <row r="148" spans="1:10" ht="15" customHeight="1">
      <c r="A148" s="80">
        <v>2016</v>
      </c>
      <c r="B148" s="81">
        <f t="shared" si="25"/>
        <v>3830</v>
      </c>
      <c r="C148" s="134"/>
      <c r="D148" s="67">
        <f t="shared" si="24"/>
        <v>19</v>
      </c>
      <c r="E148" s="83"/>
      <c r="F148" s="69"/>
      <c r="G148" s="69"/>
      <c r="H148" s="84"/>
      <c r="I148" s="128">
        <f t="shared" si="22"/>
        <v>3830.1242626286253</v>
      </c>
    </row>
    <row r="149" spans="1:10" ht="15" customHeight="1">
      <c r="A149" s="80">
        <v>2017</v>
      </c>
      <c r="B149" s="81">
        <f t="shared" si="25"/>
        <v>3663</v>
      </c>
      <c r="C149" s="134"/>
      <c r="D149" s="67">
        <f t="shared" si="24"/>
        <v>20</v>
      </c>
      <c r="E149" s="83"/>
      <c r="F149" s="69"/>
      <c r="G149" s="69"/>
      <c r="H149" s="84"/>
      <c r="I149" s="128">
        <f t="shared" si="22"/>
        <v>3663.4464907374845</v>
      </c>
    </row>
    <row r="150" spans="1:10" ht="15" customHeight="1">
      <c r="A150" s="80">
        <v>2018</v>
      </c>
      <c r="B150" s="81">
        <f t="shared" si="25"/>
        <v>3502</v>
      </c>
      <c r="C150" s="134"/>
      <c r="D150" s="67">
        <f t="shared" si="24"/>
        <v>21</v>
      </c>
      <c r="E150" s="83"/>
      <c r="F150" s="69"/>
      <c r="G150" s="69"/>
      <c r="H150" s="84"/>
      <c r="I150" s="128">
        <f t="shared" si="22"/>
        <v>3501.814172425482</v>
      </c>
    </row>
    <row r="151" spans="1:10" ht="15" customHeight="1">
      <c r="A151" s="80">
        <v>2019</v>
      </c>
      <c r="B151" s="81">
        <f t="shared" si="25"/>
        <v>3345</v>
      </c>
      <c r="C151" s="134"/>
      <c r="D151" s="67">
        <f t="shared" si="24"/>
        <v>22</v>
      </c>
      <c r="E151" s="83"/>
      <c r="F151" s="69"/>
      <c r="G151" s="69"/>
      <c r="H151" s="84"/>
      <c r="I151" s="128">
        <f t="shared" si="22"/>
        <v>3345.2689998750034</v>
      </c>
    </row>
    <row r="152" spans="1:10" ht="15" customHeight="1">
      <c r="A152" s="80">
        <v>2020</v>
      </c>
      <c r="B152" s="81">
        <f t="shared" si="25"/>
        <v>3194</v>
      </c>
      <c r="C152" s="134"/>
      <c r="D152" s="67">
        <f t="shared" si="24"/>
        <v>23</v>
      </c>
      <c r="E152" s="83"/>
      <c r="F152" s="69"/>
      <c r="G152" s="69"/>
      <c r="H152" s="84"/>
      <c r="I152" s="128">
        <f t="shared" si="22"/>
        <v>3193.8330192722174</v>
      </c>
    </row>
    <row r="153" spans="1:10" ht="15" customHeight="1">
      <c r="A153" s="80">
        <v>2021</v>
      </c>
      <c r="B153" s="81">
        <f t="shared" si="25"/>
        <v>3048</v>
      </c>
      <c r="C153" s="134"/>
      <c r="D153" s="67">
        <f t="shared" si="24"/>
        <v>24</v>
      </c>
      <c r="E153" s="83"/>
      <c r="F153" s="69"/>
      <c r="G153" s="69"/>
      <c r="H153" s="84"/>
      <c r="I153" s="128">
        <f t="shared" si="22"/>
        <v>3047.5097435928237</v>
      </c>
    </row>
    <row r="154" spans="1:10" ht="15" customHeight="1">
      <c r="A154" s="80">
        <v>2022</v>
      </c>
      <c r="B154" s="81">
        <f t="shared" si="25"/>
        <v>2906</v>
      </c>
      <c r="C154" s="134"/>
      <c r="D154" s="67">
        <f t="shared" si="24"/>
        <v>25</v>
      </c>
      <c r="E154" s="83"/>
      <c r="F154" s="69"/>
      <c r="G154" s="69"/>
      <c r="H154" s="84"/>
      <c r="I154" s="128">
        <f t="shared" si="22"/>
        <v>2906.2853417544447</v>
      </c>
    </row>
    <row r="155" spans="1:10" ht="15" customHeight="1">
      <c r="A155" s="80">
        <v>2023</v>
      </c>
      <c r="B155" s="81">
        <f t="shared" si="25"/>
        <v>2770</v>
      </c>
      <c r="C155" s="134"/>
      <c r="D155" s="67">
        <f t="shared" si="24"/>
        <v>26</v>
      </c>
      <c r="E155" s="83"/>
      <c r="F155" s="69"/>
      <c r="G155" s="69"/>
      <c r="H155" s="84"/>
      <c r="I155" s="128">
        <f t="shared" si="22"/>
        <v>2770.12988311136</v>
      </c>
    </row>
    <row r="156" spans="1:10" ht="15" customHeight="1">
      <c r="A156" s="80">
        <v>2024</v>
      </c>
      <c r="B156" s="81">
        <f t="shared" si="25"/>
        <v>2639</v>
      </c>
      <c r="C156" s="135"/>
      <c r="D156" s="67">
        <f t="shared" si="24"/>
        <v>27</v>
      </c>
      <c r="E156" s="69"/>
      <c r="F156" s="69"/>
      <c r="G156" s="69"/>
      <c r="H156" s="69"/>
      <c r="I156" s="136">
        <f t="shared" si="22"/>
        <v>2638.9986175418153</v>
      </c>
    </row>
    <row r="157" spans="1:10" ht="15" customHeight="1">
      <c r="A157" s="85">
        <v>2025</v>
      </c>
      <c r="B157" s="86">
        <f t="shared" si="25"/>
        <v>2513</v>
      </c>
      <c r="C157" s="137"/>
      <c r="D157" s="87">
        <f t="shared" si="24"/>
        <v>28</v>
      </c>
      <c r="E157" s="89"/>
      <c r="F157" s="89"/>
      <c r="G157" s="89"/>
      <c r="H157" s="89"/>
      <c r="I157" s="138">
        <f t="shared" si="22"/>
        <v>2512.8332728991286</v>
      </c>
    </row>
    <row r="158" spans="1:10" ht="15" customHeight="1">
      <c r="A158" s="56" t="s">
        <v>257</v>
      </c>
      <c r="B158" s="57"/>
    </row>
    <row r="159" spans="1:10" ht="15" customHeight="1">
      <c r="A159" s="56"/>
      <c r="B159" s="57"/>
    </row>
    <row r="160" spans="1:10" ht="24">
      <c r="A160" s="145" t="s">
        <v>32</v>
      </c>
      <c r="B160" s="146" t="s">
        <v>91</v>
      </c>
      <c r="C160" s="147" t="s">
        <v>72</v>
      </c>
      <c r="D160" s="147" t="s">
        <v>92</v>
      </c>
      <c r="E160" s="147" t="s">
        <v>93</v>
      </c>
      <c r="F160" s="147" t="s">
        <v>94</v>
      </c>
      <c r="G160" s="147" t="s">
        <v>95</v>
      </c>
      <c r="H160" s="148" t="s">
        <v>96</v>
      </c>
      <c r="I160" s="149" t="s">
        <v>258</v>
      </c>
      <c r="J160" s="150" t="s">
        <v>259</v>
      </c>
    </row>
    <row r="161" spans="1:12" ht="20.100000000000001" customHeight="1">
      <c r="A161" s="65">
        <v>2008</v>
      </c>
      <c r="B161" s="151">
        <f t="shared" ref="B161:B178" si="26">B16</f>
        <v>5317</v>
      </c>
      <c r="C161" s="152">
        <f t="shared" ref="C161:C178" si="27">B47</f>
        <v>5303</v>
      </c>
      <c r="D161" s="152">
        <f t="shared" ref="D161:D178" si="28">B78</f>
        <v>5353</v>
      </c>
      <c r="E161" s="268"/>
      <c r="F161" s="152">
        <f t="shared" ref="F161:F178" si="29">B140</f>
        <v>5333</v>
      </c>
      <c r="G161" s="152">
        <f t="shared" ref="G161:G178" si="30">ROUND(AVERAGE(B161:F161),1)</f>
        <v>5326.5</v>
      </c>
      <c r="H161" s="152">
        <f t="shared" ref="H161:H178" si="31">ROUND((SUM(B161:F161)-MAX(B161:F161)-MIN(B161:F161))/(COUNT(B161:F161)-2),1)</f>
        <v>5325</v>
      </c>
      <c r="I161" s="153">
        <f t="shared" ref="I161:I178" si="32">ROUND(SUMIF(B$179:H$179,"○",B161:H161),0)</f>
        <v>5327</v>
      </c>
      <c r="J161" s="261"/>
    </row>
    <row r="162" spans="1:12" ht="20.100000000000001" customHeight="1">
      <c r="A162" s="80">
        <v>2009</v>
      </c>
      <c r="B162" s="151">
        <f t="shared" si="26"/>
        <v>5104</v>
      </c>
      <c r="C162" s="152">
        <f t="shared" si="27"/>
        <v>5082</v>
      </c>
      <c r="D162" s="152">
        <f t="shared" si="28"/>
        <v>5181</v>
      </c>
      <c r="E162" s="268"/>
      <c r="F162" s="152">
        <f t="shared" si="29"/>
        <v>5130</v>
      </c>
      <c r="G162" s="152">
        <f t="shared" si="30"/>
        <v>5124.3</v>
      </c>
      <c r="H162" s="152">
        <f t="shared" si="31"/>
        <v>5117</v>
      </c>
      <c r="I162" s="153">
        <f t="shared" si="32"/>
        <v>5124</v>
      </c>
      <c r="J162" s="154"/>
    </row>
    <row r="163" spans="1:12" ht="20.100000000000001" customHeight="1">
      <c r="A163" s="80">
        <v>2010</v>
      </c>
      <c r="B163" s="151">
        <f t="shared" si="26"/>
        <v>4890</v>
      </c>
      <c r="C163" s="152">
        <f t="shared" si="27"/>
        <v>4861</v>
      </c>
      <c r="D163" s="152">
        <f t="shared" si="28"/>
        <v>5015</v>
      </c>
      <c r="E163" s="268"/>
      <c r="F163" s="152">
        <f t="shared" si="29"/>
        <v>4931</v>
      </c>
      <c r="G163" s="152">
        <f t="shared" si="30"/>
        <v>4924.3</v>
      </c>
      <c r="H163" s="152">
        <f t="shared" si="31"/>
        <v>4910.5</v>
      </c>
      <c r="I163" s="153">
        <f t="shared" si="32"/>
        <v>4924</v>
      </c>
      <c r="J163" s="154"/>
    </row>
    <row r="164" spans="1:12" ht="20.100000000000001" customHeight="1">
      <c r="A164" s="80">
        <v>2011</v>
      </c>
      <c r="B164" s="151">
        <f t="shared" si="26"/>
        <v>4677</v>
      </c>
      <c r="C164" s="152">
        <f t="shared" si="27"/>
        <v>4641</v>
      </c>
      <c r="D164" s="152">
        <f t="shared" si="28"/>
        <v>4854</v>
      </c>
      <c r="E164" s="268"/>
      <c r="F164" s="152">
        <f t="shared" si="29"/>
        <v>4736</v>
      </c>
      <c r="G164" s="152">
        <f t="shared" si="30"/>
        <v>4727</v>
      </c>
      <c r="H164" s="152">
        <f t="shared" si="31"/>
        <v>4706.5</v>
      </c>
      <c r="I164" s="153">
        <f t="shared" si="32"/>
        <v>4727</v>
      </c>
      <c r="J164" s="154"/>
    </row>
    <row r="165" spans="1:12" ht="20.100000000000001" customHeight="1">
      <c r="A165" s="80">
        <v>2012</v>
      </c>
      <c r="B165" s="151">
        <f t="shared" si="26"/>
        <v>4463</v>
      </c>
      <c r="C165" s="152">
        <f t="shared" si="27"/>
        <v>4420</v>
      </c>
      <c r="D165" s="152">
        <f t="shared" si="28"/>
        <v>4698</v>
      </c>
      <c r="E165" s="268"/>
      <c r="F165" s="152">
        <f t="shared" si="29"/>
        <v>4546</v>
      </c>
      <c r="G165" s="152">
        <f t="shared" si="30"/>
        <v>4531.8</v>
      </c>
      <c r="H165" s="152">
        <f t="shared" si="31"/>
        <v>4504.5</v>
      </c>
      <c r="I165" s="153">
        <f t="shared" si="32"/>
        <v>4532</v>
      </c>
      <c r="J165" s="154"/>
    </row>
    <row r="166" spans="1:12" ht="20.100000000000001" customHeight="1">
      <c r="A166" s="80">
        <v>2013</v>
      </c>
      <c r="B166" s="151">
        <f t="shared" si="26"/>
        <v>4249</v>
      </c>
      <c r="C166" s="152">
        <f t="shared" si="27"/>
        <v>4199</v>
      </c>
      <c r="D166" s="152">
        <f t="shared" si="28"/>
        <v>4547</v>
      </c>
      <c r="E166" s="268"/>
      <c r="F166" s="152">
        <f t="shared" si="29"/>
        <v>4360</v>
      </c>
      <c r="G166" s="152">
        <f t="shared" si="30"/>
        <v>4338.8</v>
      </c>
      <c r="H166" s="152">
        <f t="shared" si="31"/>
        <v>4304.5</v>
      </c>
      <c r="I166" s="153">
        <f t="shared" si="32"/>
        <v>4339</v>
      </c>
      <c r="J166" s="154"/>
    </row>
    <row r="167" spans="1:12" ht="20.100000000000001" customHeight="1">
      <c r="A167" s="80">
        <v>2014</v>
      </c>
      <c r="B167" s="151">
        <f t="shared" si="26"/>
        <v>4036</v>
      </c>
      <c r="C167" s="152">
        <f t="shared" si="27"/>
        <v>3979</v>
      </c>
      <c r="D167" s="152">
        <f t="shared" si="28"/>
        <v>4401</v>
      </c>
      <c r="E167" s="268"/>
      <c r="F167" s="152">
        <f t="shared" si="29"/>
        <v>4178</v>
      </c>
      <c r="G167" s="152">
        <f t="shared" si="30"/>
        <v>4148.5</v>
      </c>
      <c r="H167" s="152">
        <f t="shared" si="31"/>
        <v>4107</v>
      </c>
      <c r="I167" s="153">
        <f t="shared" si="32"/>
        <v>4149</v>
      </c>
      <c r="J167" s="154"/>
    </row>
    <row r="168" spans="1:12" ht="20.100000000000001" customHeight="1">
      <c r="A168" s="80">
        <v>2015</v>
      </c>
      <c r="B168" s="151">
        <f t="shared" si="26"/>
        <v>3822</v>
      </c>
      <c r="C168" s="152">
        <f t="shared" si="27"/>
        <v>3758</v>
      </c>
      <c r="D168" s="152">
        <f t="shared" si="28"/>
        <v>4259</v>
      </c>
      <c r="E168" s="268"/>
      <c r="F168" s="152">
        <f t="shared" si="29"/>
        <v>4002</v>
      </c>
      <c r="G168" s="152">
        <f t="shared" si="30"/>
        <v>3960.3</v>
      </c>
      <c r="H168" s="152">
        <f t="shared" si="31"/>
        <v>3912</v>
      </c>
      <c r="I168" s="153">
        <f t="shared" si="32"/>
        <v>3960</v>
      </c>
      <c r="J168" s="154"/>
    </row>
    <row r="169" spans="1:12" ht="20.100000000000001" customHeight="1">
      <c r="A169" s="80">
        <v>2016</v>
      </c>
      <c r="B169" s="151">
        <f t="shared" si="26"/>
        <v>3609</v>
      </c>
      <c r="C169" s="152">
        <f t="shared" si="27"/>
        <v>3537</v>
      </c>
      <c r="D169" s="152">
        <f t="shared" si="28"/>
        <v>4122</v>
      </c>
      <c r="E169" s="268"/>
      <c r="F169" s="152">
        <f t="shared" si="29"/>
        <v>3830</v>
      </c>
      <c r="G169" s="152">
        <f t="shared" si="30"/>
        <v>3774.5</v>
      </c>
      <c r="H169" s="152">
        <f t="shared" si="31"/>
        <v>3719.5</v>
      </c>
      <c r="I169" s="153">
        <f t="shared" si="32"/>
        <v>3775</v>
      </c>
      <c r="J169" s="154"/>
    </row>
    <row r="170" spans="1:12" ht="20.100000000000001" customHeight="1">
      <c r="A170" s="80">
        <v>2017</v>
      </c>
      <c r="B170" s="151">
        <f t="shared" si="26"/>
        <v>3395</v>
      </c>
      <c r="C170" s="152">
        <f t="shared" si="27"/>
        <v>3317</v>
      </c>
      <c r="D170" s="152">
        <f t="shared" si="28"/>
        <v>3990</v>
      </c>
      <c r="E170" s="268"/>
      <c r="F170" s="152">
        <f t="shared" si="29"/>
        <v>3663</v>
      </c>
      <c r="G170" s="152">
        <f t="shared" si="30"/>
        <v>3591.3</v>
      </c>
      <c r="H170" s="152">
        <f t="shared" si="31"/>
        <v>3529</v>
      </c>
      <c r="I170" s="153">
        <f t="shared" si="32"/>
        <v>3591</v>
      </c>
      <c r="J170" s="154"/>
    </row>
    <row r="171" spans="1:12" ht="20.100000000000001" customHeight="1">
      <c r="A171" s="80">
        <v>2018</v>
      </c>
      <c r="B171" s="151">
        <f t="shared" si="26"/>
        <v>3181</v>
      </c>
      <c r="C171" s="152">
        <f t="shared" si="27"/>
        <v>3096</v>
      </c>
      <c r="D171" s="152">
        <f t="shared" si="28"/>
        <v>3862</v>
      </c>
      <c r="E171" s="268"/>
      <c r="F171" s="152">
        <f t="shared" si="29"/>
        <v>3502</v>
      </c>
      <c r="G171" s="152">
        <f t="shared" si="30"/>
        <v>3410.3</v>
      </c>
      <c r="H171" s="152">
        <f t="shared" si="31"/>
        <v>3341.5</v>
      </c>
      <c r="I171" s="153">
        <f t="shared" si="32"/>
        <v>3410</v>
      </c>
      <c r="J171" s="154"/>
    </row>
    <row r="172" spans="1:12" ht="20.100000000000001" customHeight="1">
      <c r="A172" s="80">
        <v>2019</v>
      </c>
      <c r="B172" s="151">
        <f t="shared" si="26"/>
        <v>2968</v>
      </c>
      <c r="C172" s="152">
        <f t="shared" si="27"/>
        <v>2875</v>
      </c>
      <c r="D172" s="152">
        <f t="shared" si="28"/>
        <v>3738</v>
      </c>
      <c r="E172" s="268"/>
      <c r="F172" s="152">
        <f t="shared" si="29"/>
        <v>3345</v>
      </c>
      <c r="G172" s="152">
        <f t="shared" si="30"/>
        <v>3231.5</v>
      </c>
      <c r="H172" s="152">
        <f t="shared" si="31"/>
        <v>3156.5</v>
      </c>
      <c r="I172" s="153">
        <f t="shared" si="32"/>
        <v>3232</v>
      </c>
      <c r="J172" s="154"/>
    </row>
    <row r="173" spans="1:12" ht="20.100000000000001" customHeight="1">
      <c r="A173" s="80">
        <v>2020</v>
      </c>
      <c r="B173" s="151">
        <f t="shared" si="26"/>
        <v>2754</v>
      </c>
      <c r="C173" s="152">
        <f t="shared" si="27"/>
        <v>2655</v>
      </c>
      <c r="D173" s="152">
        <f t="shared" si="28"/>
        <v>3618</v>
      </c>
      <c r="E173" s="268"/>
      <c r="F173" s="152">
        <f t="shared" si="29"/>
        <v>3194</v>
      </c>
      <c r="G173" s="152">
        <f t="shared" si="30"/>
        <v>3055.3</v>
      </c>
      <c r="H173" s="152">
        <f t="shared" si="31"/>
        <v>2974</v>
      </c>
      <c r="I173" s="153">
        <f t="shared" si="32"/>
        <v>3055</v>
      </c>
      <c r="J173" s="154"/>
    </row>
    <row r="174" spans="1:12" ht="20.100000000000001" customHeight="1">
      <c r="A174" s="80">
        <v>2021</v>
      </c>
      <c r="B174" s="151">
        <f t="shared" si="26"/>
        <v>2541</v>
      </c>
      <c r="C174" s="152">
        <f t="shared" si="27"/>
        <v>2434</v>
      </c>
      <c r="D174" s="152">
        <f t="shared" si="28"/>
        <v>3501</v>
      </c>
      <c r="E174" s="268"/>
      <c r="F174" s="152">
        <f t="shared" si="29"/>
        <v>3048</v>
      </c>
      <c r="G174" s="152">
        <f t="shared" si="30"/>
        <v>2881</v>
      </c>
      <c r="H174" s="152">
        <f t="shared" si="31"/>
        <v>2794.5</v>
      </c>
      <c r="I174" s="153">
        <f t="shared" si="32"/>
        <v>2881</v>
      </c>
      <c r="J174" s="154"/>
    </row>
    <row r="175" spans="1:12" ht="20.100000000000001" customHeight="1">
      <c r="A175" s="80">
        <v>2022</v>
      </c>
      <c r="B175" s="151">
        <f t="shared" si="26"/>
        <v>2327</v>
      </c>
      <c r="C175" s="152">
        <f t="shared" si="27"/>
        <v>2214</v>
      </c>
      <c r="D175" s="152">
        <f t="shared" si="28"/>
        <v>3389</v>
      </c>
      <c r="E175" s="268"/>
      <c r="F175" s="152">
        <f t="shared" si="29"/>
        <v>2906</v>
      </c>
      <c r="G175" s="152">
        <f t="shared" si="30"/>
        <v>2709</v>
      </c>
      <c r="H175" s="152">
        <f t="shared" si="31"/>
        <v>2616.5</v>
      </c>
      <c r="I175" s="153">
        <f t="shared" si="32"/>
        <v>2709</v>
      </c>
      <c r="J175" s="154"/>
    </row>
    <row r="176" spans="1:12" ht="20.100000000000001" customHeight="1">
      <c r="A176" s="80">
        <v>2023</v>
      </c>
      <c r="B176" s="151">
        <f t="shared" si="26"/>
        <v>2113</v>
      </c>
      <c r="C176" s="152">
        <f t="shared" si="27"/>
        <v>1993</v>
      </c>
      <c r="D176" s="152">
        <f t="shared" si="28"/>
        <v>3280</v>
      </c>
      <c r="E176" s="268"/>
      <c r="F176" s="152">
        <f t="shared" si="29"/>
        <v>2770</v>
      </c>
      <c r="G176" s="152">
        <f t="shared" si="30"/>
        <v>2539</v>
      </c>
      <c r="H176" s="152">
        <f t="shared" si="31"/>
        <v>2441.5</v>
      </c>
      <c r="I176" s="153">
        <f t="shared" si="32"/>
        <v>2539</v>
      </c>
      <c r="J176" s="154"/>
      <c r="L176" s="55">
        <v>806200</v>
      </c>
    </row>
    <row r="177" spans="1:41" ht="20.100000000000001" customHeight="1">
      <c r="A177" s="80">
        <v>2024</v>
      </c>
      <c r="B177" s="151">
        <f t="shared" si="26"/>
        <v>1900</v>
      </c>
      <c r="C177" s="152">
        <f t="shared" si="27"/>
        <v>1772</v>
      </c>
      <c r="D177" s="152">
        <f t="shared" si="28"/>
        <v>3175</v>
      </c>
      <c r="E177" s="268"/>
      <c r="F177" s="152">
        <f t="shared" si="29"/>
        <v>2639</v>
      </c>
      <c r="G177" s="152">
        <f t="shared" si="30"/>
        <v>2371.5</v>
      </c>
      <c r="H177" s="152">
        <f t="shared" si="31"/>
        <v>2269.5</v>
      </c>
      <c r="I177" s="153">
        <f t="shared" si="32"/>
        <v>2372</v>
      </c>
      <c r="J177" s="154"/>
      <c r="K177" s="55">
        <v>51000</v>
      </c>
      <c r="L177" s="75">
        <f>+K177+E177</f>
        <v>51000</v>
      </c>
      <c r="M177" s="75"/>
    </row>
    <row r="178" spans="1:41" ht="20.100000000000001" customHeight="1">
      <c r="A178" s="80">
        <v>2025</v>
      </c>
      <c r="B178" s="151">
        <f t="shared" si="26"/>
        <v>1686</v>
      </c>
      <c r="C178" s="152">
        <f t="shared" si="27"/>
        <v>1552</v>
      </c>
      <c r="D178" s="152">
        <f t="shared" si="28"/>
        <v>3073</v>
      </c>
      <c r="E178" s="268"/>
      <c r="F178" s="152">
        <f t="shared" si="29"/>
        <v>2513</v>
      </c>
      <c r="G178" s="152">
        <f t="shared" si="30"/>
        <v>2206</v>
      </c>
      <c r="H178" s="152">
        <f t="shared" si="31"/>
        <v>2099.5</v>
      </c>
      <c r="I178" s="153">
        <f t="shared" si="32"/>
        <v>2206</v>
      </c>
      <c r="J178" s="154"/>
      <c r="L178" s="75">
        <f>+L176-L177</f>
        <v>755200</v>
      </c>
      <c r="M178" s="75"/>
    </row>
    <row r="179" spans="1:41" ht="20.100000000000001" customHeight="1">
      <c r="A179" s="155" t="s">
        <v>97</v>
      </c>
      <c r="B179" s="156"/>
      <c r="C179" s="157"/>
      <c r="D179" s="157"/>
      <c r="E179" s="157"/>
      <c r="F179" s="156"/>
      <c r="G179" s="269" t="s">
        <v>260</v>
      </c>
      <c r="H179" s="157"/>
      <c r="I179" s="159"/>
      <c r="J179" s="160"/>
      <c r="K179" s="161"/>
      <c r="L179" s="162">
        <f>B129</f>
        <v>7667</v>
      </c>
      <c r="M179" s="162">
        <f>+B130</f>
        <v>7586</v>
      </c>
      <c r="N179" s="162">
        <f>B131</f>
        <v>7436</v>
      </c>
      <c r="O179" s="161">
        <f>B132</f>
        <v>7135</v>
      </c>
      <c r="P179" s="162">
        <f>B133</f>
        <v>6834</v>
      </c>
      <c r="Q179" s="161">
        <f>B134</f>
        <v>6429</v>
      </c>
      <c r="R179" s="162">
        <f>B135</f>
        <v>6136</v>
      </c>
      <c r="S179" s="162">
        <f>B136</f>
        <v>6182</v>
      </c>
      <c r="T179" s="162">
        <f>B137</f>
        <v>6155</v>
      </c>
      <c r="U179" s="162">
        <f>B138</f>
        <v>5800</v>
      </c>
      <c r="V179" s="162">
        <f>B139</f>
        <v>5531</v>
      </c>
      <c r="W179" s="162">
        <f>B16</f>
        <v>5317</v>
      </c>
      <c r="X179" s="162"/>
      <c r="Y179" s="161"/>
      <c r="Z179" s="161"/>
      <c r="AA179" s="161"/>
      <c r="AB179" s="161"/>
      <c r="AC179" s="161"/>
      <c r="AD179" s="161"/>
      <c r="AE179" s="161"/>
      <c r="AF179" s="161"/>
      <c r="AG179" s="161"/>
      <c r="AH179" s="161"/>
      <c r="AI179" s="161"/>
      <c r="AJ179" s="161"/>
      <c r="AK179" s="161"/>
      <c r="AL179" s="161"/>
      <c r="AM179" s="161"/>
      <c r="AN179" s="161"/>
    </row>
    <row r="180" spans="1:41" ht="20.100000000000001" hidden="1" customHeight="1">
      <c r="A180" s="85"/>
      <c r="B180" s="163"/>
      <c r="C180" s="164"/>
      <c r="D180" s="164"/>
      <c r="E180" s="164"/>
      <c r="F180" s="164"/>
      <c r="G180" s="164"/>
      <c r="H180" s="164"/>
      <c r="I180" s="165"/>
      <c r="J180" s="166"/>
      <c r="K180" s="161"/>
      <c r="L180" s="161"/>
      <c r="M180" s="161"/>
      <c r="N180" s="161"/>
      <c r="O180" s="161"/>
      <c r="P180" s="161"/>
      <c r="Q180" s="161"/>
      <c r="R180" s="161"/>
      <c r="S180" s="161"/>
      <c r="T180" s="161"/>
      <c r="U180" s="161"/>
      <c r="V180" s="161"/>
      <c r="W180" s="161"/>
      <c r="X180" s="161"/>
      <c r="Y180" s="161"/>
      <c r="Z180" s="161"/>
      <c r="AA180" s="161"/>
      <c r="AB180" s="161"/>
      <c r="AC180" s="161"/>
      <c r="AD180" s="161"/>
      <c r="AE180" s="161"/>
      <c r="AF180" s="161"/>
      <c r="AG180" s="161"/>
      <c r="AH180" s="161"/>
      <c r="AI180" s="161"/>
      <c r="AJ180" s="161"/>
      <c r="AK180" s="161"/>
      <c r="AL180" s="161"/>
      <c r="AM180" s="161"/>
      <c r="AN180" s="161"/>
    </row>
    <row r="181" spans="1:41" s="161" customFormat="1" ht="20.100000000000001" customHeight="1">
      <c r="A181" s="167" t="s">
        <v>98</v>
      </c>
      <c r="B181" s="168">
        <f>I4</f>
        <v>0.96615047414044852</v>
      </c>
      <c r="C181" s="169">
        <f>I35</f>
        <v>0.96615047414044875</v>
      </c>
      <c r="D181" s="169">
        <f>I66</f>
        <v>0.96892863284539132</v>
      </c>
      <c r="E181" s="169"/>
      <c r="F181" s="169">
        <f>I128</f>
        <v>0.96740687068497866</v>
      </c>
      <c r="G181" s="170"/>
      <c r="H181" s="171"/>
      <c r="I181" s="172"/>
      <c r="J181" s="173"/>
      <c r="K181" s="174">
        <f>MAX(B181:I181,F181)</f>
        <v>0.96892863284539132</v>
      </c>
      <c r="L181" s="161">
        <v>1997</v>
      </c>
      <c r="M181" s="161">
        <f>+L181+1</f>
        <v>1998</v>
      </c>
      <c r="N181" s="161">
        <f>+M181+1</f>
        <v>1999</v>
      </c>
      <c r="O181" s="161">
        <f t="shared" ref="O181:AO181" si="33">+N181+1</f>
        <v>2000</v>
      </c>
      <c r="P181" s="161">
        <f t="shared" si="33"/>
        <v>2001</v>
      </c>
      <c r="Q181" s="161">
        <f t="shared" si="33"/>
        <v>2002</v>
      </c>
      <c r="R181" s="161">
        <f t="shared" si="33"/>
        <v>2003</v>
      </c>
      <c r="S181" s="161">
        <f t="shared" si="33"/>
        <v>2004</v>
      </c>
      <c r="T181" s="161">
        <f t="shared" si="33"/>
        <v>2005</v>
      </c>
      <c r="U181" s="161">
        <f t="shared" si="33"/>
        <v>2006</v>
      </c>
      <c r="V181" s="161">
        <f t="shared" si="33"/>
        <v>2007</v>
      </c>
      <c r="W181" s="161">
        <f t="shared" si="33"/>
        <v>2008</v>
      </c>
      <c r="X181" s="161">
        <f t="shared" si="33"/>
        <v>2009</v>
      </c>
      <c r="Y181" s="161">
        <f t="shared" si="33"/>
        <v>2010</v>
      </c>
      <c r="Z181" s="161">
        <f t="shared" si="33"/>
        <v>2011</v>
      </c>
      <c r="AA181" s="161">
        <f t="shared" si="33"/>
        <v>2012</v>
      </c>
      <c r="AB181" s="161">
        <f t="shared" si="33"/>
        <v>2013</v>
      </c>
      <c r="AC181" s="161">
        <f t="shared" si="33"/>
        <v>2014</v>
      </c>
      <c r="AD181" s="161">
        <f t="shared" si="33"/>
        <v>2015</v>
      </c>
      <c r="AE181" s="161">
        <f t="shared" si="33"/>
        <v>2016</v>
      </c>
      <c r="AF181" s="161">
        <f t="shared" si="33"/>
        <v>2017</v>
      </c>
      <c r="AG181" s="161">
        <f t="shared" si="33"/>
        <v>2018</v>
      </c>
      <c r="AH181" s="161">
        <f t="shared" si="33"/>
        <v>2019</v>
      </c>
      <c r="AI181" s="161">
        <f t="shared" si="33"/>
        <v>2020</v>
      </c>
      <c r="AJ181" s="161">
        <f t="shared" si="33"/>
        <v>2021</v>
      </c>
      <c r="AK181" s="161">
        <f t="shared" si="33"/>
        <v>2022</v>
      </c>
      <c r="AL181" s="161">
        <f t="shared" si="33"/>
        <v>2023</v>
      </c>
      <c r="AM181" s="161">
        <f t="shared" si="33"/>
        <v>2024</v>
      </c>
      <c r="AN181" s="161">
        <f t="shared" si="33"/>
        <v>2025</v>
      </c>
      <c r="AO181" s="161">
        <f t="shared" si="33"/>
        <v>2026</v>
      </c>
    </row>
    <row r="182" spans="1:41" ht="20.100000000000001" customHeight="1">
      <c r="K182" s="161" t="s">
        <v>99</v>
      </c>
      <c r="L182" s="161"/>
      <c r="M182" s="161"/>
      <c r="N182" s="161"/>
      <c r="O182" s="161"/>
      <c r="P182" s="161"/>
      <c r="Q182" s="161"/>
      <c r="R182" s="161"/>
      <c r="S182" s="161"/>
      <c r="T182" s="161"/>
      <c r="U182" s="161"/>
      <c r="V182" s="162">
        <f>+V179</f>
        <v>5531</v>
      </c>
      <c r="W182" s="175">
        <f>+B16</f>
        <v>5317</v>
      </c>
      <c r="X182" s="162">
        <f>B17</f>
        <v>5104</v>
      </c>
      <c r="Y182" s="162">
        <f>B18</f>
        <v>4890</v>
      </c>
      <c r="Z182" s="162">
        <f>B19</f>
        <v>4677</v>
      </c>
      <c r="AA182" s="162">
        <f>B20</f>
        <v>4463</v>
      </c>
      <c r="AB182" s="162">
        <f>B21</f>
        <v>4249</v>
      </c>
      <c r="AC182" s="162">
        <f>B22</f>
        <v>4036</v>
      </c>
      <c r="AD182" s="162">
        <f>B23</f>
        <v>3822</v>
      </c>
      <c r="AE182" s="162">
        <f>B24</f>
        <v>3609</v>
      </c>
      <c r="AF182" s="162">
        <f>B25</f>
        <v>3395</v>
      </c>
      <c r="AG182" s="162">
        <f>B26</f>
        <v>3181</v>
      </c>
      <c r="AH182" s="162">
        <f>B27</f>
        <v>2968</v>
      </c>
      <c r="AI182" s="162">
        <f>B28</f>
        <v>2754</v>
      </c>
      <c r="AJ182" s="162">
        <f>B29</f>
        <v>2541</v>
      </c>
      <c r="AK182" s="162">
        <f>B30</f>
        <v>2327</v>
      </c>
      <c r="AL182" s="162">
        <f>B31</f>
        <v>2113</v>
      </c>
      <c r="AM182" s="162">
        <f>B32</f>
        <v>1900</v>
      </c>
      <c r="AN182" s="162">
        <f>B33</f>
        <v>1686</v>
      </c>
      <c r="AO182" s="161" t="s">
        <v>99</v>
      </c>
    </row>
    <row r="183" spans="1:41" ht="20.100000000000001" customHeight="1">
      <c r="K183" s="161" t="s">
        <v>100</v>
      </c>
      <c r="L183" s="161"/>
      <c r="M183" s="161"/>
      <c r="N183" s="161"/>
      <c r="O183" s="161"/>
      <c r="P183" s="161"/>
      <c r="Q183" s="161"/>
      <c r="R183" s="161"/>
      <c r="S183" s="161"/>
      <c r="T183" s="161"/>
      <c r="U183" s="161"/>
      <c r="V183" s="162">
        <f>+V182</f>
        <v>5531</v>
      </c>
      <c r="W183" s="175">
        <f>+B47</f>
        <v>5303</v>
      </c>
      <c r="X183" s="162">
        <f>B48</f>
        <v>5082</v>
      </c>
      <c r="Y183" s="162">
        <f>B49</f>
        <v>4861</v>
      </c>
      <c r="Z183" s="162">
        <f>B50</f>
        <v>4641</v>
      </c>
      <c r="AA183" s="162">
        <f>B51</f>
        <v>4420</v>
      </c>
      <c r="AB183" s="162">
        <f>B52</f>
        <v>4199</v>
      </c>
      <c r="AC183" s="162">
        <f>B53</f>
        <v>3979</v>
      </c>
      <c r="AD183" s="162">
        <f>B54</f>
        <v>3758</v>
      </c>
      <c r="AE183" s="162">
        <f>B55</f>
        <v>3537</v>
      </c>
      <c r="AF183" s="162">
        <f>B56</f>
        <v>3317</v>
      </c>
      <c r="AG183" s="162">
        <f>B57</f>
        <v>3096</v>
      </c>
      <c r="AH183" s="162">
        <f>B58</f>
        <v>2875</v>
      </c>
      <c r="AI183" s="162">
        <f>B59</f>
        <v>2655</v>
      </c>
      <c r="AJ183" s="162">
        <f>B60</f>
        <v>2434</v>
      </c>
      <c r="AK183" s="162">
        <f>B61</f>
        <v>2214</v>
      </c>
      <c r="AL183" s="162">
        <f>B62</f>
        <v>1993</v>
      </c>
      <c r="AM183" s="162">
        <f>B63</f>
        <v>1772</v>
      </c>
      <c r="AN183" s="162">
        <f>B64</f>
        <v>1552</v>
      </c>
      <c r="AO183" s="161" t="s">
        <v>100</v>
      </c>
    </row>
    <row r="184" spans="1:41" ht="20.100000000000001" customHeight="1">
      <c r="K184" s="161" t="s">
        <v>101</v>
      </c>
      <c r="L184" s="161"/>
      <c r="M184" s="161"/>
      <c r="N184" s="161"/>
      <c r="O184" s="161"/>
      <c r="P184" s="161"/>
      <c r="Q184" s="161"/>
      <c r="R184" s="161"/>
      <c r="S184" s="161"/>
      <c r="T184" s="161"/>
      <c r="U184" s="161"/>
      <c r="V184" s="162">
        <f>+V183</f>
        <v>5531</v>
      </c>
      <c r="W184" s="175">
        <f>+B78</f>
        <v>5353</v>
      </c>
      <c r="X184" s="162">
        <f>B79</f>
        <v>5181</v>
      </c>
      <c r="Y184" s="162">
        <f>B80</f>
        <v>5015</v>
      </c>
      <c r="Z184" s="162">
        <f>B81</f>
        <v>4854</v>
      </c>
      <c r="AA184" s="162">
        <f>B82</f>
        <v>4698</v>
      </c>
      <c r="AB184" s="162">
        <f>B83</f>
        <v>4547</v>
      </c>
      <c r="AC184" s="162">
        <f>B84</f>
        <v>4401</v>
      </c>
      <c r="AD184" s="162">
        <f>B85</f>
        <v>4259</v>
      </c>
      <c r="AE184" s="162">
        <f>B86</f>
        <v>4122</v>
      </c>
      <c r="AF184" s="162">
        <f>B87</f>
        <v>3990</v>
      </c>
      <c r="AG184" s="162">
        <f>B88</f>
        <v>3862</v>
      </c>
      <c r="AH184" s="162">
        <f>B89</f>
        <v>3738</v>
      </c>
      <c r="AI184" s="162">
        <f>B90</f>
        <v>3618</v>
      </c>
      <c r="AJ184" s="162">
        <f>B91</f>
        <v>3501</v>
      </c>
      <c r="AK184" s="162">
        <f>B92</f>
        <v>3389</v>
      </c>
      <c r="AL184" s="162">
        <f>B93</f>
        <v>3280</v>
      </c>
      <c r="AM184" s="162">
        <f>B94</f>
        <v>3175</v>
      </c>
      <c r="AN184" s="162">
        <f>B95</f>
        <v>3073</v>
      </c>
      <c r="AO184" s="161" t="s">
        <v>101</v>
      </c>
    </row>
    <row r="185" spans="1:41" ht="20.100000000000001" customHeight="1">
      <c r="K185" s="161" t="s">
        <v>102</v>
      </c>
      <c r="L185" s="161"/>
      <c r="M185" s="161"/>
      <c r="N185" s="161"/>
      <c r="O185" s="161"/>
      <c r="P185" s="161"/>
      <c r="Q185" s="161"/>
      <c r="R185" s="161"/>
      <c r="S185" s="161"/>
      <c r="T185" s="161"/>
      <c r="U185" s="161"/>
      <c r="V185" s="162">
        <f>+V184</f>
        <v>5531</v>
      </c>
      <c r="W185" s="175"/>
      <c r="X185" s="161"/>
      <c r="Y185" s="161"/>
      <c r="Z185" s="161"/>
      <c r="AA185" s="161"/>
      <c r="AB185" s="161"/>
      <c r="AC185" s="161"/>
      <c r="AD185" s="161"/>
      <c r="AE185" s="161"/>
      <c r="AF185" s="161"/>
      <c r="AG185" s="161"/>
      <c r="AH185" s="161"/>
      <c r="AI185" s="161"/>
      <c r="AJ185" s="161"/>
      <c r="AK185" s="161"/>
      <c r="AL185" s="161"/>
      <c r="AM185" s="161"/>
      <c r="AN185" s="161"/>
      <c r="AO185" s="161" t="s">
        <v>102</v>
      </c>
    </row>
    <row r="186" spans="1:41" ht="20.100000000000001" customHeight="1">
      <c r="K186" s="161" t="s">
        <v>103</v>
      </c>
      <c r="L186" s="161"/>
      <c r="M186" s="161"/>
      <c r="N186" s="161"/>
      <c r="O186" s="161"/>
      <c r="P186" s="161"/>
      <c r="Q186" s="161"/>
      <c r="R186" s="161"/>
      <c r="S186" s="161"/>
      <c r="T186" s="161"/>
      <c r="U186" s="161"/>
      <c r="V186" s="162">
        <f>+V185</f>
        <v>5531</v>
      </c>
      <c r="W186" s="175">
        <f>+B140</f>
        <v>5333</v>
      </c>
      <c r="X186" s="162">
        <f>B141</f>
        <v>5130</v>
      </c>
      <c r="Y186" s="162">
        <f>B142</f>
        <v>4931</v>
      </c>
      <c r="Z186" s="162">
        <f>B143</f>
        <v>4736</v>
      </c>
      <c r="AA186" s="162">
        <f>B144</f>
        <v>4546</v>
      </c>
      <c r="AB186" s="162">
        <f>B145</f>
        <v>4360</v>
      </c>
      <c r="AC186" s="162">
        <f>B146</f>
        <v>4178</v>
      </c>
      <c r="AD186" s="162">
        <f>B147</f>
        <v>4002</v>
      </c>
      <c r="AE186" s="162">
        <f>B148</f>
        <v>3830</v>
      </c>
      <c r="AF186" s="162">
        <f>B149</f>
        <v>3663</v>
      </c>
      <c r="AG186" s="162">
        <f>B150</f>
        <v>3502</v>
      </c>
      <c r="AH186" s="162">
        <f>B151</f>
        <v>3345</v>
      </c>
      <c r="AI186" s="162">
        <f>B152</f>
        <v>3194</v>
      </c>
      <c r="AJ186" s="162">
        <f>B153</f>
        <v>3048</v>
      </c>
      <c r="AK186" s="162">
        <f>B154</f>
        <v>2906</v>
      </c>
      <c r="AL186" s="162">
        <f>B155</f>
        <v>2770</v>
      </c>
      <c r="AM186" s="162">
        <f>B156</f>
        <v>2639</v>
      </c>
      <c r="AN186" s="162">
        <f>B157</f>
        <v>2513</v>
      </c>
      <c r="AO186" s="161" t="s">
        <v>103</v>
      </c>
    </row>
    <row r="187" spans="1:41" ht="20.100000000000001" customHeight="1">
      <c r="K187" s="161" t="s">
        <v>95</v>
      </c>
      <c r="L187" s="161"/>
      <c r="M187" s="161"/>
      <c r="N187" s="161"/>
      <c r="O187" s="161"/>
      <c r="P187" s="161"/>
      <c r="Q187" s="161"/>
      <c r="R187" s="161"/>
      <c r="S187" s="161"/>
      <c r="T187" s="161"/>
      <c r="U187" s="161"/>
      <c r="V187" s="162">
        <f>+V186</f>
        <v>5531</v>
      </c>
      <c r="W187" s="175">
        <f>+G161</f>
        <v>5326.5</v>
      </c>
      <c r="X187" s="206">
        <f>+G162</f>
        <v>5124.3</v>
      </c>
      <c r="Y187" s="206">
        <f>+G163</f>
        <v>4924.3</v>
      </c>
      <c r="Z187" s="206">
        <f>+F164</f>
        <v>4736</v>
      </c>
      <c r="AA187" s="206">
        <f>+F165</f>
        <v>4546</v>
      </c>
      <c r="AB187" s="206">
        <f>+F166</f>
        <v>4360</v>
      </c>
      <c r="AC187" s="206">
        <f>+F167</f>
        <v>4178</v>
      </c>
      <c r="AD187" s="206">
        <f>+F168</f>
        <v>4002</v>
      </c>
      <c r="AE187" s="206">
        <f>+F169</f>
        <v>3830</v>
      </c>
      <c r="AF187" s="206">
        <f>+F170</f>
        <v>3663</v>
      </c>
      <c r="AG187" s="206">
        <f>+F171</f>
        <v>3502</v>
      </c>
      <c r="AH187" s="206">
        <f>+F172</f>
        <v>3345</v>
      </c>
      <c r="AI187" s="206">
        <f>+F173</f>
        <v>3194</v>
      </c>
      <c r="AJ187" s="206">
        <f>+F174</f>
        <v>3048</v>
      </c>
      <c r="AK187" s="206">
        <f>+F175</f>
        <v>2906</v>
      </c>
      <c r="AL187" s="206">
        <f>+F176</f>
        <v>2770</v>
      </c>
      <c r="AM187" s="206">
        <f>+F177</f>
        <v>2639</v>
      </c>
      <c r="AN187" s="206">
        <f>+F178</f>
        <v>2513</v>
      </c>
      <c r="AO187" s="161" t="s">
        <v>95</v>
      </c>
    </row>
    <row r="188" spans="1:41" ht="20.100000000000001" customHeight="1"/>
    <row r="189" spans="1:41" ht="20.100000000000001" customHeight="1"/>
    <row r="190" spans="1:41" ht="20.100000000000001" customHeight="1"/>
    <row r="191" spans="1:41" ht="20.100000000000001" customHeight="1"/>
    <row r="192" spans="1:41" ht="20.100000000000001" customHeight="1"/>
    <row r="193" ht="20.100000000000001" customHeight="1"/>
    <row r="194" ht="20.100000000000001" customHeight="1"/>
    <row r="195" ht="20.100000000000001" customHeight="1"/>
    <row r="196" ht="20.100000000000001" customHeight="1"/>
    <row r="197" ht="20.100000000000001" customHeight="1"/>
    <row r="198" ht="20.100000000000001" customHeight="1"/>
    <row r="199" ht="20.100000000000001" customHeight="1"/>
    <row r="200" ht="20.100000000000001" customHeight="1"/>
    <row r="201" ht="20.100000000000001" customHeight="1"/>
    <row r="202" ht="20.100000000000001" customHeight="1"/>
    <row r="203" ht="20.100000000000001" customHeight="1"/>
    <row r="204" ht="20.100000000000001" customHeight="1"/>
  </sheetData>
  <phoneticPr fontId="50" type="noConversion"/>
  <pageMargins left="0.74803149606299213" right="0.74803149606299213" top="0.78740157480314965" bottom="0.78740157480314965" header="0.51181102362204722" footer="0.51181102362204722"/>
  <pageSetup paperSize="9" scale="70" fitToHeight="3" orientation="portrait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>
  <sheetPr codeName="Sheet41">
    <tabColor indexed="45"/>
  </sheetPr>
  <dimension ref="A1:AO179"/>
  <sheetViews>
    <sheetView workbookViewId="0"/>
  </sheetViews>
  <sheetFormatPr defaultRowHeight="15" customHeight="1"/>
  <cols>
    <col min="1" max="1" width="8.88671875" style="55"/>
    <col min="2" max="2" width="9.21875" style="55" customWidth="1"/>
    <col min="3" max="3" width="9.5546875" style="55" customWidth="1"/>
    <col min="4" max="4" width="9" style="55" customWidth="1"/>
    <col min="5" max="5" width="11.33203125" style="55" customWidth="1"/>
    <col min="6" max="6" width="9.44140625" style="55" customWidth="1"/>
    <col min="7" max="7" width="15.109375" style="55" bestFit="1" customWidth="1"/>
    <col min="8" max="8" width="12.88671875" style="55" bestFit="1" customWidth="1"/>
    <col min="9" max="9" width="11.5546875" style="55" bestFit="1" customWidth="1"/>
    <col min="10" max="16384" width="8.88671875" style="55"/>
  </cols>
  <sheetData>
    <row r="1" spans="1:12" ht="15" customHeight="1">
      <c r="A1" s="54" t="s">
        <v>303</v>
      </c>
    </row>
    <row r="2" spans="1:12" ht="15" customHeight="1">
      <c r="A2" s="54"/>
    </row>
    <row r="3" spans="1:12" ht="15" customHeight="1">
      <c r="A3" s="56" t="s">
        <v>74</v>
      </c>
      <c r="B3" s="57"/>
    </row>
    <row r="4" spans="1:12" ht="15" customHeight="1">
      <c r="A4" s="58" t="s">
        <v>32</v>
      </c>
      <c r="B4" s="59" t="s">
        <v>40</v>
      </c>
      <c r="C4" s="59" t="s">
        <v>33</v>
      </c>
      <c r="D4" s="60"/>
      <c r="E4" s="60"/>
      <c r="F4" s="61"/>
      <c r="G4" s="62"/>
      <c r="H4" s="63" t="s">
        <v>250</v>
      </c>
      <c r="I4" s="64">
        <f>RSQ(I6:I11,B6:B11)</f>
        <v>0.87018134690751381</v>
      </c>
    </row>
    <row r="5" spans="1:12" ht="15" customHeight="1">
      <c r="A5" s="176">
        <v>2002</v>
      </c>
      <c r="B5" s="183">
        <f>+동호동10!B10</f>
        <v>6429</v>
      </c>
      <c r="C5" s="177">
        <v>0</v>
      </c>
      <c r="D5" s="178"/>
      <c r="E5" s="178"/>
      <c r="F5" s="179"/>
      <c r="G5" s="262"/>
      <c r="H5" s="263"/>
      <c r="I5" s="70">
        <f t="shared" ref="I5:I28" si="0">$E$6*C5+$E$7</f>
        <v>6429</v>
      </c>
    </row>
    <row r="6" spans="1:12" ht="15" customHeight="1">
      <c r="A6" s="65">
        <v>2003</v>
      </c>
      <c r="B6" s="184">
        <f>+동호동10!B11</f>
        <v>6136</v>
      </c>
      <c r="C6" s="67">
        <f>+C5+1</f>
        <v>1</v>
      </c>
      <c r="D6" s="53" t="s">
        <v>75</v>
      </c>
      <c r="E6" s="68">
        <f>(B10-B5)/C10</f>
        <v>-179.6</v>
      </c>
      <c r="F6" s="69"/>
      <c r="G6" s="53"/>
      <c r="H6" s="69"/>
      <c r="I6" s="70">
        <f t="shared" si="0"/>
        <v>6249.4</v>
      </c>
      <c r="J6" s="71">
        <v>570570</v>
      </c>
      <c r="K6" s="55">
        <v>570570</v>
      </c>
      <c r="L6" s="55">
        <v>766</v>
      </c>
    </row>
    <row r="7" spans="1:12" ht="15" customHeight="1">
      <c r="A7" s="65">
        <v>2004</v>
      </c>
      <c r="B7" s="184">
        <f>+동호동10!B12</f>
        <v>6182</v>
      </c>
      <c r="C7" s="67">
        <f t="shared" ref="C7:C28" si="1">C6+1</f>
        <v>2</v>
      </c>
      <c r="D7" s="53" t="s">
        <v>76</v>
      </c>
      <c r="E7" s="72">
        <f>B5</f>
        <v>6429</v>
      </c>
      <c r="F7" s="69"/>
      <c r="G7" s="53"/>
      <c r="H7" s="69"/>
      <c r="I7" s="70">
        <f t="shared" si="0"/>
        <v>6069.8</v>
      </c>
      <c r="J7" s="71">
        <v>583230</v>
      </c>
      <c r="K7" s="55">
        <v>583230</v>
      </c>
      <c r="L7" s="55">
        <v>1094</v>
      </c>
    </row>
    <row r="8" spans="1:12" ht="15" customHeight="1">
      <c r="A8" s="65">
        <v>2005</v>
      </c>
      <c r="B8" s="184">
        <f>+동호동10!B13</f>
        <v>6155</v>
      </c>
      <c r="C8" s="67">
        <f t="shared" si="1"/>
        <v>3</v>
      </c>
      <c r="D8" s="53" t="s">
        <v>77</v>
      </c>
      <c r="E8" s="73">
        <f>I4</f>
        <v>0.87018134690751381</v>
      </c>
      <c r="F8" s="69"/>
      <c r="G8" s="53"/>
      <c r="H8" s="69"/>
      <c r="I8" s="70">
        <f t="shared" si="0"/>
        <v>5890.2</v>
      </c>
      <c r="J8" s="71">
        <v>590162</v>
      </c>
      <c r="K8" s="55">
        <v>590162</v>
      </c>
      <c r="L8" s="55">
        <v>1277</v>
      </c>
    </row>
    <row r="9" spans="1:12" ht="15" customHeight="1">
      <c r="A9" s="65">
        <v>2006</v>
      </c>
      <c r="B9" s="184">
        <f>+동호동10!B14</f>
        <v>5800</v>
      </c>
      <c r="C9" s="67">
        <f t="shared" si="1"/>
        <v>4</v>
      </c>
      <c r="D9" s="53"/>
      <c r="E9" s="53"/>
      <c r="F9" s="69"/>
      <c r="G9" s="53"/>
      <c r="H9" s="69"/>
      <c r="I9" s="70">
        <f t="shared" si="0"/>
        <v>5710.6</v>
      </c>
      <c r="J9" s="71">
        <v>600343</v>
      </c>
      <c r="K9" s="55">
        <v>600343</v>
      </c>
      <c r="L9" s="55">
        <v>1147</v>
      </c>
    </row>
    <row r="10" spans="1:12" ht="15" customHeight="1" thickBot="1">
      <c r="A10" s="97">
        <v>2007</v>
      </c>
      <c r="B10" s="185">
        <f>+동호동10!B15</f>
        <v>5531</v>
      </c>
      <c r="C10" s="99">
        <f t="shared" si="1"/>
        <v>5</v>
      </c>
      <c r="D10" s="101" t="s">
        <v>73</v>
      </c>
      <c r="E10" s="101"/>
      <c r="F10" s="100"/>
      <c r="G10" s="101"/>
      <c r="H10" s="100"/>
      <c r="I10" s="102">
        <f t="shared" si="0"/>
        <v>5531</v>
      </c>
      <c r="J10" s="71">
        <v>611921</v>
      </c>
      <c r="K10" s="55">
        <v>611921</v>
      </c>
      <c r="L10" s="55">
        <v>1355</v>
      </c>
    </row>
    <row r="11" spans="1:12" ht="15" customHeight="1" thickTop="1">
      <c r="A11" s="255">
        <v>2008</v>
      </c>
      <c r="B11" s="81">
        <f t="shared" ref="B11:B28" si="2">ROUND($E$6*C11+$E$7,0)</f>
        <v>5351</v>
      </c>
      <c r="C11" s="77">
        <f t="shared" si="1"/>
        <v>6</v>
      </c>
      <c r="D11" s="256"/>
      <c r="E11" s="256"/>
      <c r="F11" s="78"/>
      <c r="G11" s="256"/>
      <c r="H11" s="78"/>
      <c r="I11" s="79">
        <f t="shared" si="0"/>
        <v>5351.4</v>
      </c>
      <c r="J11" s="74">
        <v>622238</v>
      </c>
      <c r="K11" s="55">
        <v>622238</v>
      </c>
      <c r="L11" s="55">
        <v>1717</v>
      </c>
    </row>
    <row r="12" spans="1:12" ht="15" customHeight="1">
      <c r="A12" s="80">
        <v>2009</v>
      </c>
      <c r="B12" s="81">
        <f t="shared" si="2"/>
        <v>5172</v>
      </c>
      <c r="C12" s="67">
        <f t="shared" si="1"/>
        <v>7</v>
      </c>
      <c r="D12" s="69"/>
      <c r="E12" s="69"/>
      <c r="F12" s="69"/>
      <c r="G12" s="69"/>
      <c r="H12" s="69"/>
      <c r="I12" s="70">
        <f t="shared" si="0"/>
        <v>5171.8</v>
      </c>
    </row>
    <row r="13" spans="1:12" ht="15" customHeight="1">
      <c r="A13" s="186">
        <v>2010</v>
      </c>
      <c r="B13" s="187">
        <f t="shared" si="2"/>
        <v>4992</v>
      </c>
      <c r="C13" s="188">
        <f t="shared" si="1"/>
        <v>8</v>
      </c>
      <c r="D13" s="189"/>
      <c r="E13" s="189"/>
      <c r="F13" s="189"/>
      <c r="G13" s="189"/>
      <c r="H13" s="189"/>
      <c r="I13" s="190">
        <f t="shared" si="0"/>
        <v>4992.2</v>
      </c>
    </row>
    <row r="14" spans="1:12" ht="15" customHeight="1">
      <c r="A14" s="80">
        <v>2011</v>
      </c>
      <c r="B14" s="81">
        <f t="shared" si="2"/>
        <v>4813</v>
      </c>
      <c r="C14" s="82">
        <f t="shared" si="1"/>
        <v>9</v>
      </c>
      <c r="D14" s="69"/>
      <c r="E14" s="69"/>
      <c r="F14" s="69"/>
      <c r="G14" s="69"/>
      <c r="H14" s="69"/>
      <c r="I14" s="70">
        <f t="shared" si="0"/>
        <v>4812.6000000000004</v>
      </c>
    </row>
    <row r="15" spans="1:12" ht="15" customHeight="1">
      <c r="A15" s="80">
        <v>2012</v>
      </c>
      <c r="B15" s="81">
        <f t="shared" si="2"/>
        <v>4633</v>
      </c>
      <c r="C15" s="82">
        <f t="shared" si="1"/>
        <v>10</v>
      </c>
      <c r="D15" s="69"/>
      <c r="E15" s="69"/>
      <c r="F15" s="69"/>
      <c r="G15" s="69"/>
      <c r="H15" s="69"/>
      <c r="I15" s="70">
        <f t="shared" si="0"/>
        <v>4633</v>
      </c>
    </row>
    <row r="16" spans="1:12" ht="15" customHeight="1">
      <c r="A16" s="80">
        <v>2013</v>
      </c>
      <c r="B16" s="81">
        <f t="shared" si="2"/>
        <v>4453</v>
      </c>
      <c r="C16" s="82">
        <f t="shared" si="1"/>
        <v>11</v>
      </c>
      <c r="D16" s="69"/>
      <c r="E16" s="69"/>
      <c r="F16" s="69"/>
      <c r="G16" s="69"/>
      <c r="H16" s="69"/>
      <c r="I16" s="70">
        <f t="shared" si="0"/>
        <v>4453.3999999999996</v>
      </c>
    </row>
    <row r="17" spans="1:9" ht="15" customHeight="1">
      <c r="A17" s="80">
        <v>2014</v>
      </c>
      <c r="B17" s="81">
        <f t="shared" si="2"/>
        <v>4274</v>
      </c>
      <c r="C17" s="82">
        <f t="shared" si="1"/>
        <v>12</v>
      </c>
      <c r="D17" s="69"/>
      <c r="E17" s="69"/>
      <c r="F17" s="69"/>
      <c r="G17" s="69"/>
      <c r="H17" s="69"/>
      <c r="I17" s="70">
        <f t="shared" si="0"/>
        <v>4273.8</v>
      </c>
    </row>
    <row r="18" spans="1:9" ht="15" customHeight="1">
      <c r="A18" s="186">
        <v>2015</v>
      </c>
      <c r="B18" s="187">
        <f t="shared" si="2"/>
        <v>4094</v>
      </c>
      <c r="C18" s="188">
        <f t="shared" si="1"/>
        <v>13</v>
      </c>
      <c r="D18" s="189"/>
      <c r="E18" s="189"/>
      <c r="F18" s="189"/>
      <c r="G18" s="189"/>
      <c r="H18" s="189"/>
      <c r="I18" s="190">
        <f t="shared" si="0"/>
        <v>4094.2000000000003</v>
      </c>
    </row>
    <row r="19" spans="1:9" ht="15" customHeight="1">
      <c r="A19" s="80">
        <v>2016</v>
      </c>
      <c r="B19" s="81">
        <f t="shared" si="2"/>
        <v>3915</v>
      </c>
      <c r="C19" s="82">
        <f t="shared" si="1"/>
        <v>14</v>
      </c>
      <c r="D19" s="69"/>
      <c r="E19" s="69"/>
      <c r="F19" s="69"/>
      <c r="G19" s="69"/>
      <c r="H19" s="69"/>
      <c r="I19" s="70">
        <f t="shared" si="0"/>
        <v>3914.6</v>
      </c>
    </row>
    <row r="20" spans="1:9" ht="15" customHeight="1">
      <c r="A20" s="80">
        <v>2017</v>
      </c>
      <c r="B20" s="81">
        <f t="shared" si="2"/>
        <v>3735</v>
      </c>
      <c r="C20" s="82">
        <f t="shared" si="1"/>
        <v>15</v>
      </c>
      <c r="D20" s="69"/>
      <c r="E20" s="69"/>
      <c r="F20" s="69"/>
      <c r="G20" s="69"/>
      <c r="H20" s="69"/>
      <c r="I20" s="70">
        <f t="shared" si="0"/>
        <v>3735</v>
      </c>
    </row>
    <row r="21" spans="1:9" ht="15" customHeight="1">
      <c r="A21" s="80">
        <v>2018</v>
      </c>
      <c r="B21" s="81">
        <f t="shared" si="2"/>
        <v>3555</v>
      </c>
      <c r="C21" s="82">
        <f t="shared" si="1"/>
        <v>16</v>
      </c>
      <c r="D21" s="69"/>
      <c r="E21" s="69"/>
      <c r="F21" s="69"/>
      <c r="G21" s="69"/>
      <c r="H21" s="69"/>
      <c r="I21" s="70">
        <f t="shared" si="0"/>
        <v>3555.4</v>
      </c>
    </row>
    <row r="22" spans="1:9" ht="15" customHeight="1">
      <c r="A22" s="80">
        <v>2019</v>
      </c>
      <c r="B22" s="81">
        <f t="shared" si="2"/>
        <v>3376</v>
      </c>
      <c r="C22" s="82">
        <f t="shared" si="1"/>
        <v>17</v>
      </c>
      <c r="D22" s="69"/>
      <c r="E22" s="69"/>
      <c r="F22" s="69"/>
      <c r="G22" s="69"/>
      <c r="H22" s="69"/>
      <c r="I22" s="70">
        <f t="shared" si="0"/>
        <v>3375.8</v>
      </c>
    </row>
    <row r="23" spans="1:9" ht="15" customHeight="1">
      <c r="A23" s="186">
        <v>2020</v>
      </c>
      <c r="B23" s="187">
        <f t="shared" si="2"/>
        <v>3196</v>
      </c>
      <c r="C23" s="188">
        <f t="shared" si="1"/>
        <v>18</v>
      </c>
      <c r="D23" s="189"/>
      <c r="E23" s="189"/>
      <c r="F23" s="189"/>
      <c r="G23" s="189"/>
      <c r="H23" s="189"/>
      <c r="I23" s="190">
        <f t="shared" si="0"/>
        <v>3196.2000000000003</v>
      </c>
    </row>
    <row r="24" spans="1:9" ht="15" customHeight="1">
      <c r="A24" s="80">
        <v>2021</v>
      </c>
      <c r="B24" s="81">
        <f t="shared" si="2"/>
        <v>3017</v>
      </c>
      <c r="C24" s="82">
        <f t="shared" si="1"/>
        <v>19</v>
      </c>
      <c r="D24" s="69"/>
      <c r="E24" s="69"/>
      <c r="F24" s="69"/>
      <c r="G24" s="69"/>
      <c r="H24" s="69"/>
      <c r="I24" s="70">
        <f t="shared" si="0"/>
        <v>3016.6</v>
      </c>
    </row>
    <row r="25" spans="1:9" ht="15" customHeight="1">
      <c r="A25" s="80">
        <v>2022</v>
      </c>
      <c r="B25" s="81">
        <f t="shared" si="2"/>
        <v>2837</v>
      </c>
      <c r="C25" s="82">
        <f t="shared" si="1"/>
        <v>20</v>
      </c>
      <c r="D25" s="69"/>
      <c r="E25" s="69"/>
      <c r="F25" s="69"/>
      <c r="G25" s="69"/>
      <c r="H25" s="69"/>
      <c r="I25" s="70">
        <f t="shared" si="0"/>
        <v>2837</v>
      </c>
    </row>
    <row r="26" spans="1:9" ht="15" customHeight="1">
      <c r="A26" s="80">
        <v>2023</v>
      </c>
      <c r="B26" s="81">
        <f t="shared" si="2"/>
        <v>2657</v>
      </c>
      <c r="C26" s="82">
        <f t="shared" si="1"/>
        <v>21</v>
      </c>
      <c r="D26" s="69"/>
      <c r="E26" s="69"/>
      <c r="F26" s="69"/>
      <c r="G26" s="69"/>
      <c r="H26" s="69"/>
      <c r="I26" s="70">
        <f t="shared" si="0"/>
        <v>2657.4</v>
      </c>
    </row>
    <row r="27" spans="1:9" ht="15" customHeight="1">
      <c r="A27" s="80">
        <v>2024</v>
      </c>
      <c r="B27" s="81">
        <f t="shared" si="2"/>
        <v>2478</v>
      </c>
      <c r="C27" s="67">
        <f t="shared" si="1"/>
        <v>22</v>
      </c>
      <c r="D27" s="83"/>
      <c r="E27" s="69"/>
      <c r="F27" s="69"/>
      <c r="G27" s="69"/>
      <c r="H27" s="84"/>
      <c r="I27" s="70">
        <f t="shared" si="0"/>
        <v>2477.8000000000002</v>
      </c>
    </row>
    <row r="28" spans="1:9" ht="15" customHeight="1">
      <c r="A28" s="191">
        <v>2025</v>
      </c>
      <c r="B28" s="192">
        <f t="shared" si="2"/>
        <v>2298</v>
      </c>
      <c r="C28" s="193">
        <f t="shared" si="1"/>
        <v>23</v>
      </c>
      <c r="D28" s="194"/>
      <c r="E28" s="195"/>
      <c r="F28" s="195"/>
      <c r="G28" s="195"/>
      <c r="H28" s="196"/>
      <c r="I28" s="197">
        <f t="shared" si="0"/>
        <v>2298.1999999999998</v>
      </c>
    </row>
    <row r="29" spans="1:9" ht="15" customHeight="1">
      <c r="A29" s="56" t="s">
        <v>78</v>
      </c>
      <c r="B29" s="92"/>
      <c r="I29" s="89"/>
    </row>
    <row r="30" spans="1:9" ht="15" customHeight="1">
      <c r="A30" s="58" t="s">
        <v>32</v>
      </c>
      <c r="B30" s="59" t="s">
        <v>40</v>
      </c>
      <c r="C30" s="59" t="s">
        <v>33</v>
      </c>
      <c r="D30" s="60"/>
      <c r="E30" s="60"/>
      <c r="F30" s="61"/>
      <c r="G30" s="62"/>
      <c r="H30" s="63" t="s">
        <v>250</v>
      </c>
      <c r="I30" s="64">
        <f>RSQ(I32:I37,B32:B37)</f>
        <v>0.8555985823559672</v>
      </c>
    </row>
    <row r="31" spans="1:9" ht="15" customHeight="1">
      <c r="A31" s="65">
        <v>2002</v>
      </c>
      <c r="B31" s="93">
        <f t="shared" ref="B31:B36" si="3">B5</f>
        <v>6429</v>
      </c>
      <c r="C31" s="67">
        <v>0</v>
      </c>
      <c r="D31" s="53"/>
      <c r="E31" s="53"/>
      <c r="F31" s="69"/>
      <c r="G31" s="264"/>
      <c r="H31" s="265"/>
      <c r="I31" s="94">
        <f t="shared" ref="I31:I54" si="4">$E$32*C31+$E$33</f>
        <v>6433.4761904761899</v>
      </c>
    </row>
    <row r="32" spans="1:9" ht="15" customHeight="1">
      <c r="A32" s="65">
        <f t="shared" ref="A32:A37" si="5">A6</f>
        <v>2003</v>
      </c>
      <c r="B32" s="93">
        <f t="shared" si="3"/>
        <v>6136</v>
      </c>
      <c r="C32" s="67">
        <f>+C31+1</f>
        <v>1</v>
      </c>
      <c r="D32" s="53" t="s">
        <v>75</v>
      </c>
      <c r="E32" s="68">
        <f>INDEX(LINEST(B31:B36,C31:C36),1)</f>
        <v>-157.8571428571428</v>
      </c>
      <c r="F32" s="69"/>
      <c r="G32" s="53"/>
      <c r="H32" s="69"/>
      <c r="I32" s="70">
        <f t="shared" si="4"/>
        <v>6275.6190476190468</v>
      </c>
    </row>
    <row r="33" spans="1:9" ht="15" customHeight="1">
      <c r="A33" s="65">
        <f t="shared" si="5"/>
        <v>2004</v>
      </c>
      <c r="B33" s="93">
        <f t="shared" si="3"/>
        <v>6182</v>
      </c>
      <c r="C33" s="67">
        <f t="shared" ref="C33:C54" si="6">C32+1</f>
        <v>2</v>
      </c>
      <c r="D33" s="53" t="s">
        <v>76</v>
      </c>
      <c r="E33" s="72">
        <f>INDEX(LINEST(B31:B36,C31:C36),2)</f>
        <v>6433.4761904761899</v>
      </c>
      <c r="F33" s="69"/>
      <c r="G33" s="53"/>
      <c r="H33" s="69"/>
      <c r="I33" s="70">
        <f t="shared" si="4"/>
        <v>6117.7619047619046</v>
      </c>
    </row>
    <row r="34" spans="1:9" ht="15" customHeight="1">
      <c r="A34" s="65">
        <f t="shared" si="5"/>
        <v>2005</v>
      </c>
      <c r="B34" s="93">
        <f t="shared" si="3"/>
        <v>6155</v>
      </c>
      <c r="C34" s="67">
        <f t="shared" si="6"/>
        <v>3</v>
      </c>
      <c r="D34" s="53" t="s">
        <v>77</v>
      </c>
      <c r="E34" s="73">
        <f>I30</f>
        <v>0.8555985823559672</v>
      </c>
      <c r="F34" s="69"/>
      <c r="G34" s="53"/>
      <c r="H34" s="69"/>
      <c r="I34" s="70">
        <f t="shared" si="4"/>
        <v>5959.9047619047615</v>
      </c>
    </row>
    <row r="35" spans="1:9" ht="15" customHeight="1">
      <c r="A35" s="65">
        <f t="shared" si="5"/>
        <v>2006</v>
      </c>
      <c r="B35" s="93">
        <f t="shared" si="3"/>
        <v>5800</v>
      </c>
      <c r="C35" s="67">
        <f t="shared" si="6"/>
        <v>4</v>
      </c>
      <c r="D35" s="53"/>
      <c r="E35" s="53"/>
      <c r="F35" s="69"/>
      <c r="G35" s="53"/>
      <c r="H35" s="69"/>
      <c r="I35" s="70">
        <f t="shared" si="4"/>
        <v>5802.0476190476184</v>
      </c>
    </row>
    <row r="36" spans="1:9" ht="15" customHeight="1" thickBot="1">
      <c r="A36" s="97">
        <f t="shared" si="5"/>
        <v>2007</v>
      </c>
      <c r="B36" s="98">
        <f t="shared" si="3"/>
        <v>5531</v>
      </c>
      <c r="C36" s="99">
        <f t="shared" si="6"/>
        <v>5</v>
      </c>
      <c r="D36" s="101" t="s">
        <v>73</v>
      </c>
      <c r="E36" s="101"/>
      <c r="F36" s="100"/>
      <c r="G36" s="270"/>
      <c r="H36" s="100"/>
      <c r="I36" s="102">
        <f t="shared" si="4"/>
        <v>5644.1904761904761</v>
      </c>
    </row>
    <row r="37" spans="1:9" ht="15" customHeight="1" thickTop="1">
      <c r="A37" s="255">
        <f t="shared" si="5"/>
        <v>2008</v>
      </c>
      <c r="B37" s="81">
        <f t="shared" ref="B37:B54" si="7">ROUND(E$32*C37+E$33,0)</f>
        <v>5486</v>
      </c>
      <c r="C37" s="77">
        <f t="shared" si="6"/>
        <v>6</v>
      </c>
      <c r="D37" s="256"/>
      <c r="E37" s="256"/>
      <c r="F37" s="78"/>
      <c r="G37" s="256"/>
      <c r="H37" s="78"/>
      <c r="I37" s="79">
        <f t="shared" si="4"/>
        <v>5486.333333333333</v>
      </c>
    </row>
    <row r="38" spans="1:9" ht="15" customHeight="1">
      <c r="A38" s="80">
        <v>2009</v>
      </c>
      <c r="B38" s="81">
        <f t="shared" si="7"/>
        <v>5328</v>
      </c>
      <c r="C38" s="67">
        <f t="shared" si="6"/>
        <v>7</v>
      </c>
      <c r="D38" s="69"/>
      <c r="E38" s="69"/>
      <c r="F38" s="69"/>
      <c r="G38" s="69"/>
      <c r="H38" s="69"/>
      <c r="I38" s="70">
        <f t="shared" si="4"/>
        <v>5328.4761904761908</v>
      </c>
    </row>
    <row r="39" spans="1:9" ht="15" customHeight="1">
      <c r="A39" s="186">
        <v>2010</v>
      </c>
      <c r="B39" s="187">
        <f t="shared" si="7"/>
        <v>5171</v>
      </c>
      <c r="C39" s="188">
        <f t="shared" si="6"/>
        <v>8</v>
      </c>
      <c r="D39" s="189"/>
      <c r="E39" s="189"/>
      <c r="F39" s="189"/>
      <c r="G39" s="189"/>
      <c r="H39" s="189"/>
      <c r="I39" s="190">
        <f t="shared" si="4"/>
        <v>5170.6190476190477</v>
      </c>
    </row>
    <row r="40" spans="1:9" ht="15" customHeight="1">
      <c r="A40" s="80">
        <v>2011</v>
      </c>
      <c r="B40" s="81">
        <f t="shared" si="7"/>
        <v>5013</v>
      </c>
      <c r="C40" s="82">
        <f t="shared" si="6"/>
        <v>9</v>
      </c>
      <c r="D40" s="69"/>
      <c r="E40" s="69"/>
      <c r="F40" s="69"/>
      <c r="G40" s="69"/>
      <c r="H40" s="69"/>
      <c r="I40" s="70">
        <f t="shared" si="4"/>
        <v>5012.7619047619046</v>
      </c>
    </row>
    <row r="41" spans="1:9" ht="15" customHeight="1">
      <c r="A41" s="80">
        <v>2012</v>
      </c>
      <c r="B41" s="81">
        <f t="shared" si="7"/>
        <v>4855</v>
      </c>
      <c r="C41" s="82">
        <f t="shared" si="6"/>
        <v>10</v>
      </c>
      <c r="D41" s="69"/>
      <c r="E41" s="69"/>
      <c r="F41" s="69"/>
      <c r="G41" s="69"/>
      <c r="H41" s="69"/>
      <c r="I41" s="70">
        <f t="shared" si="4"/>
        <v>4854.9047619047615</v>
      </c>
    </row>
    <row r="42" spans="1:9" ht="15" customHeight="1">
      <c r="A42" s="80">
        <v>2013</v>
      </c>
      <c r="B42" s="81">
        <f t="shared" si="7"/>
        <v>4697</v>
      </c>
      <c r="C42" s="82">
        <f t="shared" si="6"/>
        <v>11</v>
      </c>
      <c r="D42" s="69"/>
      <c r="E42" s="69"/>
      <c r="F42" s="69"/>
      <c r="G42" s="69"/>
      <c r="H42" s="69"/>
      <c r="I42" s="70">
        <f t="shared" si="4"/>
        <v>4697.0476190476193</v>
      </c>
    </row>
    <row r="43" spans="1:9" ht="15" customHeight="1">
      <c r="A43" s="80">
        <v>2014</v>
      </c>
      <c r="B43" s="81">
        <f t="shared" si="7"/>
        <v>4539</v>
      </c>
      <c r="C43" s="82">
        <f t="shared" si="6"/>
        <v>12</v>
      </c>
      <c r="D43" s="69"/>
      <c r="E43" s="69"/>
      <c r="F43" s="69"/>
      <c r="G43" s="69"/>
      <c r="H43" s="69"/>
      <c r="I43" s="70">
        <f t="shared" si="4"/>
        <v>4539.1904761904761</v>
      </c>
    </row>
    <row r="44" spans="1:9" ht="15" customHeight="1">
      <c r="A44" s="186">
        <v>2015</v>
      </c>
      <c r="B44" s="187">
        <f t="shared" si="7"/>
        <v>4381</v>
      </c>
      <c r="C44" s="188">
        <f t="shared" si="6"/>
        <v>13</v>
      </c>
      <c r="D44" s="189"/>
      <c r="E44" s="189"/>
      <c r="F44" s="189"/>
      <c r="G44" s="189"/>
      <c r="H44" s="189"/>
      <c r="I44" s="190">
        <f t="shared" si="4"/>
        <v>4381.3333333333339</v>
      </c>
    </row>
    <row r="45" spans="1:9" ht="15" customHeight="1">
      <c r="A45" s="80">
        <v>2016</v>
      </c>
      <c r="B45" s="81">
        <f t="shared" si="7"/>
        <v>4223</v>
      </c>
      <c r="C45" s="82">
        <f t="shared" si="6"/>
        <v>14</v>
      </c>
      <c r="D45" s="69"/>
      <c r="E45" s="69"/>
      <c r="F45" s="69"/>
      <c r="G45" s="69"/>
      <c r="H45" s="69"/>
      <c r="I45" s="70">
        <f t="shared" si="4"/>
        <v>4223.4761904761908</v>
      </c>
    </row>
    <row r="46" spans="1:9" ht="15" customHeight="1">
      <c r="A46" s="80">
        <v>2017</v>
      </c>
      <c r="B46" s="81">
        <f t="shared" si="7"/>
        <v>4066</v>
      </c>
      <c r="C46" s="82">
        <f t="shared" si="6"/>
        <v>15</v>
      </c>
      <c r="D46" s="69"/>
      <c r="E46" s="69"/>
      <c r="F46" s="69"/>
      <c r="G46" s="69"/>
      <c r="H46" s="69"/>
      <c r="I46" s="70">
        <f t="shared" si="4"/>
        <v>4065.6190476190477</v>
      </c>
    </row>
    <row r="47" spans="1:9" ht="15" customHeight="1">
      <c r="A47" s="80">
        <v>2018</v>
      </c>
      <c r="B47" s="81">
        <f t="shared" si="7"/>
        <v>3908</v>
      </c>
      <c r="C47" s="82">
        <f t="shared" si="6"/>
        <v>16</v>
      </c>
      <c r="D47" s="69"/>
      <c r="E47" s="69"/>
      <c r="F47" s="69"/>
      <c r="G47" s="69"/>
      <c r="H47" s="69"/>
      <c r="I47" s="70">
        <f t="shared" si="4"/>
        <v>3907.761904761905</v>
      </c>
    </row>
    <row r="48" spans="1:9" ht="15" customHeight="1">
      <c r="A48" s="80">
        <v>2019</v>
      </c>
      <c r="B48" s="81">
        <f t="shared" si="7"/>
        <v>3750</v>
      </c>
      <c r="C48" s="82">
        <f t="shared" si="6"/>
        <v>17</v>
      </c>
      <c r="D48" s="69"/>
      <c r="E48" s="69"/>
      <c r="F48" s="69"/>
      <c r="G48" s="69"/>
      <c r="H48" s="69"/>
      <c r="I48" s="70">
        <f t="shared" si="4"/>
        <v>3749.9047619047624</v>
      </c>
    </row>
    <row r="49" spans="1:11" ht="15" customHeight="1">
      <c r="A49" s="186">
        <v>2020</v>
      </c>
      <c r="B49" s="187">
        <f t="shared" si="7"/>
        <v>3592</v>
      </c>
      <c r="C49" s="188">
        <f t="shared" si="6"/>
        <v>18</v>
      </c>
      <c r="D49" s="189"/>
      <c r="E49" s="189"/>
      <c r="F49" s="189"/>
      <c r="G49" s="189"/>
      <c r="H49" s="189"/>
      <c r="I49" s="190">
        <f t="shared" si="4"/>
        <v>3592.0476190476193</v>
      </c>
    </row>
    <row r="50" spans="1:11" ht="15" customHeight="1">
      <c r="A50" s="80">
        <v>2021</v>
      </c>
      <c r="B50" s="81">
        <f t="shared" si="7"/>
        <v>3434</v>
      </c>
      <c r="C50" s="82">
        <f t="shared" si="6"/>
        <v>19</v>
      </c>
      <c r="D50" s="69"/>
      <c r="E50" s="69"/>
      <c r="F50" s="69"/>
      <c r="G50" s="69"/>
      <c r="H50" s="69"/>
      <c r="I50" s="70">
        <f t="shared" si="4"/>
        <v>3434.1904761904766</v>
      </c>
    </row>
    <row r="51" spans="1:11" ht="15" customHeight="1">
      <c r="A51" s="80">
        <v>2022</v>
      </c>
      <c r="B51" s="81">
        <f t="shared" si="7"/>
        <v>3276</v>
      </c>
      <c r="C51" s="82">
        <f t="shared" si="6"/>
        <v>20</v>
      </c>
      <c r="D51" s="69"/>
      <c r="E51" s="69"/>
      <c r="F51" s="69"/>
      <c r="G51" s="69"/>
      <c r="H51" s="69"/>
      <c r="I51" s="70">
        <f t="shared" si="4"/>
        <v>3276.3333333333339</v>
      </c>
    </row>
    <row r="52" spans="1:11" ht="15" customHeight="1">
      <c r="A52" s="80">
        <v>2023</v>
      </c>
      <c r="B52" s="81">
        <f t="shared" si="7"/>
        <v>3118</v>
      </c>
      <c r="C52" s="82">
        <f t="shared" si="6"/>
        <v>21</v>
      </c>
      <c r="D52" s="69"/>
      <c r="E52" s="69"/>
      <c r="F52" s="69"/>
      <c r="G52" s="69"/>
      <c r="H52" s="69"/>
      <c r="I52" s="70">
        <f t="shared" si="4"/>
        <v>3118.4761904761908</v>
      </c>
    </row>
    <row r="53" spans="1:11" ht="15" customHeight="1">
      <c r="A53" s="80">
        <v>2024</v>
      </c>
      <c r="B53" s="81">
        <f t="shared" si="7"/>
        <v>2961</v>
      </c>
      <c r="C53" s="67">
        <f t="shared" si="6"/>
        <v>22</v>
      </c>
      <c r="D53" s="69"/>
      <c r="E53" s="69"/>
      <c r="F53" s="69"/>
      <c r="G53" s="69"/>
      <c r="H53" s="69"/>
      <c r="I53" s="70">
        <f t="shared" si="4"/>
        <v>2960.6190476190482</v>
      </c>
    </row>
    <row r="54" spans="1:11" ht="15" customHeight="1">
      <c r="A54" s="191">
        <v>2025</v>
      </c>
      <c r="B54" s="192">
        <f t="shared" si="7"/>
        <v>2803</v>
      </c>
      <c r="C54" s="193">
        <f t="shared" si="6"/>
        <v>23</v>
      </c>
      <c r="D54" s="195"/>
      <c r="E54" s="195"/>
      <c r="F54" s="195"/>
      <c r="G54" s="195"/>
      <c r="H54" s="195"/>
      <c r="I54" s="197">
        <f t="shared" si="4"/>
        <v>2802.7619047619055</v>
      </c>
    </row>
    <row r="55" spans="1:11" ht="15" customHeight="1">
      <c r="A55" s="56" t="s">
        <v>79</v>
      </c>
      <c r="B55" s="57"/>
    </row>
    <row r="56" spans="1:11" ht="15" customHeight="1">
      <c r="A56" s="58" t="s">
        <v>32</v>
      </c>
      <c r="B56" s="59" t="s">
        <v>40</v>
      </c>
      <c r="C56" s="59" t="s">
        <v>34</v>
      </c>
      <c r="D56" s="59" t="s">
        <v>33</v>
      </c>
      <c r="E56" s="103"/>
      <c r="F56" s="60"/>
      <c r="G56" s="61"/>
      <c r="H56" s="63" t="s">
        <v>250</v>
      </c>
      <c r="I56" s="64">
        <f>RSQ(I58:I63,B58:B63)</f>
        <v>0.85795054016352779</v>
      </c>
    </row>
    <row r="57" spans="1:11" ht="15" customHeight="1">
      <c r="A57" s="65">
        <v>2002</v>
      </c>
      <c r="B57" s="104">
        <f t="shared" ref="B57:B62" si="8">B5</f>
        <v>6429</v>
      </c>
      <c r="C57" s="105">
        <f t="shared" ref="C57:C80" si="9">LN(B57)</f>
        <v>8.7685742841416872</v>
      </c>
      <c r="D57" s="67">
        <v>0</v>
      </c>
      <c r="E57" s="106"/>
      <c r="F57" s="53"/>
      <c r="G57" s="69"/>
      <c r="H57" s="265"/>
      <c r="I57" s="109">
        <f t="shared" ref="I57:I80" si="10">ROUND($F$59*(1+$F$58)^(D57),1)</f>
        <v>6429</v>
      </c>
    </row>
    <row r="58" spans="1:11" ht="15" customHeight="1">
      <c r="A58" s="65">
        <f t="shared" ref="A58:A63" si="11">A6</f>
        <v>2003</v>
      </c>
      <c r="B58" s="104">
        <f t="shared" si="8"/>
        <v>6136</v>
      </c>
      <c r="C58" s="105">
        <f t="shared" si="9"/>
        <v>8.7219283430470913</v>
      </c>
      <c r="D58" s="67">
        <f>+D57+1</f>
        <v>1</v>
      </c>
      <c r="E58" s="106" t="s">
        <v>37</v>
      </c>
      <c r="F58" s="73">
        <f>ROUND((B62/B57)^(1/D62)-1,5)</f>
        <v>-2.964E-2</v>
      </c>
      <c r="G58" s="107"/>
      <c r="H58" s="108"/>
      <c r="I58" s="109">
        <f t="shared" si="10"/>
        <v>6238.4</v>
      </c>
    </row>
    <row r="59" spans="1:11" ht="15" customHeight="1">
      <c r="A59" s="65">
        <f t="shared" si="11"/>
        <v>2004</v>
      </c>
      <c r="B59" s="104">
        <f t="shared" si="8"/>
        <v>6182</v>
      </c>
      <c r="C59" s="105">
        <f t="shared" si="9"/>
        <v>8.7293971226920615</v>
      </c>
      <c r="D59" s="67">
        <f t="shared" ref="D59:D80" si="12">D58+1</f>
        <v>2</v>
      </c>
      <c r="E59" s="106" t="s">
        <v>80</v>
      </c>
      <c r="F59" s="110">
        <f>B57</f>
        <v>6429</v>
      </c>
      <c r="G59" s="107"/>
      <c r="H59" s="108"/>
      <c r="I59" s="109">
        <f t="shared" si="10"/>
        <v>6053.5</v>
      </c>
      <c r="K59" s="111"/>
    </row>
    <row r="60" spans="1:11" ht="15" customHeight="1">
      <c r="A60" s="65">
        <f t="shared" si="11"/>
        <v>2005</v>
      </c>
      <c r="B60" s="104">
        <f t="shared" si="8"/>
        <v>6155</v>
      </c>
      <c r="C60" s="105">
        <f t="shared" si="9"/>
        <v>8.7250200386185544</v>
      </c>
      <c r="D60" s="67">
        <f t="shared" si="12"/>
        <v>3</v>
      </c>
      <c r="E60" s="106" t="s">
        <v>77</v>
      </c>
      <c r="F60" s="73">
        <f>I56</f>
        <v>0.85795054016352779</v>
      </c>
      <c r="G60" s="108"/>
      <c r="H60" s="108"/>
      <c r="I60" s="109">
        <f t="shared" si="10"/>
        <v>5874.1</v>
      </c>
    </row>
    <row r="61" spans="1:11" ht="15" customHeight="1">
      <c r="A61" s="65">
        <f t="shared" si="11"/>
        <v>2006</v>
      </c>
      <c r="B61" s="104">
        <f t="shared" si="8"/>
        <v>5800</v>
      </c>
      <c r="C61" s="105">
        <f t="shared" si="9"/>
        <v>8.66561319653451</v>
      </c>
      <c r="D61" s="67">
        <f t="shared" si="12"/>
        <v>4</v>
      </c>
      <c r="E61" s="106"/>
      <c r="F61" s="73"/>
      <c r="G61" s="108"/>
      <c r="H61" s="108"/>
      <c r="I61" s="109">
        <f t="shared" si="10"/>
        <v>5700</v>
      </c>
    </row>
    <row r="62" spans="1:11" ht="15" customHeight="1" thickBot="1">
      <c r="A62" s="97">
        <f t="shared" si="11"/>
        <v>2007</v>
      </c>
      <c r="B62" s="116">
        <f t="shared" si="8"/>
        <v>5531</v>
      </c>
      <c r="C62" s="117">
        <f t="shared" si="9"/>
        <v>8.6181239099946776</v>
      </c>
      <c r="D62" s="99">
        <f t="shared" si="12"/>
        <v>5</v>
      </c>
      <c r="E62" s="205" t="s">
        <v>81</v>
      </c>
      <c r="F62" s="271"/>
      <c r="G62" s="118"/>
      <c r="H62" s="118"/>
      <c r="I62" s="120">
        <f t="shared" si="10"/>
        <v>5531.1</v>
      </c>
    </row>
    <row r="63" spans="1:11" ht="15" customHeight="1" thickTop="1">
      <c r="A63" s="255">
        <f t="shared" si="11"/>
        <v>2008</v>
      </c>
      <c r="B63" s="81">
        <f t="shared" ref="B63:B80" si="13">ROUND(F$59*(1+F$58)^D63,0)</f>
        <v>5367</v>
      </c>
      <c r="C63" s="121">
        <f t="shared" si="9"/>
        <v>8.5880243721768288</v>
      </c>
      <c r="D63" s="77">
        <f t="shared" si="12"/>
        <v>6</v>
      </c>
      <c r="E63" s="272"/>
      <c r="F63" s="273"/>
      <c r="G63" s="259"/>
      <c r="H63" s="259"/>
      <c r="I63" s="123">
        <f t="shared" si="10"/>
        <v>5367.1</v>
      </c>
    </row>
    <row r="64" spans="1:11" ht="15" customHeight="1">
      <c r="A64" s="80">
        <v>2009</v>
      </c>
      <c r="B64" s="81">
        <f t="shared" si="13"/>
        <v>5208</v>
      </c>
      <c r="C64" s="105">
        <f t="shared" si="9"/>
        <v>8.5579511838884059</v>
      </c>
      <c r="D64" s="67">
        <f t="shared" si="12"/>
        <v>7</v>
      </c>
      <c r="E64" s="83"/>
      <c r="F64" s="69"/>
      <c r="G64" s="69"/>
      <c r="H64" s="69"/>
      <c r="I64" s="109">
        <f t="shared" si="10"/>
        <v>5208</v>
      </c>
    </row>
    <row r="65" spans="1:9" ht="15" customHeight="1">
      <c r="A65" s="186">
        <v>2010</v>
      </c>
      <c r="B65" s="187">
        <f t="shared" si="13"/>
        <v>5054</v>
      </c>
      <c r="C65" s="198">
        <f t="shared" si="9"/>
        <v>8.5279352879481394</v>
      </c>
      <c r="D65" s="199">
        <f t="shared" si="12"/>
        <v>8</v>
      </c>
      <c r="E65" s="200"/>
      <c r="F65" s="189"/>
      <c r="G65" s="189"/>
      <c r="H65" s="189"/>
      <c r="I65" s="201">
        <f t="shared" si="10"/>
        <v>5053.7</v>
      </c>
    </row>
    <row r="66" spans="1:9" ht="15" customHeight="1">
      <c r="A66" s="80">
        <v>2011</v>
      </c>
      <c r="B66" s="81">
        <f t="shared" si="13"/>
        <v>4904</v>
      </c>
      <c r="C66" s="105">
        <f t="shared" si="9"/>
        <v>8.4978064776160469</v>
      </c>
      <c r="D66" s="67">
        <f t="shared" si="12"/>
        <v>9</v>
      </c>
      <c r="E66" s="83"/>
      <c r="F66" s="69"/>
      <c r="G66" s="69"/>
      <c r="H66" s="69"/>
      <c r="I66" s="109">
        <f t="shared" si="10"/>
        <v>4903.8999999999996</v>
      </c>
    </row>
    <row r="67" spans="1:9" ht="15" customHeight="1">
      <c r="A67" s="80">
        <v>2012</v>
      </c>
      <c r="B67" s="81">
        <f t="shared" si="13"/>
        <v>4759</v>
      </c>
      <c r="C67" s="105">
        <f t="shared" si="9"/>
        <v>8.4677928411211099</v>
      </c>
      <c r="D67" s="67">
        <f t="shared" si="12"/>
        <v>10</v>
      </c>
      <c r="E67" s="83"/>
      <c r="F67" s="69"/>
      <c r="G67" s="69"/>
      <c r="H67" s="69"/>
      <c r="I67" s="109">
        <f t="shared" si="10"/>
        <v>4758.5</v>
      </c>
    </row>
    <row r="68" spans="1:9" ht="15" customHeight="1">
      <c r="A68" s="80">
        <v>2013</v>
      </c>
      <c r="B68" s="81">
        <f t="shared" si="13"/>
        <v>4617</v>
      </c>
      <c r="C68" s="105">
        <f t="shared" si="9"/>
        <v>8.4375004225069894</v>
      </c>
      <c r="D68" s="67">
        <f t="shared" si="12"/>
        <v>11</v>
      </c>
      <c r="E68" s="83"/>
      <c r="F68" s="69"/>
      <c r="G68" s="69"/>
      <c r="H68" s="69"/>
      <c r="I68" s="109">
        <f t="shared" si="10"/>
        <v>4617.5</v>
      </c>
    </row>
    <row r="69" spans="1:9" ht="15" customHeight="1">
      <c r="A69" s="80">
        <v>2014</v>
      </c>
      <c r="B69" s="81">
        <f t="shared" si="13"/>
        <v>4481</v>
      </c>
      <c r="C69" s="105">
        <f t="shared" si="9"/>
        <v>8.4076015147861423</v>
      </c>
      <c r="D69" s="67">
        <f t="shared" si="12"/>
        <v>12</v>
      </c>
      <c r="E69" s="83"/>
      <c r="F69" s="69"/>
      <c r="G69" s="69"/>
      <c r="H69" s="69"/>
      <c r="I69" s="109">
        <f t="shared" si="10"/>
        <v>4480.6000000000004</v>
      </c>
    </row>
    <row r="70" spans="1:9" ht="15" customHeight="1">
      <c r="A70" s="186">
        <v>2015</v>
      </c>
      <c r="B70" s="187">
        <f t="shared" si="13"/>
        <v>4348</v>
      </c>
      <c r="C70" s="198">
        <f t="shared" si="9"/>
        <v>8.3774712482411005</v>
      </c>
      <c r="D70" s="199">
        <f t="shared" si="12"/>
        <v>13</v>
      </c>
      <c r="E70" s="200"/>
      <c r="F70" s="189"/>
      <c r="G70" s="189"/>
      <c r="H70" s="189"/>
      <c r="I70" s="201">
        <f t="shared" si="10"/>
        <v>4347.8</v>
      </c>
    </row>
    <row r="71" spans="1:9" ht="15" customHeight="1">
      <c r="A71" s="80">
        <v>2016</v>
      </c>
      <c r="B71" s="81">
        <f t="shared" si="13"/>
        <v>4219</v>
      </c>
      <c r="C71" s="105">
        <f t="shared" si="9"/>
        <v>8.3473534121243382</v>
      </c>
      <c r="D71" s="67">
        <f t="shared" si="12"/>
        <v>14</v>
      </c>
      <c r="E71" s="83"/>
      <c r="F71" s="69"/>
      <c r="G71" s="69"/>
      <c r="H71" s="69"/>
      <c r="I71" s="109">
        <f t="shared" si="10"/>
        <v>4218.8999999999996</v>
      </c>
    </row>
    <row r="72" spans="1:9" ht="15" customHeight="1">
      <c r="A72" s="80">
        <v>2017</v>
      </c>
      <c r="B72" s="81">
        <f t="shared" si="13"/>
        <v>4094</v>
      </c>
      <c r="C72" s="105">
        <f t="shared" si="9"/>
        <v>8.3172777662212347</v>
      </c>
      <c r="D72" s="67">
        <f t="shared" si="12"/>
        <v>15</v>
      </c>
      <c r="E72" s="83"/>
      <c r="F72" s="69"/>
      <c r="G72" s="69"/>
      <c r="H72" s="69"/>
      <c r="I72" s="109">
        <f t="shared" si="10"/>
        <v>4093.9</v>
      </c>
    </row>
    <row r="73" spans="1:9" ht="15" customHeight="1">
      <c r="A73" s="80">
        <v>2018</v>
      </c>
      <c r="B73" s="81">
        <f t="shared" si="13"/>
        <v>3973</v>
      </c>
      <c r="C73" s="105">
        <f t="shared" si="9"/>
        <v>8.2872767558145988</v>
      </c>
      <c r="D73" s="67">
        <f t="shared" si="12"/>
        <v>16</v>
      </c>
      <c r="E73" s="83"/>
      <c r="F73" s="69"/>
      <c r="G73" s="69"/>
      <c r="H73" s="69"/>
      <c r="I73" s="109">
        <f t="shared" si="10"/>
        <v>3972.6</v>
      </c>
    </row>
    <row r="74" spans="1:9" ht="15" customHeight="1">
      <c r="A74" s="80">
        <v>2019</v>
      </c>
      <c r="B74" s="81">
        <f t="shared" si="13"/>
        <v>3855</v>
      </c>
      <c r="C74" s="105">
        <f t="shared" si="9"/>
        <v>8.2571262859974297</v>
      </c>
      <c r="D74" s="67">
        <f t="shared" si="12"/>
        <v>17</v>
      </c>
      <c r="E74" s="83"/>
      <c r="F74" s="69"/>
      <c r="G74" s="69"/>
      <c r="H74" s="69"/>
      <c r="I74" s="109">
        <f t="shared" si="10"/>
        <v>3854.8</v>
      </c>
    </row>
    <row r="75" spans="1:9" ht="15" customHeight="1">
      <c r="A75" s="186">
        <v>2020</v>
      </c>
      <c r="B75" s="187">
        <f t="shared" si="13"/>
        <v>3741</v>
      </c>
      <c r="C75" s="198">
        <f t="shared" si="9"/>
        <v>8.2271082343481456</v>
      </c>
      <c r="D75" s="199">
        <f t="shared" si="12"/>
        <v>18</v>
      </c>
      <c r="E75" s="200"/>
      <c r="F75" s="189"/>
      <c r="G75" s="189"/>
      <c r="H75" s="189"/>
      <c r="I75" s="201">
        <f t="shared" si="10"/>
        <v>3740.5</v>
      </c>
    </row>
    <row r="76" spans="1:9" ht="15" customHeight="1">
      <c r="A76" s="80">
        <v>2021</v>
      </c>
      <c r="B76" s="81">
        <f t="shared" si="13"/>
        <v>3630</v>
      </c>
      <c r="C76" s="105">
        <f t="shared" si="9"/>
        <v>8.1969879272588972</v>
      </c>
      <c r="D76" s="67">
        <f t="shared" si="12"/>
        <v>19</v>
      </c>
      <c r="E76" s="83"/>
      <c r="F76" s="69"/>
      <c r="G76" s="69"/>
      <c r="H76" s="69"/>
      <c r="I76" s="109">
        <f t="shared" si="10"/>
        <v>3629.7</v>
      </c>
    </row>
    <row r="77" spans="1:9" ht="15" customHeight="1">
      <c r="A77" s="80">
        <v>2022</v>
      </c>
      <c r="B77" s="81">
        <f t="shared" si="13"/>
        <v>3522</v>
      </c>
      <c r="C77" s="105">
        <f t="shared" si="9"/>
        <v>8.1667842890561513</v>
      </c>
      <c r="D77" s="67">
        <f t="shared" si="12"/>
        <v>20</v>
      </c>
      <c r="E77" s="83"/>
      <c r="F77" s="69"/>
      <c r="G77" s="69"/>
      <c r="H77" s="69"/>
      <c r="I77" s="109">
        <f t="shared" si="10"/>
        <v>3522.1</v>
      </c>
    </row>
    <row r="78" spans="1:9" ht="15" customHeight="1">
      <c r="A78" s="80">
        <v>2023</v>
      </c>
      <c r="B78" s="81">
        <f t="shared" si="13"/>
        <v>3418</v>
      </c>
      <c r="C78" s="105">
        <f t="shared" si="9"/>
        <v>8.136810863675537</v>
      </c>
      <c r="D78" s="67">
        <f t="shared" si="12"/>
        <v>21</v>
      </c>
      <c r="E78" s="83"/>
      <c r="F78" s="69"/>
      <c r="G78" s="69"/>
      <c r="H78" s="69"/>
      <c r="I78" s="109">
        <f t="shared" si="10"/>
        <v>3417.7</v>
      </c>
    </row>
    <row r="79" spans="1:9" ht="15" customHeight="1">
      <c r="A79" s="80">
        <v>2024</v>
      </c>
      <c r="B79" s="81">
        <f t="shared" si="13"/>
        <v>3316</v>
      </c>
      <c r="C79" s="105">
        <f t="shared" si="9"/>
        <v>8.106514516255185</v>
      </c>
      <c r="D79" s="67">
        <f t="shared" si="12"/>
        <v>22</v>
      </c>
      <c r="E79" s="69"/>
      <c r="F79" s="69"/>
      <c r="G79" s="69"/>
      <c r="H79" s="69"/>
      <c r="I79" s="109">
        <f t="shared" si="10"/>
        <v>3316.4</v>
      </c>
    </row>
    <row r="80" spans="1:9" ht="15" customHeight="1">
      <c r="A80" s="191">
        <v>2025</v>
      </c>
      <c r="B80" s="192">
        <f t="shared" si="13"/>
        <v>3218</v>
      </c>
      <c r="C80" s="202">
        <f t="shared" si="9"/>
        <v>8.0765153275523289</v>
      </c>
      <c r="D80" s="193">
        <f t="shared" si="12"/>
        <v>23</v>
      </c>
      <c r="E80" s="195"/>
      <c r="F80" s="195"/>
      <c r="G80" s="195"/>
      <c r="H80" s="195"/>
      <c r="I80" s="203">
        <f t="shared" si="10"/>
        <v>3218.1</v>
      </c>
    </row>
    <row r="81" spans="1:9" ht="15" customHeight="1">
      <c r="A81" s="56" t="s">
        <v>82</v>
      </c>
      <c r="B81" s="57"/>
    </row>
    <row r="82" spans="1:9" ht="15" customHeight="1">
      <c r="A82" s="58" t="s">
        <v>32</v>
      </c>
      <c r="B82" s="59" t="s">
        <v>40</v>
      </c>
      <c r="C82" s="59" t="s">
        <v>83</v>
      </c>
      <c r="D82" s="59" t="s">
        <v>33</v>
      </c>
      <c r="E82" s="59" t="s">
        <v>35</v>
      </c>
      <c r="F82" s="103"/>
      <c r="G82" s="60"/>
      <c r="H82" s="63" t="s">
        <v>250</v>
      </c>
      <c r="I82" s="64" t="e">
        <f>RSQ(I83:I88,B83:B88)</f>
        <v>#VALUE!</v>
      </c>
    </row>
    <row r="83" spans="1:9" ht="15" customHeight="1">
      <c r="A83" s="65">
        <v>2002</v>
      </c>
      <c r="B83" s="104">
        <f t="shared" ref="B83:B88" si="14">B5</f>
        <v>6429</v>
      </c>
      <c r="C83" s="67"/>
      <c r="D83" s="67">
        <v>0</v>
      </c>
      <c r="E83" s="67"/>
      <c r="F83" s="106"/>
      <c r="G83" s="53"/>
      <c r="H83" s="265"/>
      <c r="I83" s="277" t="e">
        <f>$B$83+$G$88*D83^$G$84</f>
        <v>#VALUE!</v>
      </c>
    </row>
    <row r="84" spans="1:9" ht="15" customHeight="1">
      <c r="A84" s="65">
        <f t="shared" ref="A84:A89" si="15">A6</f>
        <v>2003</v>
      </c>
      <c r="B84" s="104">
        <f t="shared" si="14"/>
        <v>6136</v>
      </c>
      <c r="C84" s="126" t="e">
        <f>LN(-B$83+B84)</f>
        <v>#NUM!</v>
      </c>
      <c r="D84" s="67">
        <f>+D83+1</f>
        <v>1</v>
      </c>
      <c r="E84" s="67">
        <f>LN(D84)</f>
        <v>0</v>
      </c>
      <c r="F84" s="106" t="s">
        <v>75</v>
      </c>
      <c r="G84" s="73" t="e">
        <f>INDEX(LINEST(C84:C88,E84:E88),1)</f>
        <v>#VALUE!</v>
      </c>
      <c r="H84" s="127"/>
      <c r="I84" s="278" t="e">
        <f>$B$83+$G$88*D84^$G$84</f>
        <v>#VALUE!</v>
      </c>
    </row>
    <row r="85" spans="1:9" ht="15" customHeight="1">
      <c r="A85" s="65">
        <f t="shared" si="15"/>
        <v>2004</v>
      </c>
      <c r="B85" s="104">
        <f t="shared" si="14"/>
        <v>6182</v>
      </c>
      <c r="C85" s="126" t="e">
        <f>LN(-B$83+B85)</f>
        <v>#NUM!</v>
      </c>
      <c r="D85" s="67">
        <f t="shared" ref="D85:D106" si="16">D84+1</f>
        <v>2</v>
      </c>
      <c r="E85" s="67">
        <f>LN(D85)</f>
        <v>0.69314718055994529</v>
      </c>
      <c r="F85" s="106" t="s">
        <v>76</v>
      </c>
      <c r="G85" s="73" t="e">
        <f>INDEX(LINEST(C84:C88,E84:E88),2)</f>
        <v>#VALUE!</v>
      </c>
      <c r="H85" s="129" t="s">
        <v>301</v>
      </c>
      <c r="I85" s="128" t="e">
        <f t="shared" ref="I85:I106" si="17">$B$84+$G$88*D85^$G$84</f>
        <v>#VALUE!</v>
      </c>
    </row>
    <row r="86" spans="1:9" ht="15" customHeight="1">
      <c r="A86" s="65">
        <f t="shared" si="15"/>
        <v>2005</v>
      </c>
      <c r="B86" s="104">
        <f t="shared" si="14"/>
        <v>6155</v>
      </c>
      <c r="C86" s="126" t="e">
        <f>LN(-B$83+B86)</f>
        <v>#NUM!</v>
      </c>
      <c r="D86" s="67">
        <f t="shared" si="16"/>
        <v>3</v>
      </c>
      <c r="E86" s="67">
        <f>LN(D86)</f>
        <v>1.0986122886681098</v>
      </c>
      <c r="F86" s="69"/>
      <c r="G86" s="130"/>
      <c r="H86" s="127"/>
      <c r="I86" s="128" t="e">
        <f t="shared" si="17"/>
        <v>#VALUE!</v>
      </c>
    </row>
    <row r="87" spans="1:9" ht="15" customHeight="1">
      <c r="A87" s="65">
        <f t="shared" si="15"/>
        <v>2006</v>
      </c>
      <c r="B87" s="104">
        <f t="shared" si="14"/>
        <v>5800</v>
      </c>
      <c r="C87" s="126" t="e">
        <f>LN(-B$83+B87)</f>
        <v>#NUM!</v>
      </c>
      <c r="D87" s="67">
        <f t="shared" si="16"/>
        <v>4</v>
      </c>
      <c r="E87" s="67">
        <f>LN(D87)</f>
        <v>1.3862943611198906</v>
      </c>
      <c r="F87" s="106" t="s">
        <v>77</v>
      </c>
      <c r="G87" s="73" t="e">
        <f>I82</f>
        <v>#VALUE!</v>
      </c>
      <c r="H87" s="127"/>
      <c r="I87" s="128" t="e">
        <f t="shared" si="17"/>
        <v>#VALUE!</v>
      </c>
    </row>
    <row r="88" spans="1:9" ht="15" customHeight="1" thickBot="1">
      <c r="A88" s="97">
        <f t="shared" si="15"/>
        <v>2007</v>
      </c>
      <c r="B88" s="116">
        <f t="shared" si="14"/>
        <v>5531</v>
      </c>
      <c r="C88" s="141" t="e">
        <f>LN(-B$83+B88)</f>
        <v>#NUM!</v>
      </c>
      <c r="D88" s="99">
        <f t="shared" si="16"/>
        <v>5</v>
      </c>
      <c r="E88" s="99">
        <f>LN(D88)</f>
        <v>1.6094379124341003</v>
      </c>
      <c r="F88" s="205" t="s">
        <v>38</v>
      </c>
      <c r="G88" s="274" t="e">
        <f>EXP(G85)</f>
        <v>#VALUE!</v>
      </c>
      <c r="H88" s="143"/>
      <c r="I88" s="144" t="e">
        <f t="shared" si="17"/>
        <v>#VALUE!</v>
      </c>
    </row>
    <row r="89" spans="1:9" ht="15" customHeight="1" thickTop="1">
      <c r="A89" s="255">
        <f t="shared" si="15"/>
        <v>2008</v>
      </c>
      <c r="B89" s="81" t="e">
        <f t="shared" ref="B89:B106" si="18">ROUND(LOOKUP(0,D$83:D$88,B$83:B$88)+G$88*D89^G$84,0)</f>
        <v>#VALUE!</v>
      </c>
      <c r="C89" s="257"/>
      <c r="D89" s="77">
        <f t="shared" si="16"/>
        <v>6</v>
      </c>
      <c r="E89" s="77"/>
      <c r="F89" s="275"/>
      <c r="G89" s="256"/>
      <c r="H89" s="258"/>
      <c r="I89" s="133" t="e">
        <f t="shared" si="17"/>
        <v>#VALUE!</v>
      </c>
    </row>
    <row r="90" spans="1:9" ht="15" customHeight="1">
      <c r="A90" s="80">
        <v>2009</v>
      </c>
      <c r="B90" s="81" t="e">
        <f t="shared" si="18"/>
        <v>#VALUE!</v>
      </c>
      <c r="C90" s="126"/>
      <c r="D90" s="67">
        <f t="shared" si="16"/>
        <v>7</v>
      </c>
      <c r="E90" s="67"/>
      <c r="F90" s="83"/>
      <c r="G90" s="69"/>
      <c r="H90" s="84"/>
      <c r="I90" s="128" t="e">
        <f t="shared" si="17"/>
        <v>#VALUE!</v>
      </c>
    </row>
    <row r="91" spans="1:9" ht="15" customHeight="1">
      <c r="A91" s="80">
        <v>2010</v>
      </c>
      <c r="B91" s="81" t="e">
        <f t="shared" si="18"/>
        <v>#VALUE!</v>
      </c>
      <c r="C91" s="126"/>
      <c r="D91" s="67">
        <f t="shared" si="16"/>
        <v>8</v>
      </c>
      <c r="E91" s="67"/>
      <c r="F91" s="83"/>
      <c r="G91" s="69"/>
      <c r="H91" s="84"/>
      <c r="I91" s="128" t="e">
        <f t="shared" si="17"/>
        <v>#VALUE!</v>
      </c>
    </row>
    <row r="92" spans="1:9" ht="15" customHeight="1">
      <c r="A92" s="80">
        <v>2011</v>
      </c>
      <c r="B92" s="81" t="e">
        <f t="shared" si="18"/>
        <v>#VALUE!</v>
      </c>
      <c r="C92" s="126"/>
      <c r="D92" s="67">
        <f t="shared" si="16"/>
        <v>9</v>
      </c>
      <c r="E92" s="67"/>
      <c r="F92" s="83"/>
      <c r="G92" s="69"/>
      <c r="H92" s="84"/>
      <c r="I92" s="128" t="e">
        <f t="shared" si="17"/>
        <v>#VALUE!</v>
      </c>
    </row>
    <row r="93" spans="1:9" ht="15" customHeight="1">
      <c r="A93" s="80">
        <v>2012</v>
      </c>
      <c r="B93" s="81" t="e">
        <f t="shared" si="18"/>
        <v>#VALUE!</v>
      </c>
      <c r="C93" s="126"/>
      <c r="D93" s="67">
        <f t="shared" si="16"/>
        <v>10</v>
      </c>
      <c r="E93" s="67"/>
      <c r="F93" s="83"/>
      <c r="G93" s="69"/>
      <c r="H93" s="84"/>
      <c r="I93" s="128" t="e">
        <f t="shared" si="17"/>
        <v>#VALUE!</v>
      </c>
    </row>
    <row r="94" spans="1:9" ht="15" customHeight="1">
      <c r="A94" s="80">
        <v>2013</v>
      </c>
      <c r="B94" s="81" t="e">
        <f t="shared" si="18"/>
        <v>#VALUE!</v>
      </c>
      <c r="C94" s="126"/>
      <c r="D94" s="67">
        <f t="shared" si="16"/>
        <v>11</v>
      </c>
      <c r="E94" s="67"/>
      <c r="F94" s="83"/>
      <c r="G94" s="69"/>
      <c r="H94" s="84"/>
      <c r="I94" s="128" t="e">
        <f t="shared" si="17"/>
        <v>#VALUE!</v>
      </c>
    </row>
    <row r="95" spans="1:9" ht="15" customHeight="1">
      <c r="A95" s="80">
        <v>2014</v>
      </c>
      <c r="B95" s="81" t="e">
        <f t="shared" si="18"/>
        <v>#VALUE!</v>
      </c>
      <c r="C95" s="126"/>
      <c r="D95" s="67">
        <f t="shared" si="16"/>
        <v>12</v>
      </c>
      <c r="E95" s="67"/>
      <c r="F95" s="83"/>
      <c r="G95" s="69"/>
      <c r="H95" s="84"/>
      <c r="I95" s="128" t="e">
        <f t="shared" si="17"/>
        <v>#VALUE!</v>
      </c>
    </row>
    <row r="96" spans="1:9" ht="15" customHeight="1">
      <c r="A96" s="80">
        <v>2015</v>
      </c>
      <c r="B96" s="81" t="e">
        <f t="shared" si="18"/>
        <v>#VALUE!</v>
      </c>
      <c r="C96" s="126"/>
      <c r="D96" s="67">
        <f t="shared" si="16"/>
        <v>13</v>
      </c>
      <c r="E96" s="67"/>
      <c r="F96" s="83"/>
      <c r="G96" s="69"/>
      <c r="H96" s="84"/>
      <c r="I96" s="128" t="e">
        <f t="shared" si="17"/>
        <v>#VALUE!</v>
      </c>
    </row>
    <row r="97" spans="1:9" ht="15" customHeight="1">
      <c r="A97" s="80">
        <v>2016</v>
      </c>
      <c r="B97" s="81" t="e">
        <f t="shared" si="18"/>
        <v>#VALUE!</v>
      </c>
      <c r="C97" s="126"/>
      <c r="D97" s="67">
        <f t="shared" si="16"/>
        <v>14</v>
      </c>
      <c r="E97" s="67"/>
      <c r="F97" s="83"/>
      <c r="G97" s="69"/>
      <c r="H97" s="84"/>
      <c r="I97" s="128" t="e">
        <f t="shared" si="17"/>
        <v>#VALUE!</v>
      </c>
    </row>
    <row r="98" spans="1:9" ht="15" customHeight="1">
      <c r="A98" s="80">
        <v>2017</v>
      </c>
      <c r="B98" s="81" t="e">
        <f t="shared" si="18"/>
        <v>#VALUE!</v>
      </c>
      <c r="C98" s="126"/>
      <c r="D98" s="67">
        <f t="shared" si="16"/>
        <v>15</v>
      </c>
      <c r="E98" s="67"/>
      <c r="F98" s="83"/>
      <c r="G98" s="69"/>
      <c r="H98" s="84"/>
      <c r="I98" s="128" t="e">
        <f t="shared" si="17"/>
        <v>#VALUE!</v>
      </c>
    </row>
    <row r="99" spans="1:9" ht="15" customHeight="1">
      <c r="A99" s="80">
        <v>2018</v>
      </c>
      <c r="B99" s="81" t="e">
        <f t="shared" si="18"/>
        <v>#VALUE!</v>
      </c>
      <c r="C99" s="126"/>
      <c r="D99" s="67">
        <f t="shared" si="16"/>
        <v>16</v>
      </c>
      <c r="E99" s="67"/>
      <c r="F99" s="83"/>
      <c r="G99" s="69"/>
      <c r="H99" s="84"/>
      <c r="I99" s="128" t="e">
        <f t="shared" si="17"/>
        <v>#VALUE!</v>
      </c>
    </row>
    <row r="100" spans="1:9" ht="15" customHeight="1">
      <c r="A100" s="80">
        <v>2019</v>
      </c>
      <c r="B100" s="81" t="e">
        <f t="shared" si="18"/>
        <v>#VALUE!</v>
      </c>
      <c r="C100" s="126"/>
      <c r="D100" s="67">
        <f t="shared" si="16"/>
        <v>17</v>
      </c>
      <c r="E100" s="67"/>
      <c r="F100" s="83"/>
      <c r="G100" s="69"/>
      <c r="H100" s="84"/>
      <c r="I100" s="128" t="e">
        <f t="shared" si="17"/>
        <v>#VALUE!</v>
      </c>
    </row>
    <row r="101" spans="1:9" ht="15" customHeight="1">
      <c r="A101" s="80">
        <v>2020</v>
      </c>
      <c r="B101" s="81" t="e">
        <f t="shared" si="18"/>
        <v>#VALUE!</v>
      </c>
      <c r="C101" s="126"/>
      <c r="D101" s="67">
        <f t="shared" si="16"/>
        <v>18</v>
      </c>
      <c r="E101" s="67"/>
      <c r="F101" s="83"/>
      <c r="G101" s="69"/>
      <c r="H101" s="84"/>
      <c r="I101" s="128" t="e">
        <f t="shared" si="17"/>
        <v>#VALUE!</v>
      </c>
    </row>
    <row r="102" spans="1:9" ht="15" customHeight="1">
      <c r="A102" s="80">
        <v>2021</v>
      </c>
      <c r="B102" s="81" t="e">
        <f t="shared" si="18"/>
        <v>#VALUE!</v>
      </c>
      <c r="C102" s="126"/>
      <c r="D102" s="67">
        <f t="shared" si="16"/>
        <v>19</v>
      </c>
      <c r="E102" s="67"/>
      <c r="F102" s="83"/>
      <c r="G102" s="69"/>
      <c r="H102" s="84"/>
      <c r="I102" s="128" t="e">
        <f t="shared" si="17"/>
        <v>#VALUE!</v>
      </c>
    </row>
    <row r="103" spans="1:9" ht="15" customHeight="1">
      <c r="A103" s="80">
        <v>2022</v>
      </c>
      <c r="B103" s="81" t="e">
        <f t="shared" si="18"/>
        <v>#VALUE!</v>
      </c>
      <c r="C103" s="126"/>
      <c r="D103" s="67">
        <f t="shared" si="16"/>
        <v>20</v>
      </c>
      <c r="E103" s="67"/>
      <c r="F103" s="83"/>
      <c r="G103" s="69"/>
      <c r="H103" s="84"/>
      <c r="I103" s="128" t="e">
        <f t="shared" si="17"/>
        <v>#VALUE!</v>
      </c>
    </row>
    <row r="104" spans="1:9" ht="15" customHeight="1">
      <c r="A104" s="80">
        <v>2023</v>
      </c>
      <c r="B104" s="81" t="e">
        <f t="shared" si="18"/>
        <v>#VALUE!</v>
      </c>
      <c r="C104" s="126"/>
      <c r="D104" s="67">
        <f t="shared" si="16"/>
        <v>21</v>
      </c>
      <c r="E104" s="67"/>
      <c r="F104" s="83"/>
      <c r="G104" s="69"/>
      <c r="H104" s="84"/>
      <c r="I104" s="128" t="e">
        <f t="shared" si="17"/>
        <v>#VALUE!</v>
      </c>
    </row>
    <row r="105" spans="1:9" ht="15" customHeight="1">
      <c r="A105" s="80">
        <v>2024</v>
      </c>
      <c r="B105" s="81" t="e">
        <f t="shared" si="18"/>
        <v>#VALUE!</v>
      </c>
      <c r="C105" s="126"/>
      <c r="D105" s="67">
        <f t="shared" si="16"/>
        <v>22</v>
      </c>
      <c r="E105" s="67"/>
      <c r="F105" s="69"/>
      <c r="G105" s="69"/>
      <c r="H105" s="69"/>
      <c r="I105" s="136" t="e">
        <f t="shared" si="17"/>
        <v>#VALUE!</v>
      </c>
    </row>
    <row r="106" spans="1:9" ht="15" customHeight="1">
      <c r="A106" s="85">
        <v>2025</v>
      </c>
      <c r="B106" s="81" t="e">
        <f t="shared" si="18"/>
        <v>#VALUE!</v>
      </c>
      <c r="C106" s="204"/>
      <c r="D106" s="87">
        <f t="shared" si="16"/>
        <v>23</v>
      </c>
      <c r="E106" s="87"/>
      <c r="F106" s="89"/>
      <c r="G106" s="89"/>
      <c r="H106" s="89"/>
      <c r="I106" s="138" t="e">
        <f t="shared" si="17"/>
        <v>#VALUE!</v>
      </c>
    </row>
    <row r="107" spans="1:9" ht="15" customHeight="1">
      <c r="A107" s="56" t="s">
        <v>87</v>
      </c>
      <c r="B107" s="57"/>
    </row>
    <row r="108" spans="1:9" ht="15" customHeight="1">
      <c r="A108" s="58" t="s">
        <v>32</v>
      </c>
      <c r="B108" s="59" t="s">
        <v>40</v>
      </c>
      <c r="C108" s="59" t="s">
        <v>36</v>
      </c>
      <c r="D108" s="59" t="s">
        <v>33</v>
      </c>
      <c r="E108" s="103"/>
      <c r="F108" s="60"/>
      <c r="G108" s="61"/>
      <c r="H108" s="63" t="s">
        <v>250</v>
      </c>
      <c r="I108" s="64">
        <f>RSQ(I109:I114,B109:B114)</f>
        <v>0.85298292787926333</v>
      </c>
    </row>
    <row r="109" spans="1:9" ht="15" customHeight="1">
      <c r="A109" s="65">
        <v>2002</v>
      </c>
      <c r="B109" s="104">
        <f t="shared" ref="B109:B114" si="19">+B5</f>
        <v>6429</v>
      </c>
      <c r="C109" s="126">
        <f t="shared" ref="C109:C114" si="20">LN(F$113/B109-1)</f>
        <v>0</v>
      </c>
      <c r="D109" s="67">
        <v>0</v>
      </c>
      <c r="E109" s="106"/>
      <c r="F109" s="53"/>
      <c r="G109" s="69"/>
      <c r="H109" s="265"/>
      <c r="I109" s="267">
        <f t="shared" ref="I109:I132" si="21">$F$113/(1+EXP($F$111+$F$110*D109))</f>
        <v>6434.5757656824362</v>
      </c>
    </row>
    <row r="110" spans="1:9" ht="15" customHeight="1">
      <c r="A110" s="65">
        <f t="shared" ref="A110:A115" si="22">A6</f>
        <v>2003</v>
      </c>
      <c r="B110" s="104">
        <f t="shared" si="19"/>
        <v>6136</v>
      </c>
      <c r="C110" s="126">
        <f t="shared" si="20"/>
        <v>9.1212665237959012E-2</v>
      </c>
      <c r="D110" s="67">
        <f>+D109+1</f>
        <v>1</v>
      </c>
      <c r="E110" s="106" t="s">
        <v>75</v>
      </c>
      <c r="F110" s="139">
        <f>INDEX(LINEST(C109:C114,D109:D114),1)</f>
        <v>4.9419266110411614E-2</v>
      </c>
      <c r="G110" s="140" t="s">
        <v>88</v>
      </c>
      <c r="H110" s="127"/>
      <c r="I110" s="128">
        <f t="shared" si="21"/>
        <v>6275.746574427325</v>
      </c>
    </row>
    <row r="111" spans="1:9" ht="15" customHeight="1">
      <c r="A111" s="65">
        <f t="shared" si="22"/>
        <v>2004</v>
      </c>
      <c r="B111" s="104">
        <f t="shared" si="19"/>
        <v>6182</v>
      </c>
      <c r="C111" s="126">
        <f t="shared" si="20"/>
        <v>7.6877162089664053E-2</v>
      </c>
      <c r="D111" s="67">
        <f t="shared" ref="D111:D132" si="23">D110+1</f>
        <v>2</v>
      </c>
      <c r="E111" s="106" t="s">
        <v>76</v>
      </c>
      <c r="F111" s="139">
        <f>INDEX(LINEST(C109:C114,D109:D114),2)</f>
        <v>-1.7345674538594702E-3</v>
      </c>
      <c r="G111" s="69"/>
      <c r="H111" s="127"/>
      <c r="I111" s="128">
        <f t="shared" si="21"/>
        <v>6117.1043434405892</v>
      </c>
    </row>
    <row r="112" spans="1:9" ht="15" customHeight="1">
      <c r="A112" s="65">
        <f t="shared" si="22"/>
        <v>2005</v>
      </c>
      <c r="B112" s="104">
        <f t="shared" si="19"/>
        <v>6155</v>
      </c>
      <c r="C112" s="126">
        <f t="shared" si="20"/>
        <v>8.5290427739403638E-2</v>
      </c>
      <c r="D112" s="67">
        <f t="shared" si="23"/>
        <v>3</v>
      </c>
      <c r="E112" s="106" t="s">
        <v>77</v>
      </c>
      <c r="F112" s="73">
        <f>I108</f>
        <v>0.85298292787926333</v>
      </c>
      <c r="G112" s="69"/>
      <c r="H112" s="127"/>
      <c r="I112" s="128">
        <f t="shared" si="21"/>
        <v>5958.8419277303447</v>
      </c>
    </row>
    <row r="113" spans="1:9" ht="15" customHeight="1">
      <c r="A113" s="65">
        <f t="shared" si="22"/>
        <v>2006</v>
      </c>
      <c r="B113" s="104">
        <f t="shared" si="19"/>
        <v>5800</v>
      </c>
      <c r="C113" s="126">
        <f t="shared" si="20"/>
        <v>0.19630380770070482</v>
      </c>
      <c r="D113" s="67">
        <f t="shared" si="23"/>
        <v>4</v>
      </c>
      <c r="E113" s="106" t="s">
        <v>39</v>
      </c>
      <c r="F113" s="110">
        <f>MAX(B109:B114)*2</f>
        <v>12858</v>
      </c>
      <c r="G113" s="69"/>
      <c r="H113" s="127"/>
      <c r="I113" s="128">
        <f t="shared" si="21"/>
        <v>5801.1503360660954</v>
      </c>
    </row>
    <row r="114" spans="1:9" ht="15" customHeight="1" thickBot="1">
      <c r="A114" s="97">
        <f t="shared" si="22"/>
        <v>2007</v>
      </c>
      <c r="B114" s="116">
        <f t="shared" si="19"/>
        <v>5531</v>
      </c>
      <c r="C114" s="141">
        <f t="shared" si="20"/>
        <v>0.28119752416528587</v>
      </c>
      <c r="D114" s="99">
        <f t="shared" si="23"/>
        <v>5</v>
      </c>
      <c r="E114" s="205"/>
      <c r="F114" s="101"/>
      <c r="G114" s="100"/>
      <c r="H114" s="143"/>
      <c r="I114" s="144">
        <f t="shared" si="21"/>
        <v>5644.2178149905094</v>
      </c>
    </row>
    <row r="115" spans="1:9" ht="15" customHeight="1" thickTop="1">
      <c r="A115" s="255">
        <f t="shared" si="22"/>
        <v>2008</v>
      </c>
      <c r="B115" s="81">
        <f t="shared" ref="B115:B132" si="24">ROUND(F$113/(1+EXP(F$111+F$110*D115)),0)</f>
        <v>5488</v>
      </c>
      <c r="C115" s="257"/>
      <c r="D115" s="77">
        <f t="shared" si="23"/>
        <v>6</v>
      </c>
      <c r="E115" s="275"/>
      <c r="F115" s="256"/>
      <c r="G115" s="78"/>
      <c r="H115" s="258"/>
      <c r="I115" s="133">
        <f t="shared" si="21"/>
        <v>5488.2289611147189</v>
      </c>
    </row>
    <row r="116" spans="1:9" ht="15" customHeight="1">
      <c r="A116" s="80">
        <v>2009</v>
      </c>
      <c r="B116" s="81">
        <f t="shared" si="24"/>
        <v>5333</v>
      </c>
      <c r="C116" s="134"/>
      <c r="D116" s="67">
        <f t="shared" si="23"/>
        <v>7</v>
      </c>
      <c r="E116" s="83"/>
      <c r="F116" s="69"/>
      <c r="G116" s="69"/>
      <c r="H116" s="84"/>
      <c r="I116" s="128">
        <f t="shared" si="21"/>
        <v>5333.3638704657669</v>
      </c>
    </row>
    <row r="117" spans="1:9" ht="15" customHeight="1">
      <c r="A117" s="80">
        <v>2010</v>
      </c>
      <c r="B117" s="81">
        <f t="shared" si="24"/>
        <v>5180</v>
      </c>
      <c r="C117" s="134"/>
      <c r="D117" s="67">
        <f t="shared" si="23"/>
        <v>8</v>
      </c>
      <c r="E117" s="83"/>
      <c r="F117" s="69"/>
      <c r="G117" s="69"/>
      <c r="H117" s="84"/>
      <c r="I117" s="128">
        <f t="shared" si="21"/>
        <v>5179.7973330138911</v>
      </c>
    </row>
    <row r="118" spans="1:9" ht="15" customHeight="1">
      <c r="A118" s="80">
        <v>2011</v>
      </c>
      <c r="B118" s="81">
        <f t="shared" si="24"/>
        <v>5028</v>
      </c>
      <c r="C118" s="134"/>
      <c r="D118" s="67">
        <f t="shared" si="23"/>
        <v>9</v>
      </c>
      <c r="E118" s="83"/>
      <c r="F118" s="69"/>
      <c r="G118" s="69"/>
      <c r="H118" s="84"/>
      <c r="I118" s="128">
        <f t="shared" si="21"/>
        <v>5027.6980797369288</v>
      </c>
    </row>
    <row r="119" spans="1:9" ht="15" customHeight="1">
      <c r="A119" s="80">
        <v>2012</v>
      </c>
      <c r="B119" s="81">
        <f t="shared" si="24"/>
        <v>4877</v>
      </c>
      <c r="C119" s="134"/>
      <c r="D119" s="67">
        <f t="shared" si="23"/>
        <v>10</v>
      </c>
      <c r="E119" s="83"/>
      <c r="F119" s="69"/>
      <c r="G119" s="69"/>
      <c r="H119" s="84"/>
      <c r="I119" s="128">
        <f t="shared" si="21"/>
        <v>4877.2280886991093</v>
      </c>
    </row>
    <row r="120" spans="1:9" ht="15" customHeight="1">
      <c r="A120" s="80">
        <v>2013</v>
      </c>
      <c r="B120" s="81">
        <f t="shared" si="24"/>
        <v>4729</v>
      </c>
      <c r="C120" s="134"/>
      <c r="D120" s="67">
        <f t="shared" si="23"/>
        <v>11</v>
      </c>
      <c r="E120" s="83"/>
      <c r="F120" s="69"/>
      <c r="G120" s="69"/>
      <c r="H120" s="84"/>
      <c r="I120" s="128">
        <f t="shared" si="21"/>
        <v>4728.5419556540692</v>
      </c>
    </row>
    <row r="121" spans="1:9" ht="15" customHeight="1">
      <c r="A121" s="80">
        <v>2014</v>
      </c>
      <c r="B121" s="81">
        <f t="shared" si="24"/>
        <v>4582</v>
      </c>
      <c r="C121" s="134"/>
      <c r="D121" s="67">
        <f t="shared" si="23"/>
        <v>12</v>
      </c>
      <c r="E121" s="83"/>
      <c r="F121" s="69"/>
      <c r="G121" s="69"/>
      <c r="H121" s="84"/>
      <c r="I121" s="128">
        <f t="shared" si="21"/>
        <v>4581.7863336507089</v>
      </c>
    </row>
    <row r="122" spans="1:9" ht="15" customHeight="1">
      <c r="A122" s="80">
        <v>2015</v>
      </c>
      <c r="B122" s="81">
        <f t="shared" si="24"/>
        <v>4437</v>
      </c>
      <c r="C122" s="134"/>
      <c r="D122" s="67">
        <f t="shared" si="23"/>
        <v>13</v>
      </c>
      <c r="E122" s="83"/>
      <c r="F122" s="69"/>
      <c r="G122" s="69"/>
      <c r="H122" s="84"/>
      <c r="I122" s="128">
        <f t="shared" si="21"/>
        <v>4437.0994450501248</v>
      </c>
    </row>
    <row r="123" spans="1:9" ht="15" customHeight="1">
      <c r="A123" s="80">
        <v>2016</v>
      </c>
      <c r="B123" s="81">
        <f t="shared" si="24"/>
        <v>4295</v>
      </c>
      <c r="C123" s="134"/>
      <c r="D123" s="67">
        <f t="shared" si="23"/>
        <v>14</v>
      </c>
      <c r="E123" s="83"/>
      <c r="F123" s="69"/>
      <c r="G123" s="69"/>
      <c r="H123" s="84"/>
      <c r="I123" s="128">
        <f t="shared" si="21"/>
        <v>4294.6106682765403</v>
      </c>
    </row>
    <row r="124" spans="1:9" ht="15" customHeight="1">
      <c r="A124" s="80">
        <v>2017</v>
      </c>
      <c r="B124" s="81">
        <f t="shared" si="24"/>
        <v>4154</v>
      </c>
      <c r="C124" s="134"/>
      <c r="D124" s="67">
        <f t="shared" si="23"/>
        <v>15</v>
      </c>
      <c r="E124" s="83"/>
      <c r="F124" s="69"/>
      <c r="G124" s="69"/>
      <c r="H124" s="84"/>
      <c r="I124" s="128">
        <f t="shared" si="21"/>
        <v>4154.4402005485836</v>
      </c>
    </row>
    <row r="125" spans="1:9" ht="15" customHeight="1">
      <c r="A125" s="80">
        <v>2018</v>
      </c>
      <c r="B125" s="81">
        <f t="shared" si="24"/>
        <v>4017</v>
      </c>
      <c r="C125" s="134"/>
      <c r="D125" s="67">
        <f t="shared" si="23"/>
        <v>16</v>
      </c>
      <c r="E125" s="83"/>
      <c r="F125" s="69"/>
      <c r="G125" s="69"/>
      <c r="H125" s="84"/>
      <c r="I125" s="128">
        <f t="shared" si="21"/>
        <v>4016.6987967916061</v>
      </c>
    </row>
    <row r="126" spans="1:9" ht="15" customHeight="1">
      <c r="A126" s="80">
        <v>2019</v>
      </c>
      <c r="B126" s="81">
        <f t="shared" si="24"/>
        <v>3881</v>
      </c>
      <c r="C126" s="134"/>
      <c r="D126" s="67">
        <f t="shared" si="23"/>
        <v>17</v>
      </c>
      <c r="E126" s="83"/>
      <c r="F126" s="69"/>
      <c r="G126" s="69"/>
      <c r="H126" s="84"/>
      <c r="I126" s="128">
        <f t="shared" si="21"/>
        <v>3881.4875839368447</v>
      </c>
    </row>
    <row r="127" spans="1:9" ht="15" customHeight="1">
      <c r="A127" s="80">
        <v>2020</v>
      </c>
      <c r="B127" s="81">
        <f t="shared" si="24"/>
        <v>3749</v>
      </c>
      <c r="C127" s="134"/>
      <c r="D127" s="67">
        <f t="shared" si="23"/>
        <v>18</v>
      </c>
      <c r="E127" s="83"/>
      <c r="F127" s="69"/>
      <c r="G127" s="69"/>
      <c r="H127" s="84"/>
      <c r="I127" s="128">
        <f t="shared" si="21"/>
        <v>3748.8979488868176</v>
      </c>
    </row>
    <row r="128" spans="1:9" ht="15" customHeight="1">
      <c r="A128" s="80">
        <v>2021</v>
      </c>
      <c r="B128" s="81">
        <f t="shared" si="24"/>
        <v>3619</v>
      </c>
      <c r="C128" s="134"/>
      <c r="D128" s="67">
        <f t="shared" si="23"/>
        <v>19</v>
      </c>
      <c r="E128" s="83"/>
      <c r="F128" s="69"/>
      <c r="G128" s="69"/>
      <c r="H128" s="84"/>
      <c r="I128" s="128">
        <f t="shared" si="21"/>
        <v>3619.011497582846</v>
      </c>
    </row>
    <row r="129" spans="1:10" ht="15" customHeight="1">
      <c r="A129" s="80">
        <v>2022</v>
      </c>
      <c r="B129" s="81">
        <f t="shared" si="24"/>
        <v>3492</v>
      </c>
      <c r="C129" s="134"/>
      <c r="D129" s="67">
        <f t="shared" si="23"/>
        <v>20</v>
      </c>
      <c r="E129" s="83"/>
      <c r="F129" s="69"/>
      <c r="G129" s="69"/>
      <c r="H129" s="84"/>
      <c r="I129" s="128">
        <f t="shared" si="21"/>
        <v>3491.9000818615905</v>
      </c>
    </row>
    <row r="130" spans="1:10" ht="15" customHeight="1">
      <c r="A130" s="80">
        <v>2023</v>
      </c>
      <c r="B130" s="81">
        <f t="shared" si="24"/>
        <v>3368</v>
      </c>
      <c r="C130" s="134"/>
      <c r="D130" s="67">
        <f t="shared" si="23"/>
        <v>21</v>
      </c>
      <c r="E130" s="83"/>
      <c r="F130" s="69"/>
      <c r="G130" s="69"/>
      <c r="H130" s="84"/>
      <c r="I130" s="128">
        <f t="shared" si="21"/>
        <v>3367.6258901412953</v>
      </c>
    </row>
    <row r="131" spans="1:10" ht="15" customHeight="1">
      <c r="A131" s="80">
        <v>2024</v>
      </c>
      <c r="B131" s="81">
        <f t="shared" si="24"/>
        <v>3246</v>
      </c>
      <c r="C131" s="135"/>
      <c r="D131" s="67">
        <f t="shared" si="23"/>
        <v>22</v>
      </c>
      <c r="E131" s="69"/>
      <c r="F131" s="69"/>
      <c r="G131" s="69"/>
      <c r="H131" s="69"/>
      <c r="I131" s="136">
        <f t="shared" si="21"/>
        <v>3246.2415974401779</v>
      </c>
    </row>
    <row r="132" spans="1:10" ht="15" customHeight="1">
      <c r="A132" s="85">
        <v>2025</v>
      </c>
      <c r="B132" s="86">
        <f t="shared" si="24"/>
        <v>3128</v>
      </c>
      <c r="C132" s="137"/>
      <c r="D132" s="87">
        <f t="shared" si="23"/>
        <v>23</v>
      </c>
      <c r="E132" s="89"/>
      <c r="F132" s="89"/>
      <c r="G132" s="89"/>
      <c r="H132" s="89"/>
      <c r="I132" s="138">
        <f t="shared" si="21"/>
        <v>3127.7905698011514</v>
      </c>
    </row>
    <row r="133" spans="1:10" ht="15" customHeight="1">
      <c r="A133" s="56" t="s">
        <v>302</v>
      </c>
      <c r="B133" s="57"/>
    </row>
    <row r="134" spans="1:10" ht="15" customHeight="1">
      <c r="A134" s="56"/>
      <c r="B134" s="57"/>
    </row>
    <row r="135" spans="1:10" ht="24">
      <c r="A135" s="145" t="s">
        <v>32</v>
      </c>
      <c r="B135" s="146" t="s">
        <v>91</v>
      </c>
      <c r="C135" s="147" t="s">
        <v>72</v>
      </c>
      <c r="D135" s="147" t="s">
        <v>92</v>
      </c>
      <c r="E135" s="147" t="s">
        <v>93</v>
      </c>
      <c r="F135" s="147" t="s">
        <v>94</v>
      </c>
      <c r="G135" s="147" t="s">
        <v>95</v>
      </c>
      <c r="H135" s="148" t="s">
        <v>96</v>
      </c>
      <c r="I135" s="149" t="s">
        <v>252</v>
      </c>
      <c r="J135" s="150" t="s">
        <v>253</v>
      </c>
    </row>
    <row r="136" spans="1:10" ht="20.100000000000001" customHeight="1">
      <c r="A136" s="65">
        <v>2008</v>
      </c>
      <c r="B136" s="151">
        <f t="shared" ref="B136:B153" si="25">B11</f>
        <v>5351</v>
      </c>
      <c r="C136" s="152">
        <f t="shared" ref="C136:C153" si="26">B37</f>
        <v>5486</v>
      </c>
      <c r="D136" s="152">
        <f t="shared" ref="D136:D153" si="27">B63</f>
        <v>5367</v>
      </c>
      <c r="E136" s="152"/>
      <c r="F136" s="152">
        <f t="shared" ref="F136:F153" si="28">B115</f>
        <v>5488</v>
      </c>
      <c r="G136" s="152">
        <f t="shared" ref="G136:G153" si="29">ROUND(AVERAGE(B136:F136),1)</f>
        <v>5423</v>
      </c>
      <c r="H136" s="152">
        <f t="shared" ref="H136:H153" si="30">ROUND((SUM(B136:F136)-MAX(B136:F136)-MIN(B136:F136))/(COUNT(B136:F136)-2),1)</f>
        <v>5426.5</v>
      </c>
      <c r="I136" s="153">
        <f t="shared" ref="I136:I153" si="31">ROUND(SUMIF(B$154:H$154,"○",B136:H136),0)</f>
        <v>5423</v>
      </c>
      <c r="J136" s="261"/>
    </row>
    <row r="137" spans="1:10" ht="20.100000000000001" customHeight="1">
      <c r="A137" s="80">
        <v>2009</v>
      </c>
      <c r="B137" s="151">
        <f t="shared" si="25"/>
        <v>5172</v>
      </c>
      <c r="C137" s="152">
        <f t="shared" si="26"/>
        <v>5328</v>
      </c>
      <c r="D137" s="152">
        <f t="shared" si="27"/>
        <v>5208</v>
      </c>
      <c r="E137" s="152"/>
      <c r="F137" s="152">
        <f t="shared" si="28"/>
        <v>5333</v>
      </c>
      <c r="G137" s="152">
        <f t="shared" si="29"/>
        <v>5260.3</v>
      </c>
      <c r="H137" s="152">
        <f t="shared" si="30"/>
        <v>5268</v>
      </c>
      <c r="I137" s="153">
        <f t="shared" si="31"/>
        <v>5260</v>
      </c>
      <c r="J137" s="154"/>
    </row>
    <row r="138" spans="1:10" ht="20.100000000000001" customHeight="1">
      <c r="A138" s="80">
        <v>2010</v>
      </c>
      <c r="B138" s="151">
        <f t="shared" si="25"/>
        <v>4992</v>
      </c>
      <c r="C138" s="152">
        <f t="shared" si="26"/>
        <v>5171</v>
      </c>
      <c r="D138" s="152">
        <f t="shared" si="27"/>
        <v>5054</v>
      </c>
      <c r="E138" s="152"/>
      <c r="F138" s="152">
        <f t="shared" si="28"/>
        <v>5180</v>
      </c>
      <c r="G138" s="152">
        <f t="shared" si="29"/>
        <v>5099.3</v>
      </c>
      <c r="H138" s="152">
        <f t="shared" si="30"/>
        <v>5112.5</v>
      </c>
      <c r="I138" s="153">
        <f t="shared" si="31"/>
        <v>5099</v>
      </c>
      <c r="J138" s="154"/>
    </row>
    <row r="139" spans="1:10" ht="20.100000000000001" customHeight="1">
      <c r="A139" s="80">
        <v>2011</v>
      </c>
      <c r="B139" s="151">
        <f t="shared" si="25"/>
        <v>4813</v>
      </c>
      <c r="C139" s="152">
        <f t="shared" si="26"/>
        <v>5013</v>
      </c>
      <c r="D139" s="152">
        <f t="shared" si="27"/>
        <v>4904</v>
      </c>
      <c r="E139" s="152"/>
      <c r="F139" s="152">
        <f t="shared" si="28"/>
        <v>5028</v>
      </c>
      <c r="G139" s="152">
        <f t="shared" si="29"/>
        <v>4939.5</v>
      </c>
      <c r="H139" s="152">
        <f t="shared" si="30"/>
        <v>4958.5</v>
      </c>
      <c r="I139" s="153">
        <f t="shared" si="31"/>
        <v>4940</v>
      </c>
      <c r="J139" s="154"/>
    </row>
    <row r="140" spans="1:10" ht="20.100000000000001" customHeight="1">
      <c r="A140" s="80">
        <v>2012</v>
      </c>
      <c r="B140" s="151">
        <f t="shared" si="25"/>
        <v>4633</v>
      </c>
      <c r="C140" s="152">
        <f t="shared" si="26"/>
        <v>4855</v>
      </c>
      <c r="D140" s="152">
        <f t="shared" si="27"/>
        <v>4759</v>
      </c>
      <c r="E140" s="152"/>
      <c r="F140" s="152">
        <f t="shared" si="28"/>
        <v>4877</v>
      </c>
      <c r="G140" s="152">
        <f t="shared" si="29"/>
        <v>4781</v>
      </c>
      <c r="H140" s="152">
        <f t="shared" si="30"/>
        <v>4807</v>
      </c>
      <c r="I140" s="153">
        <f t="shared" si="31"/>
        <v>4781</v>
      </c>
      <c r="J140" s="154"/>
    </row>
    <row r="141" spans="1:10" ht="20.100000000000001" customHeight="1">
      <c r="A141" s="80">
        <v>2013</v>
      </c>
      <c r="B141" s="151">
        <f t="shared" si="25"/>
        <v>4453</v>
      </c>
      <c r="C141" s="152">
        <f t="shared" si="26"/>
        <v>4697</v>
      </c>
      <c r="D141" s="152">
        <f t="shared" si="27"/>
        <v>4617</v>
      </c>
      <c r="E141" s="152"/>
      <c r="F141" s="152">
        <f t="shared" si="28"/>
        <v>4729</v>
      </c>
      <c r="G141" s="152">
        <f t="shared" si="29"/>
        <v>4624</v>
      </c>
      <c r="H141" s="152">
        <f t="shared" si="30"/>
        <v>4657</v>
      </c>
      <c r="I141" s="153">
        <f t="shared" si="31"/>
        <v>4624</v>
      </c>
      <c r="J141" s="154"/>
    </row>
    <row r="142" spans="1:10" ht="20.100000000000001" customHeight="1">
      <c r="A142" s="80">
        <v>2014</v>
      </c>
      <c r="B142" s="151">
        <f t="shared" si="25"/>
        <v>4274</v>
      </c>
      <c r="C142" s="152">
        <f t="shared" si="26"/>
        <v>4539</v>
      </c>
      <c r="D142" s="152">
        <f t="shared" si="27"/>
        <v>4481</v>
      </c>
      <c r="E142" s="152"/>
      <c r="F142" s="152">
        <f t="shared" si="28"/>
        <v>4582</v>
      </c>
      <c r="G142" s="152">
        <f t="shared" si="29"/>
        <v>4469</v>
      </c>
      <c r="H142" s="152">
        <f t="shared" si="30"/>
        <v>4510</v>
      </c>
      <c r="I142" s="153">
        <f t="shared" si="31"/>
        <v>4469</v>
      </c>
      <c r="J142" s="154"/>
    </row>
    <row r="143" spans="1:10" ht="20.100000000000001" customHeight="1">
      <c r="A143" s="80">
        <v>2015</v>
      </c>
      <c r="B143" s="151">
        <f t="shared" si="25"/>
        <v>4094</v>
      </c>
      <c r="C143" s="152">
        <f t="shared" si="26"/>
        <v>4381</v>
      </c>
      <c r="D143" s="152">
        <f t="shared" si="27"/>
        <v>4348</v>
      </c>
      <c r="E143" s="152"/>
      <c r="F143" s="152">
        <f t="shared" si="28"/>
        <v>4437</v>
      </c>
      <c r="G143" s="152">
        <f t="shared" si="29"/>
        <v>4315</v>
      </c>
      <c r="H143" s="152">
        <f t="shared" si="30"/>
        <v>4364.5</v>
      </c>
      <c r="I143" s="153">
        <f t="shared" si="31"/>
        <v>4315</v>
      </c>
      <c r="J143" s="154"/>
    </row>
    <row r="144" spans="1:10" ht="20.100000000000001" customHeight="1">
      <c r="A144" s="80">
        <v>2016</v>
      </c>
      <c r="B144" s="151">
        <f t="shared" si="25"/>
        <v>3915</v>
      </c>
      <c r="C144" s="152">
        <f t="shared" si="26"/>
        <v>4223</v>
      </c>
      <c r="D144" s="152">
        <f t="shared" si="27"/>
        <v>4219</v>
      </c>
      <c r="E144" s="152"/>
      <c r="F144" s="152">
        <f t="shared" si="28"/>
        <v>4295</v>
      </c>
      <c r="G144" s="152">
        <f t="shared" si="29"/>
        <v>4163</v>
      </c>
      <c r="H144" s="152">
        <f t="shared" si="30"/>
        <v>4221</v>
      </c>
      <c r="I144" s="153">
        <f t="shared" si="31"/>
        <v>4163</v>
      </c>
      <c r="J144" s="154"/>
    </row>
    <row r="145" spans="1:41" ht="20.100000000000001" customHeight="1">
      <c r="A145" s="80">
        <v>2017</v>
      </c>
      <c r="B145" s="151">
        <f t="shared" si="25"/>
        <v>3735</v>
      </c>
      <c r="C145" s="152">
        <f t="shared" si="26"/>
        <v>4066</v>
      </c>
      <c r="D145" s="152">
        <f t="shared" si="27"/>
        <v>4094</v>
      </c>
      <c r="E145" s="152"/>
      <c r="F145" s="152">
        <f t="shared" si="28"/>
        <v>4154</v>
      </c>
      <c r="G145" s="152">
        <f t="shared" si="29"/>
        <v>4012.3</v>
      </c>
      <c r="H145" s="152">
        <f t="shared" si="30"/>
        <v>4080</v>
      </c>
      <c r="I145" s="153">
        <f t="shared" si="31"/>
        <v>4012</v>
      </c>
      <c r="J145" s="154"/>
    </row>
    <row r="146" spans="1:41" ht="20.100000000000001" customHeight="1">
      <c r="A146" s="80">
        <v>2018</v>
      </c>
      <c r="B146" s="151">
        <f t="shared" si="25"/>
        <v>3555</v>
      </c>
      <c r="C146" s="152">
        <f t="shared" si="26"/>
        <v>3908</v>
      </c>
      <c r="D146" s="152">
        <f t="shared" si="27"/>
        <v>3973</v>
      </c>
      <c r="E146" s="152"/>
      <c r="F146" s="152">
        <f t="shared" si="28"/>
        <v>4017</v>
      </c>
      <c r="G146" s="152">
        <f t="shared" si="29"/>
        <v>3863.3</v>
      </c>
      <c r="H146" s="152">
        <f t="shared" si="30"/>
        <v>3940.5</v>
      </c>
      <c r="I146" s="153">
        <f t="shared" si="31"/>
        <v>3863</v>
      </c>
      <c r="J146" s="154"/>
    </row>
    <row r="147" spans="1:41" ht="20.100000000000001" customHeight="1">
      <c r="A147" s="80">
        <v>2019</v>
      </c>
      <c r="B147" s="151">
        <f t="shared" si="25"/>
        <v>3376</v>
      </c>
      <c r="C147" s="152">
        <f t="shared" si="26"/>
        <v>3750</v>
      </c>
      <c r="D147" s="152">
        <f t="shared" si="27"/>
        <v>3855</v>
      </c>
      <c r="E147" s="152"/>
      <c r="F147" s="152">
        <f t="shared" si="28"/>
        <v>3881</v>
      </c>
      <c r="G147" s="152">
        <f t="shared" si="29"/>
        <v>3715.5</v>
      </c>
      <c r="H147" s="152">
        <f t="shared" si="30"/>
        <v>3802.5</v>
      </c>
      <c r="I147" s="153">
        <f t="shared" si="31"/>
        <v>3716</v>
      </c>
      <c r="J147" s="154"/>
    </row>
    <row r="148" spans="1:41" ht="20.100000000000001" customHeight="1">
      <c r="A148" s="80">
        <v>2020</v>
      </c>
      <c r="B148" s="151">
        <f t="shared" si="25"/>
        <v>3196</v>
      </c>
      <c r="C148" s="152">
        <f t="shared" si="26"/>
        <v>3592</v>
      </c>
      <c r="D148" s="152">
        <f t="shared" si="27"/>
        <v>3741</v>
      </c>
      <c r="E148" s="152"/>
      <c r="F148" s="152">
        <f t="shared" si="28"/>
        <v>3749</v>
      </c>
      <c r="G148" s="152">
        <f t="shared" si="29"/>
        <v>3569.5</v>
      </c>
      <c r="H148" s="152">
        <f t="shared" si="30"/>
        <v>3666.5</v>
      </c>
      <c r="I148" s="153">
        <f t="shared" si="31"/>
        <v>3570</v>
      </c>
      <c r="J148" s="154"/>
    </row>
    <row r="149" spans="1:41" ht="20.100000000000001" customHeight="1">
      <c r="A149" s="80">
        <v>2021</v>
      </c>
      <c r="B149" s="151">
        <f t="shared" si="25"/>
        <v>3017</v>
      </c>
      <c r="C149" s="152">
        <f t="shared" si="26"/>
        <v>3434</v>
      </c>
      <c r="D149" s="152">
        <f t="shared" si="27"/>
        <v>3630</v>
      </c>
      <c r="E149" s="152"/>
      <c r="F149" s="152">
        <f t="shared" si="28"/>
        <v>3619</v>
      </c>
      <c r="G149" s="152">
        <f t="shared" si="29"/>
        <v>3425</v>
      </c>
      <c r="H149" s="152">
        <f t="shared" si="30"/>
        <v>3526.5</v>
      </c>
      <c r="I149" s="153">
        <f t="shared" si="31"/>
        <v>3425</v>
      </c>
      <c r="J149" s="154"/>
    </row>
    <row r="150" spans="1:41" ht="20.100000000000001" customHeight="1">
      <c r="A150" s="80">
        <v>2022</v>
      </c>
      <c r="B150" s="151">
        <f t="shared" si="25"/>
        <v>2837</v>
      </c>
      <c r="C150" s="152">
        <f t="shared" si="26"/>
        <v>3276</v>
      </c>
      <c r="D150" s="152">
        <f t="shared" si="27"/>
        <v>3522</v>
      </c>
      <c r="E150" s="152"/>
      <c r="F150" s="152">
        <f t="shared" si="28"/>
        <v>3492</v>
      </c>
      <c r="G150" s="152">
        <f t="shared" si="29"/>
        <v>3281.8</v>
      </c>
      <c r="H150" s="152">
        <f t="shared" si="30"/>
        <v>3384</v>
      </c>
      <c r="I150" s="153">
        <f t="shared" si="31"/>
        <v>3282</v>
      </c>
      <c r="J150" s="154"/>
    </row>
    <row r="151" spans="1:41" ht="20.100000000000001" customHeight="1">
      <c r="A151" s="80">
        <v>2023</v>
      </c>
      <c r="B151" s="151">
        <f t="shared" si="25"/>
        <v>2657</v>
      </c>
      <c r="C151" s="152">
        <f t="shared" si="26"/>
        <v>3118</v>
      </c>
      <c r="D151" s="152">
        <f t="shared" si="27"/>
        <v>3418</v>
      </c>
      <c r="E151" s="152"/>
      <c r="F151" s="152">
        <f t="shared" si="28"/>
        <v>3368</v>
      </c>
      <c r="G151" s="152">
        <f t="shared" si="29"/>
        <v>3140.3</v>
      </c>
      <c r="H151" s="152">
        <f t="shared" si="30"/>
        <v>3243</v>
      </c>
      <c r="I151" s="153">
        <f t="shared" si="31"/>
        <v>3140</v>
      </c>
      <c r="J151" s="154"/>
      <c r="L151" s="55">
        <v>806200</v>
      </c>
    </row>
    <row r="152" spans="1:41" ht="20.100000000000001" customHeight="1">
      <c r="A152" s="80">
        <v>2024</v>
      </c>
      <c r="B152" s="151">
        <f t="shared" si="25"/>
        <v>2478</v>
      </c>
      <c r="C152" s="152">
        <f t="shared" si="26"/>
        <v>2961</v>
      </c>
      <c r="D152" s="152">
        <f t="shared" si="27"/>
        <v>3316</v>
      </c>
      <c r="E152" s="152"/>
      <c r="F152" s="152">
        <f t="shared" si="28"/>
        <v>3246</v>
      </c>
      <c r="G152" s="152">
        <f t="shared" si="29"/>
        <v>3000.3</v>
      </c>
      <c r="H152" s="152">
        <f t="shared" si="30"/>
        <v>3103.5</v>
      </c>
      <c r="I152" s="153">
        <f t="shared" si="31"/>
        <v>3000</v>
      </c>
      <c r="J152" s="154"/>
      <c r="K152" s="55">
        <v>51000</v>
      </c>
      <c r="L152" s="75">
        <f>+K152+E152</f>
        <v>51000</v>
      </c>
      <c r="M152" s="75"/>
    </row>
    <row r="153" spans="1:41" ht="20.100000000000001" customHeight="1">
      <c r="A153" s="80">
        <v>2025</v>
      </c>
      <c r="B153" s="151">
        <f t="shared" si="25"/>
        <v>2298</v>
      </c>
      <c r="C153" s="152">
        <f t="shared" si="26"/>
        <v>2803</v>
      </c>
      <c r="D153" s="152">
        <f t="shared" si="27"/>
        <v>3218</v>
      </c>
      <c r="E153" s="152"/>
      <c r="F153" s="152">
        <f t="shared" si="28"/>
        <v>3128</v>
      </c>
      <c r="G153" s="152">
        <f t="shared" si="29"/>
        <v>2861.8</v>
      </c>
      <c r="H153" s="152">
        <f t="shared" si="30"/>
        <v>2965.5</v>
      </c>
      <c r="I153" s="153">
        <f t="shared" si="31"/>
        <v>2862</v>
      </c>
      <c r="J153" s="154"/>
      <c r="L153" s="75">
        <f>+L151-L152</f>
        <v>755200</v>
      </c>
      <c r="M153" s="75"/>
    </row>
    <row r="154" spans="1:41" ht="20.100000000000001" customHeight="1">
      <c r="A154" s="155" t="s">
        <v>97</v>
      </c>
      <c r="B154" s="156"/>
      <c r="C154" s="157"/>
      <c r="D154" s="157"/>
      <c r="E154" s="157"/>
      <c r="F154" s="156"/>
      <c r="G154" s="158" t="s">
        <v>254</v>
      </c>
      <c r="H154" s="157"/>
      <c r="I154" s="159"/>
      <c r="J154" s="160"/>
      <c r="K154" s="161"/>
      <c r="L154" s="162">
        <f>B109</f>
        <v>6429</v>
      </c>
      <c r="M154" s="162">
        <f>+B110</f>
        <v>6136</v>
      </c>
      <c r="N154" s="162">
        <f>B111</f>
        <v>6182</v>
      </c>
      <c r="O154" s="161">
        <f>B112</f>
        <v>6155</v>
      </c>
      <c r="P154" s="162">
        <f>B113</f>
        <v>5800</v>
      </c>
      <c r="Q154" s="161">
        <f>B114</f>
        <v>5531</v>
      </c>
      <c r="R154" s="162">
        <f>B115</f>
        <v>5488</v>
      </c>
      <c r="S154" s="162"/>
      <c r="T154" s="162"/>
      <c r="U154" s="162"/>
      <c r="V154" s="162"/>
      <c r="W154" s="162"/>
      <c r="X154" s="162"/>
      <c r="Y154" s="161"/>
      <c r="Z154" s="161"/>
      <c r="AA154" s="161"/>
      <c r="AB154" s="161"/>
      <c r="AC154" s="161"/>
      <c r="AD154" s="161"/>
      <c r="AE154" s="161"/>
      <c r="AF154" s="161"/>
      <c r="AG154" s="161"/>
      <c r="AH154" s="161"/>
      <c r="AI154" s="161"/>
      <c r="AJ154" s="161"/>
      <c r="AK154" s="161"/>
      <c r="AL154" s="161"/>
      <c r="AM154" s="161"/>
      <c r="AN154" s="161"/>
    </row>
    <row r="155" spans="1:41" ht="20.100000000000001" hidden="1" customHeight="1">
      <c r="A155" s="85"/>
      <c r="B155" s="163"/>
      <c r="C155" s="164"/>
      <c r="D155" s="164"/>
      <c r="E155" s="164"/>
      <c r="F155" s="164"/>
      <c r="G155" s="164"/>
      <c r="H155" s="164"/>
      <c r="I155" s="165"/>
      <c r="J155" s="166"/>
      <c r="K155" s="161"/>
      <c r="L155" s="161"/>
      <c r="M155" s="161"/>
      <c r="N155" s="161"/>
      <c r="O155" s="161"/>
      <c r="P155" s="161"/>
      <c r="Q155" s="161"/>
      <c r="R155" s="161"/>
      <c r="S155" s="161"/>
      <c r="T155" s="161"/>
      <c r="U155" s="161"/>
      <c r="V155" s="161"/>
      <c r="W155" s="161"/>
      <c r="X155" s="161"/>
      <c r="Y155" s="161"/>
      <c r="Z155" s="161"/>
      <c r="AA155" s="161"/>
      <c r="AB155" s="161"/>
      <c r="AC155" s="161"/>
      <c r="AD155" s="161"/>
      <c r="AE155" s="161"/>
      <c r="AF155" s="161"/>
      <c r="AG155" s="161"/>
      <c r="AH155" s="161"/>
      <c r="AI155" s="161"/>
      <c r="AJ155" s="161"/>
      <c r="AK155" s="161"/>
      <c r="AL155" s="161"/>
      <c r="AM155" s="161"/>
      <c r="AN155" s="161"/>
    </row>
    <row r="156" spans="1:41" s="161" customFormat="1" ht="20.100000000000001" customHeight="1">
      <c r="A156" s="167" t="s">
        <v>98</v>
      </c>
      <c r="B156" s="168">
        <f>I4</f>
        <v>0.87018134690751381</v>
      </c>
      <c r="C156" s="169">
        <f>I30</f>
        <v>0.8555985823559672</v>
      </c>
      <c r="D156" s="169">
        <f>I56</f>
        <v>0.85795054016352779</v>
      </c>
      <c r="E156" s="169"/>
      <c r="F156" s="169">
        <f>I108</f>
        <v>0.85298292787926333</v>
      </c>
      <c r="G156" s="170"/>
      <c r="H156" s="171"/>
      <c r="I156" s="172"/>
      <c r="J156" s="173"/>
      <c r="K156" s="174">
        <f>MAX(B156:I156,F156)</f>
        <v>0.87018134690751381</v>
      </c>
      <c r="L156" s="161">
        <v>2002</v>
      </c>
      <c r="M156" s="161">
        <v>2003</v>
      </c>
      <c r="N156" s="161">
        <f t="shared" ref="N156:AI156" si="32">+M156+1</f>
        <v>2004</v>
      </c>
      <c r="O156" s="161">
        <f t="shared" si="32"/>
        <v>2005</v>
      </c>
      <c r="P156" s="161">
        <f t="shared" si="32"/>
        <v>2006</v>
      </c>
      <c r="Q156" s="161">
        <f t="shared" si="32"/>
        <v>2007</v>
      </c>
      <c r="R156" s="161">
        <f t="shared" si="32"/>
        <v>2008</v>
      </c>
      <c r="S156" s="161">
        <f t="shared" si="32"/>
        <v>2009</v>
      </c>
      <c r="T156" s="161">
        <f t="shared" si="32"/>
        <v>2010</v>
      </c>
      <c r="U156" s="161">
        <f t="shared" si="32"/>
        <v>2011</v>
      </c>
      <c r="V156" s="161">
        <f t="shared" si="32"/>
        <v>2012</v>
      </c>
      <c r="W156" s="161">
        <f t="shared" si="32"/>
        <v>2013</v>
      </c>
      <c r="X156" s="161">
        <f t="shared" si="32"/>
        <v>2014</v>
      </c>
      <c r="Y156" s="161">
        <f t="shared" si="32"/>
        <v>2015</v>
      </c>
      <c r="Z156" s="161">
        <f t="shared" si="32"/>
        <v>2016</v>
      </c>
      <c r="AA156" s="161">
        <f t="shared" si="32"/>
        <v>2017</v>
      </c>
      <c r="AB156" s="161">
        <f t="shared" si="32"/>
        <v>2018</v>
      </c>
      <c r="AC156" s="161">
        <f t="shared" si="32"/>
        <v>2019</v>
      </c>
      <c r="AD156" s="161">
        <f t="shared" si="32"/>
        <v>2020</v>
      </c>
      <c r="AE156" s="161">
        <f t="shared" si="32"/>
        <v>2021</v>
      </c>
      <c r="AF156" s="161">
        <f t="shared" si="32"/>
        <v>2022</v>
      </c>
      <c r="AG156" s="161">
        <f t="shared" si="32"/>
        <v>2023</v>
      </c>
      <c r="AH156" s="161">
        <f t="shared" si="32"/>
        <v>2024</v>
      </c>
      <c r="AI156" s="161">
        <f t="shared" si="32"/>
        <v>2025</v>
      </c>
    </row>
    <row r="157" spans="1:41" ht="20.100000000000001" customHeight="1">
      <c r="K157" s="161" t="s">
        <v>99</v>
      </c>
      <c r="L157" s="161"/>
      <c r="M157" s="161"/>
      <c r="N157" s="161"/>
      <c r="O157" s="161"/>
      <c r="P157" s="161"/>
      <c r="Q157" s="161">
        <f>+Q154</f>
        <v>5531</v>
      </c>
      <c r="R157" s="162">
        <f>+B11</f>
        <v>5351</v>
      </c>
      <c r="S157" s="162">
        <f>+B12</f>
        <v>5172</v>
      </c>
      <c r="T157" s="162">
        <f>+B13</f>
        <v>4992</v>
      </c>
      <c r="U157" s="162">
        <f>+B14</f>
        <v>4813</v>
      </c>
      <c r="V157" s="162">
        <f>+B15</f>
        <v>4633</v>
      </c>
      <c r="W157" s="162">
        <f>+B16</f>
        <v>4453</v>
      </c>
      <c r="X157" s="162">
        <f>+B17</f>
        <v>4274</v>
      </c>
      <c r="Y157" s="162">
        <f>+B18</f>
        <v>4094</v>
      </c>
      <c r="Z157" s="162">
        <f>+B19</f>
        <v>3915</v>
      </c>
      <c r="AA157" s="162">
        <f>+B20</f>
        <v>3735</v>
      </c>
      <c r="AB157" s="162">
        <f>+B21</f>
        <v>3555</v>
      </c>
      <c r="AC157" s="162">
        <f>+B22</f>
        <v>3376</v>
      </c>
      <c r="AD157" s="162">
        <f>+B23</f>
        <v>3196</v>
      </c>
      <c r="AE157" s="162">
        <f>+B24</f>
        <v>3017</v>
      </c>
      <c r="AF157" s="162">
        <f>+B25</f>
        <v>2837</v>
      </c>
      <c r="AG157" s="162">
        <f>+B26</f>
        <v>2657</v>
      </c>
      <c r="AH157" s="162">
        <f>+B27</f>
        <v>2478</v>
      </c>
      <c r="AI157" s="162">
        <f>+B28</f>
        <v>2298</v>
      </c>
      <c r="AJ157" s="162"/>
      <c r="AK157" s="162"/>
      <c r="AL157" s="162"/>
      <c r="AM157" s="162"/>
      <c r="AN157" s="162"/>
      <c r="AO157" s="161"/>
    </row>
    <row r="158" spans="1:41" ht="20.100000000000001" customHeight="1">
      <c r="K158" s="161" t="s">
        <v>100</v>
      </c>
      <c r="L158" s="161"/>
      <c r="M158" s="161"/>
      <c r="N158" s="161"/>
      <c r="O158" s="161"/>
      <c r="P158" s="161"/>
      <c r="Q158" s="161">
        <f>+Q157</f>
        <v>5531</v>
      </c>
      <c r="R158" s="162">
        <f>+B37</f>
        <v>5486</v>
      </c>
      <c r="S158" s="162">
        <f>+B38</f>
        <v>5328</v>
      </c>
      <c r="T158" s="162">
        <f>+B39</f>
        <v>5171</v>
      </c>
      <c r="U158" s="162">
        <f>+B40</f>
        <v>5013</v>
      </c>
      <c r="V158" s="162">
        <f>+B41</f>
        <v>4855</v>
      </c>
      <c r="W158" s="162">
        <f>+B42</f>
        <v>4697</v>
      </c>
      <c r="X158" s="162">
        <f>+B43</f>
        <v>4539</v>
      </c>
      <c r="Y158" s="162">
        <f>+B44</f>
        <v>4381</v>
      </c>
      <c r="Z158" s="162">
        <f>+B45</f>
        <v>4223</v>
      </c>
      <c r="AA158" s="162">
        <f>+B46</f>
        <v>4066</v>
      </c>
      <c r="AB158" s="162">
        <f>+B47</f>
        <v>3908</v>
      </c>
      <c r="AC158" s="162">
        <f>+B48</f>
        <v>3750</v>
      </c>
      <c r="AD158" s="162">
        <f>+B49</f>
        <v>3592</v>
      </c>
      <c r="AE158" s="162">
        <f>+B50</f>
        <v>3434</v>
      </c>
      <c r="AF158" s="162">
        <f>+B51</f>
        <v>3276</v>
      </c>
      <c r="AG158" s="162">
        <f>+B52</f>
        <v>3118</v>
      </c>
      <c r="AH158" s="162">
        <f>+B53</f>
        <v>2961</v>
      </c>
      <c r="AI158" s="162">
        <f>+B54</f>
        <v>2803</v>
      </c>
      <c r="AJ158" s="162"/>
      <c r="AK158" s="162"/>
      <c r="AL158" s="162"/>
      <c r="AM158" s="162"/>
      <c r="AN158" s="162"/>
      <c r="AO158" s="161"/>
    </row>
    <row r="159" spans="1:41" ht="20.100000000000001" customHeight="1">
      <c r="K159" s="161" t="s">
        <v>101</v>
      </c>
      <c r="L159" s="161"/>
      <c r="M159" s="161"/>
      <c r="N159" s="161"/>
      <c r="O159" s="161"/>
      <c r="P159" s="161"/>
      <c r="Q159" s="161">
        <f>+Q158</f>
        <v>5531</v>
      </c>
      <c r="R159" s="162">
        <f>+B63</f>
        <v>5367</v>
      </c>
      <c r="S159" s="162">
        <f>+B64</f>
        <v>5208</v>
      </c>
      <c r="T159" s="162">
        <f>+B65</f>
        <v>5054</v>
      </c>
      <c r="U159" s="162">
        <f>+B66</f>
        <v>4904</v>
      </c>
      <c r="V159" s="162">
        <f>+B67</f>
        <v>4759</v>
      </c>
      <c r="W159" s="162">
        <f>+B68</f>
        <v>4617</v>
      </c>
      <c r="X159" s="162">
        <f>+B69</f>
        <v>4481</v>
      </c>
      <c r="Y159" s="162">
        <f>+B70</f>
        <v>4348</v>
      </c>
      <c r="Z159" s="162">
        <f>+B71</f>
        <v>4219</v>
      </c>
      <c r="AA159" s="162">
        <f>+B72</f>
        <v>4094</v>
      </c>
      <c r="AB159" s="162">
        <f>+B73</f>
        <v>3973</v>
      </c>
      <c r="AC159" s="162">
        <f>+B74</f>
        <v>3855</v>
      </c>
      <c r="AD159" s="162">
        <f>+B75</f>
        <v>3741</v>
      </c>
      <c r="AE159" s="162">
        <f>+B76</f>
        <v>3630</v>
      </c>
      <c r="AF159" s="162">
        <f>+B77</f>
        <v>3522</v>
      </c>
      <c r="AG159" s="162">
        <f>+B78</f>
        <v>3418</v>
      </c>
      <c r="AH159" s="162">
        <f>+B79</f>
        <v>3316</v>
      </c>
      <c r="AI159" s="162">
        <f>+B80</f>
        <v>3218</v>
      </c>
      <c r="AJ159" s="162"/>
      <c r="AK159" s="162"/>
      <c r="AL159" s="162"/>
      <c r="AM159" s="162"/>
      <c r="AN159" s="162"/>
      <c r="AO159" s="161"/>
    </row>
    <row r="160" spans="1:41" ht="20.100000000000001" customHeight="1">
      <c r="K160" s="161" t="s">
        <v>102</v>
      </c>
      <c r="L160" s="161"/>
      <c r="M160" s="161"/>
      <c r="N160" s="161"/>
      <c r="O160" s="161"/>
      <c r="P160" s="161"/>
      <c r="Q160" s="161">
        <f>+Q159</f>
        <v>5531</v>
      </c>
      <c r="R160" s="162" t="e">
        <f>+B89</f>
        <v>#VALUE!</v>
      </c>
      <c r="S160" s="162" t="e">
        <f>+B90</f>
        <v>#VALUE!</v>
      </c>
      <c r="T160" s="162" t="e">
        <f>+B91</f>
        <v>#VALUE!</v>
      </c>
      <c r="U160" s="162" t="e">
        <f>+B92</f>
        <v>#VALUE!</v>
      </c>
      <c r="V160" s="162" t="e">
        <f>+B93</f>
        <v>#VALUE!</v>
      </c>
      <c r="W160" s="162" t="e">
        <f>+B94</f>
        <v>#VALUE!</v>
      </c>
      <c r="X160" s="162" t="e">
        <f>+B95</f>
        <v>#VALUE!</v>
      </c>
      <c r="Y160" s="162" t="e">
        <f>+B96</f>
        <v>#VALUE!</v>
      </c>
      <c r="Z160" s="162" t="e">
        <f>+B97</f>
        <v>#VALUE!</v>
      </c>
      <c r="AA160" s="162" t="e">
        <f>+B98</f>
        <v>#VALUE!</v>
      </c>
      <c r="AB160" s="162" t="e">
        <f>+B99</f>
        <v>#VALUE!</v>
      </c>
      <c r="AC160" s="162" t="e">
        <f>+B100</f>
        <v>#VALUE!</v>
      </c>
      <c r="AD160" s="162" t="e">
        <f>+B101</f>
        <v>#VALUE!</v>
      </c>
      <c r="AE160" s="162" t="e">
        <f>+B102</f>
        <v>#VALUE!</v>
      </c>
      <c r="AF160" s="162" t="e">
        <f>+B103</f>
        <v>#VALUE!</v>
      </c>
      <c r="AG160" s="162" t="e">
        <f>+B104</f>
        <v>#VALUE!</v>
      </c>
      <c r="AH160" s="162" t="e">
        <f>+B105</f>
        <v>#VALUE!</v>
      </c>
      <c r="AI160" s="162" t="e">
        <f>+B106</f>
        <v>#VALUE!</v>
      </c>
      <c r="AJ160" s="161"/>
      <c r="AK160" s="161"/>
      <c r="AL160" s="161"/>
      <c r="AM160" s="161"/>
      <c r="AN160" s="161"/>
      <c r="AO160" s="161"/>
    </row>
    <row r="161" spans="11:41" ht="20.100000000000001" customHeight="1">
      <c r="K161" s="161" t="s">
        <v>103</v>
      </c>
      <c r="L161" s="161"/>
      <c r="M161" s="161"/>
      <c r="N161" s="161"/>
      <c r="O161" s="161"/>
      <c r="P161" s="161"/>
      <c r="Q161" s="161">
        <f>+Q160</f>
        <v>5531</v>
      </c>
      <c r="R161" s="162">
        <f>+B115</f>
        <v>5488</v>
      </c>
      <c r="S161" s="162">
        <f>+B116</f>
        <v>5333</v>
      </c>
      <c r="T161" s="162">
        <f>+B117</f>
        <v>5180</v>
      </c>
      <c r="U161" s="162">
        <f>+B118</f>
        <v>5028</v>
      </c>
      <c r="V161" s="162">
        <f>+B119</f>
        <v>4877</v>
      </c>
      <c r="W161" s="162">
        <f>+B120</f>
        <v>4729</v>
      </c>
      <c r="X161" s="162">
        <f>+B121</f>
        <v>4582</v>
      </c>
      <c r="Y161" s="162">
        <f>+B122</f>
        <v>4437</v>
      </c>
      <c r="Z161" s="162">
        <f>+B123</f>
        <v>4295</v>
      </c>
      <c r="AA161" s="162">
        <f>+B124</f>
        <v>4154</v>
      </c>
      <c r="AB161" s="162">
        <f>+B125</f>
        <v>4017</v>
      </c>
      <c r="AC161" s="162">
        <f>+B126</f>
        <v>3881</v>
      </c>
      <c r="AD161" s="162">
        <f>+B127</f>
        <v>3749</v>
      </c>
      <c r="AE161" s="162">
        <f>+B128</f>
        <v>3619</v>
      </c>
      <c r="AF161" s="162">
        <f>+B129</f>
        <v>3492</v>
      </c>
      <c r="AG161" s="162">
        <f>+B130</f>
        <v>3368</v>
      </c>
      <c r="AH161" s="162">
        <f>+B131</f>
        <v>3246</v>
      </c>
      <c r="AI161" s="162">
        <f>+B132</f>
        <v>3128</v>
      </c>
      <c r="AJ161" s="162"/>
      <c r="AK161" s="162"/>
      <c r="AL161" s="162"/>
      <c r="AM161" s="162"/>
      <c r="AN161" s="162"/>
      <c r="AO161" s="161"/>
    </row>
    <row r="162" spans="11:41" ht="20.100000000000001" customHeight="1">
      <c r="K162" s="161" t="s">
        <v>95</v>
      </c>
      <c r="L162" s="161"/>
      <c r="M162" s="161"/>
      <c r="N162" s="161"/>
      <c r="O162" s="161"/>
      <c r="P162" s="161"/>
      <c r="Q162" s="161">
        <f>+Q161</f>
        <v>5531</v>
      </c>
      <c r="R162" s="206">
        <f>+H136</f>
        <v>5426.5</v>
      </c>
      <c r="S162" s="206">
        <f>+H137</f>
        <v>5268</v>
      </c>
      <c r="T162" s="206">
        <f>+H138</f>
        <v>5112.5</v>
      </c>
      <c r="U162" s="206">
        <f>+H139</f>
        <v>4958.5</v>
      </c>
      <c r="V162" s="206">
        <f>+H140</f>
        <v>4807</v>
      </c>
      <c r="W162" s="175">
        <f>+H141</f>
        <v>4657</v>
      </c>
      <c r="X162" s="206">
        <f>+H142</f>
        <v>4510</v>
      </c>
      <c r="Y162" s="206">
        <f>+H143</f>
        <v>4364.5</v>
      </c>
      <c r="Z162" s="206">
        <f>+H144</f>
        <v>4221</v>
      </c>
      <c r="AA162" s="206">
        <f>+H145</f>
        <v>4080</v>
      </c>
      <c r="AB162" s="206">
        <f>+H146</f>
        <v>3940.5</v>
      </c>
      <c r="AC162" s="206">
        <f>+H147</f>
        <v>3802.5</v>
      </c>
      <c r="AD162" s="206">
        <f>+H148</f>
        <v>3666.5</v>
      </c>
      <c r="AE162" s="206">
        <f>+H149</f>
        <v>3526.5</v>
      </c>
      <c r="AF162" s="206">
        <f>+H150</f>
        <v>3384</v>
      </c>
      <c r="AG162" s="206">
        <f>+H151</f>
        <v>3243</v>
      </c>
      <c r="AH162" s="206">
        <f>+H152</f>
        <v>3103.5</v>
      </c>
      <c r="AI162" s="206">
        <f>+H153</f>
        <v>2965.5</v>
      </c>
      <c r="AJ162" s="161"/>
      <c r="AK162" s="161"/>
      <c r="AL162" s="161"/>
      <c r="AM162" s="161"/>
      <c r="AN162" s="161"/>
      <c r="AO162" s="161" t="s">
        <v>95</v>
      </c>
    </row>
    <row r="163" spans="11:41" ht="20.100000000000001" customHeight="1"/>
    <row r="164" spans="11:41" ht="20.100000000000001" customHeight="1"/>
    <row r="165" spans="11:41" ht="20.100000000000001" customHeight="1"/>
    <row r="166" spans="11:41" ht="20.100000000000001" customHeight="1"/>
    <row r="167" spans="11:41" ht="20.100000000000001" customHeight="1"/>
    <row r="168" spans="11:41" ht="20.100000000000001" customHeight="1"/>
    <row r="169" spans="11:41" ht="20.100000000000001" customHeight="1"/>
    <row r="170" spans="11:41" ht="20.100000000000001" customHeight="1"/>
    <row r="171" spans="11:41" ht="20.100000000000001" customHeight="1"/>
    <row r="172" spans="11:41" ht="20.100000000000001" customHeight="1"/>
    <row r="173" spans="11:41" ht="20.100000000000001" customHeight="1"/>
    <row r="174" spans="11:41" ht="20.100000000000001" customHeight="1"/>
    <row r="175" spans="11:41" ht="20.100000000000001" customHeight="1"/>
    <row r="176" spans="11:41" ht="20.100000000000001" customHeight="1"/>
    <row r="177" ht="20.100000000000001" customHeight="1"/>
    <row r="178" ht="20.100000000000001" customHeight="1"/>
    <row r="179" ht="20.100000000000001" customHeight="1"/>
  </sheetData>
  <phoneticPr fontId="50" type="noConversion"/>
  <pageMargins left="0.74803149606299213" right="0.74803149606299213" top="0.78740157480314965" bottom="0.78740157480314965" header="0.51181102362204722" footer="0.51181102362204722"/>
  <pageSetup paperSize="9" scale="70" fitToHeight="3" orientation="portrait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>
  <sheetPr codeName="Sheet35">
    <tabColor indexed="44"/>
  </sheetPr>
  <dimension ref="A1:AX248"/>
  <sheetViews>
    <sheetView workbookViewId="0"/>
  </sheetViews>
  <sheetFormatPr defaultRowHeight="15" customHeight="1"/>
  <cols>
    <col min="1" max="1" width="8.88671875" style="55"/>
    <col min="2" max="2" width="9.21875" style="55" customWidth="1"/>
    <col min="3" max="3" width="9.5546875" style="55" customWidth="1"/>
    <col min="4" max="4" width="9" style="55" customWidth="1"/>
    <col min="5" max="5" width="11.33203125" style="55" customWidth="1"/>
    <col min="6" max="6" width="9.44140625" style="55" customWidth="1"/>
    <col min="7" max="7" width="15.109375" style="55" bestFit="1" customWidth="1"/>
    <col min="8" max="8" width="12.88671875" style="55" bestFit="1" customWidth="1"/>
    <col min="9" max="9" width="11.5546875" style="55" bestFit="1" customWidth="1"/>
    <col min="10" max="16384" width="8.88671875" style="55"/>
  </cols>
  <sheetData>
    <row r="1" spans="1:12" ht="15" customHeight="1">
      <c r="A1" s="54" t="s">
        <v>113</v>
      </c>
    </row>
    <row r="2" spans="1:12" ht="15" customHeight="1">
      <c r="A2" s="54"/>
    </row>
    <row r="3" spans="1:12" ht="15" customHeight="1">
      <c r="A3" s="56" t="s">
        <v>74</v>
      </c>
      <c r="B3" s="57"/>
    </row>
    <row r="4" spans="1:12" ht="15" customHeight="1">
      <c r="A4" s="58" t="s">
        <v>32</v>
      </c>
      <c r="B4" s="59" t="s">
        <v>40</v>
      </c>
      <c r="C4" s="59" t="s">
        <v>33</v>
      </c>
      <c r="D4" s="60"/>
      <c r="E4" s="60"/>
      <c r="F4" s="61"/>
      <c r="G4" s="62"/>
      <c r="H4" s="63" t="s">
        <v>104</v>
      </c>
      <c r="I4" s="64">
        <f>RSQ(I5:I24,B5:B24)</f>
        <v>0.94752439570341673</v>
      </c>
    </row>
    <row r="5" spans="1:12" ht="15" customHeight="1">
      <c r="A5" s="65">
        <f>과거인구현황!A6</f>
        <v>1988</v>
      </c>
      <c r="B5" s="66">
        <f>+VLOOKUP(A5,과거인구현황!$A$6:$W$26,14,FALSE)</f>
        <v>12750</v>
      </c>
      <c r="C5" s="67">
        <v>0</v>
      </c>
      <c r="D5" s="53" t="s">
        <v>75</v>
      </c>
      <c r="E5" s="68">
        <f>(B24-B5)/C24</f>
        <v>-363.36842105263156</v>
      </c>
      <c r="F5" s="69"/>
      <c r="G5" s="53"/>
      <c r="H5" s="69"/>
      <c r="I5" s="70">
        <f t="shared" ref="I5:I42" si="0">$E$5*C5+$E$6</f>
        <v>12750</v>
      </c>
      <c r="J5" s="71">
        <v>570570</v>
      </c>
      <c r="K5" s="55">
        <v>570570</v>
      </c>
      <c r="L5" s="55">
        <v>766</v>
      </c>
    </row>
    <row r="6" spans="1:12" ht="15" customHeight="1">
      <c r="A6" s="65">
        <f>과거인구현황!A7</f>
        <v>1989</v>
      </c>
      <c r="B6" s="66">
        <f>+VLOOKUP(A6,과거인구현황!$A$6:$W$26,14,FALSE)</f>
        <v>11929</v>
      </c>
      <c r="C6" s="67">
        <f t="shared" ref="C6:C42" si="1">C5+1</f>
        <v>1</v>
      </c>
      <c r="D6" s="53" t="s">
        <v>76</v>
      </c>
      <c r="E6" s="72">
        <f>B5</f>
        <v>12750</v>
      </c>
      <c r="F6" s="69"/>
      <c r="G6" s="53"/>
      <c r="H6" s="69"/>
      <c r="I6" s="70">
        <f t="shared" si="0"/>
        <v>12386.631578947368</v>
      </c>
      <c r="J6" s="71">
        <v>583230</v>
      </c>
      <c r="K6" s="55">
        <v>583230</v>
      </c>
      <c r="L6" s="55">
        <v>1094</v>
      </c>
    </row>
    <row r="7" spans="1:12" ht="15" customHeight="1">
      <c r="A7" s="65">
        <f>과거인구현황!A8</f>
        <v>1990</v>
      </c>
      <c r="B7" s="66">
        <f>+VLOOKUP(A7,과거인구현황!$A$6:$W$26,14,FALSE)</f>
        <v>10828</v>
      </c>
      <c r="C7" s="67">
        <f t="shared" si="1"/>
        <v>2</v>
      </c>
      <c r="D7" s="53" t="s">
        <v>77</v>
      </c>
      <c r="E7" s="73">
        <f>I4</f>
        <v>0.94752439570341673</v>
      </c>
      <c r="F7" s="69"/>
      <c r="G7" s="53"/>
      <c r="H7" s="69"/>
      <c r="I7" s="70">
        <f t="shared" si="0"/>
        <v>12023.263157894737</v>
      </c>
      <c r="J7" s="71">
        <v>590162</v>
      </c>
      <c r="K7" s="55">
        <v>590162</v>
      </c>
      <c r="L7" s="55">
        <v>1277</v>
      </c>
    </row>
    <row r="8" spans="1:12" ht="15" customHeight="1">
      <c r="A8" s="65">
        <f>과거인구현황!A9</f>
        <v>1991</v>
      </c>
      <c r="B8" s="66">
        <f>+VLOOKUP(A8,과거인구현황!$A$6:$W$26,14,FALSE)</f>
        <v>10840</v>
      </c>
      <c r="C8" s="67">
        <f t="shared" si="1"/>
        <v>3</v>
      </c>
      <c r="D8" s="53"/>
      <c r="E8" s="53"/>
      <c r="F8" s="69"/>
      <c r="G8" s="53"/>
      <c r="H8" s="69"/>
      <c r="I8" s="70">
        <f t="shared" si="0"/>
        <v>11659.894736842105</v>
      </c>
      <c r="J8" s="71">
        <v>600343</v>
      </c>
      <c r="K8" s="55">
        <v>600343</v>
      </c>
      <c r="L8" s="55">
        <v>1147</v>
      </c>
    </row>
    <row r="9" spans="1:12" ht="15" customHeight="1">
      <c r="A9" s="65">
        <f>과거인구현황!A10</f>
        <v>1992</v>
      </c>
      <c r="B9" s="66">
        <f>+VLOOKUP(A9,과거인구현황!$A$6:$W$26,14,FALSE)</f>
        <v>10430</v>
      </c>
      <c r="C9" s="67">
        <f t="shared" si="1"/>
        <v>4</v>
      </c>
      <c r="D9" s="53"/>
      <c r="E9" s="53"/>
      <c r="F9" s="69"/>
      <c r="G9" s="53"/>
      <c r="H9" s="69"/>
      <c r="I9" s="70">
        <f t="shared" si="0"/>
        <v>11296.526315789473</v>
      </c>
      <c r="J9" s="71">
        <v>611921</v>
      </c>
      <c r="K9" s="55">
        <v>611921</v>
      </c>
      <c r="L9" s="55">
        <v>1355</v>
      </c>
    </row>
    <row r="10" spans="1:12" ht="15" customHeight="1">
      <c r="A10" s="65">
        <f>과거인구현황!A11</f>
        <v>1993</v>
      </c>
      <c r="B10" s="66">
        <f>+VLOOKUP(A10,과거인구현황!$A$6:$W$26,14,FALSE)</f>
        <v>10044</v>
      </c>
      <c r="C10" s="67">
        <f t="shared" si="1"/>
        <v>5</v>
      </c>
      <c r="D10" s="53"/>
      <c r="E10" s="53"/>
      <c r="F10" s="69"/>
      <c r="G10" s="53"/>
      <c r="H10" s="69"/>
      <c r="I10" s="70">
        <f t="shared" si="0"/>
        <v>10933.157894736842</v>
      </c>
      <c r="J10" s="74">
        <v>622238</v>
      </c>
      <c r="K10" s="55">
        <v>622238</v>
      </c>
      <c r="L10" s="55">
        <v>1717</v>
      </c>
    </row>
    <row r="11" spans="1:12" ht="15" customHeight="1">
      <c r="A11" s="65">
        <f>과거인구현황!A12</f>
        <v>1994</v>
      </c>
      <c r="B11" s="66">
        <f>+VLOOKUP(A11,과거인구현황!$A$6:$W$26,14,FALSE)</f>
        <v>9477</v>
      </c>
      <c r="C11" s="67">
        <f t="shared" si="1"/>
        <v>6</v>
      </c>
      <c r="D11" s="53" t="s">
        <v>73</v>
      </c>
      <c r="E11" s="53"/>
      <c r="F11" s="69"/>
      <c r="G11" s="53"/>
      <c r="H11" s="69"/>
      <c r="I11" s="70">
        <f t="shared" si="0"/>
        <v>10569.78947368421</v>
      </c>
      <c r="J11" s="74">
        <v>623897</v>
      </c>
      <c r="K11" s="55">
        <v>623897</v>
      </c>
      <c r="L11" s="55">
        <v>1614</v>
      </c>
    </row>
    <row r="12" spans="1:12" ht="15" customHeight="1">
      <c r="A12" s="65">
        <f>과거인구현황!A13</f>
        <v>1995</v>
      </c>
      <c r="B12" s="66">
        <f>+VLOOKUP(A12,과거인구현황!$A$6:$W$26,14,FALSE)</f>
        <v>8906</v>
      </c>
      <c r="C12" s="67">
        <f t="shared" si="1"/>
        <v>7</v>
      </c>
      <c r="D12" s="53"/>
      <c r="E12" s="53"/>
      <c r="F12" s="69"/>
      <c r="G12" s="53"/>
      <c r="H12" s="69"/>
      <c r="I12" s="70">
        <f t="shared" si="0"/>
        <v>10206.42105263158</v>
      </c>
      <c r="J12" s="74">
        <v>626069</v>
      </c>
      <c r="K12" s="55">
        <v>626069</v>
      </c>
      <c r="L12" s="55">
        <v>1584</v>
      </c>
    </row>
    <row r="13" spans="1:12" ht="15" customHeight="1">
      <c r="A13" s="65">
        <f>과거인구현황!A14</f>
        <v>1996</v>
      </c>
      <c r="B13" s="66">
        <f>+VLOOKUP(A13,과거인구현황!$A$6:$W$26,14,FALSE)</f>
        <v>8278</v>
      </c>
      <c r="C13" s="67">
        <f t="shared" si="1"/>
        <v>8</v>
      </c>
      <c r="D13" s="53"/>
      <c r="E13" s="53"/>
      <c r="F13" s="69"/>
      <c r="G13" s="53"/>
      <c r="H13" s="69"/>
      <c r="I13" s="70">
        <f t="shared" si="0"/>
        <v>9843.0526315789466</v>
      </c>
      <c r="J13" s="74">
        <v>618816</v>
      </c>
      <c r="K13" s="55">
        <v>620374</v>
      </c>
      <c r="L13" s="75">
        <v>1555</v>
      </c>
    </row>
    <row r="14" spans="1:12" ht="15" customHeight="1">
      <c r="A14" s="65">
        <f>과거인구현황!A15</f>
        <v>1997</v>
      </c>
      <c r="B14" s="66">
        <f>+VLOOKUP(A14,과거인구현황!$A$6:$W$26,14,FALSE)</f>
        <v>7979</v>
      </c>
      <c r="C14" s="67">
        <f t="shared" si="1"/>
        <v>9</v>
      </c>
      <c r="D14" s="53"/>
      <c r="E14" s="53"/>
      <c r="F14" s="69"/>
      <c r="G14" s="53"/>
      <c r="H14" s="69"/>
      <c r="I14" s="70">
        <f t="shared" si="0"/>
        <v>9479.6842105263167</v>
      </c>
      <c r="J14" s="74">
        <v>622472</v>
      </c>
      <c r="K14" s="55">
        <v>624260</v>
      </c>
      <c r="L14" s="75">
        <v>1788</v>
      </c>
    </row>
    <row r="15" spans="1:12" ht="15" customHeight="1">
      <c r="A15" s="65">
        <f>과거인구현황!A16</f>
        <v>1998</v>
      </c>
      <c r="B15" s="66">
        <f>+VLOOKUP(A15,과거인구현황!$A$6:$W$26,14,FALSE)</f>
        <v>7754</v>
      </c>
      <c r="C15" s="67">
        <f t="shared" si="1"/>
        <v>10</v>
      </c>
      <c r="D15" s="53"/>
      <c r="E15" s="53"/>
      <c r="F15" s="69"/>
      <c r="G15" s="53"/>
      <c r="H15" s="69"/>
      <c r="I15" s="70">
        <f t="shared" si="0"/>
        <v>9116.3157894736833</v>
      </c>
      <c r="K15" s="55">
        <v>623804</v>
      </c>
      <c r="L15" s="75">
        <f>+J15-K15</f>
        <v>-623804</v>
      </c>
    </row>
    <row r="16" spans="1:12" ht="15" customHeight="1">
      <c r="A16" s="65">
        <f>과거인구현황!A17</f>
        <v>1999</v>
      </c>
      <c r="B16" s="66">
        <f>+VLOOKUP(A16,과거인구현황!$A$6:$W$26,14,FALSE)</f>
        <v>7491</v>
      </c>
      <c r="C16" s="67">
        <f t="shared" si="1"/>
        <v>11</v>
      </c>
      <c r="D16" s="53"/>
      <c r="E16" s="53"/>
      <c r="F16" s="69"/>
      <c r="G16" s="53"/>
      <c r="H16" s="69"/>
      <c r="I16" s="70">
        <f t="shared" si="0"/>
        <v>8752.9473684210534</v>
      </c>
      <c r="L16" s="75"/>
    </row>
    <row r="17" spans="1:12" ht="15" customHeight="1">
      <c r="A17" s="65">
        <f>과거인구현황!A18</f>
        <v>2000</v>
      </c>
      <c r="B17" s="66">
        <f>+VLOOKUP(A17,과거인구현황!$A$6:$W$26,14,FALSE)</f>
        <v>7200</v>
      </c>
      <c r="C17" s="67">
        <f t="shared" si="1"/>
        <v>12</v>
      </c>
      <c r="D17" s="53"/>
      <c r="E17" s="53"/>
      <c r="F17" s="69"/>
      <c r="G17" s="53"/>
      <c r="H17" s="69"/>
      <c r="I17" s="70">
        <f t="shared" si="0"/>
        <v>8389.5789473684217</v>
      </c>
      <c r="L17" s="75"/>
    </row>
    <row r="18" spans="1:12" ht="15" customHeight="1">
      <c r="A18" s="65">
        <f>과거인구현황!A19</f>
        <v>2001</v>
      </c>
      <c r="B18" s="66">
        <f>+VLOOKUP(A18,과거인구현황!$A$6:$W$26,14,FALSE)</f>
        <v>7096</v>
      </c>
      <c r="C18" s="67">
        <f t="shared" si="1"/>
        <v>13</v>
      </c>
      <c r="D18" s="53"/>
      <c r="E18" s="53"/>
      <c r="F18" s="69"/>
      <c r="G18" s="53"/>
      <c r="H18" s="69"/>
      <c r="I18" s="70">
        <f t="shared" si="0"/>
        <v>8026.21052631579</v>
      </c>
      <c r="L18" s="75"/>
    </row>
    <row r="19" spans="1:12" ht="15" customHeight="1">
      <c r="A19" s="65">
        <f>과거인구현황!A20</f>
        <v>2002</v>
      </c>
      <c r="B19" s="66">
        <f>+VLOOKUP(A19,과거인구현황!$A$6:$W$26,14,FALSE)</f>
        <v>6966</v>
      </c>
      <c r="C19" s="67">
        <f t="shared" si="1"/>
        <v>14</v>
      </c>
      <c r="D19" s="53"/>
      <c r="E19" s="53"/>
      <c r="F19" s="69"/>
      <c r="G19" s="53"/>
      <c r="H19" s="69"/>
      <c r="I19" s="70">
        <f t="shared" si="0"/>
        <v>7662.8421052631584</v>
      </c>
      <c r="L19" s="75"/>
    </row>
    <row r="20" spans="1:12" ht="15" customHeight="1">
      <c r="A20" s="65">
        <f>과거인구현황!A21</f>
        <v>2003</v>
      </c>
      <c r="B20" s="66">
        <f>+VLOOKUP(A20,과거인구현황!$A$6:$W$26,14,FALSE)</f>
        <v>6795</v>
      </c>
      <c r="C20" s="67">
        <f t="shared" si="1"/>
        <v>15</v>
      </c>
      <c r="D20" s="53"/>
      <c r="E20" s="53"/>
      <c r="F20" s="69"/>
      <c r="G20" s="53"/>
      <c r="H20" s="69"/>
      <c r="I20" s="70">
        <f t="shared" si="0"/>
        <v>7299.4736842105267</v>
      </c>
      <c r="L20" s="75"/>
    </row>
    <row r="21" spans="1:12" ht="15" customHeight="1">
      <c r="A21" s="65">
        <f>과거인구현황!A22</f>
        <v>2004</v>
      </c>
      <c r="B21" s="66">
        <f>+VLOOKUP(A21,과거인구현황!$A$6:$W$26,14,FALSE)</f>
        <v>6582</v>
      </c>
      <c r="C21" s="67">
        <f t="shared" si="1"/>
        <v>16</v>
      </c>
      <c r="D21" s="53"/>
      <c r="E21" s="53"/>
      <c r="F21" s="69"/>
      <c r="G21" s="53"/>
      <c r="H21" s="69"/>
      <c r="I21" s="70">
        <f t="shared" si="0"/>
        <v>6936.105263157895</v>
      </c>
      <c r="L21" s="75"/>
    </row>
    <row r="22" spans="1:12" ht="15" customHeight="1">
      <c r="A22" s="65">
        <f>과거인구현황!A23</f>
        <v>2005</v>
      </c>
      <c r="B22" s="66">
        <f>+VLOOKUP(A22,과거인구현황!$A$6:$W$26,14,FALSE)</f>
        <v>6343</v>
      </c>
      <c r="C22" s="67">
        <f t="shared" si="1"/>
        <v>17</v>
      </c>
      <c r="D22" s="53"/>
      <c r="E22" s="53"/>
      <c r="F22" s="69"/>
      <c r="G22" s="53"/>
      <c r="H22" s="69"/>
      <c r="I22" s="70">
        <f t="shared" si="0"/>
        <v>6572.7368421052633</v>
      </c>
      <c r="L22" s="75"/>
    </row>
    <row r="23" spans="1:12" ht="15" customHeight="1">
      <c r="A23" s="65">
        <f>과거인구현황!A24</f>
        <v>2006</v>
      </c>
      <c r="B23" s="66">
        <f>+VLOOKUP(A23,과거인구현황!$A$6:$W$26,14,FALSE)</f>
        <v>5994</v>
      </c>
      <c r="C23" s="67">
        <f t="shared" si="1"/>
        <v>18</v>
      </c>
      <c r="D23" s="53"/>
      <c r="E23" s="53"/>
      <c r="F23" s="69"/>
      <c r="G23" s="53"/>
      <c r="H23" s="69"/>
      <c r="I23" s="70">
        <f t="shared" si="0"/>
        <v>6209.3684210526317</v>
      </c>
      <c r="L23" s="75"/>
    </row>
    <row r="24" spans="1:12" ht="15" customHeight="1" thickBot="1">
      <c r="A24" s="97">
        <f>과거인구현황!A25</f>
        <v>2007</v>
      </c>
      <c r="B24" s="185">
        <f>+VLOOKUP(A24,과거인구현황!$A$6:$W$26,14,FALSE)</f>
        <v>5846</v>
      </c>
      <c r="C24" s="99">
        <f t="shared" si="1"/>
        <v>19</v>
      </c>
      <c r="D24" s="101"/>
      <c r="E24" s="101"/>
      <c r="F24" s="100"/>
      <c r="G24" s="101"/>
      <c r="H24" s="100"/>
      <c r="I24" s="102">
        <f t="shared" si="0"/>
        <v>5846</v>
      </c>
      <c r="L24" s="75"/>
    </row>
    <row r="25" spans="1:12" ht="15" customHeight="1" thickTop="1">
      <c r="A25" s="255">
        <v>2008</v>
      </c>
      <c r="B25" s="81">
        <f t="shared" ref="B25:B42" si="2">ROUND($E$5*C25+$E$6,0)</f>
        <v>5483</v>
      </c>
      <c r="C25" s="77">
        <f t="shared" si="1"/>
        <v>20</v>
      </c>
      <c r="D25" s="256"/>
      <c r="E25" s="256"/>
      <c r="F25" s="78"/>
      <c r="G25" s="256"/>
      <c r="H25" s="78"/>
      <c r="I25" s="79">
        <f t="shared" si="0"/>
        <v>5482.6315789473683</v>
      </c>
      <c r="L25" s="75"/>
    </row>
    <row r="26" spans="1:12" ht="15" customHeight="1">
      <c r="A26" s="80">
        <v>2009</v>
      </c>
      <c r="B26" s="81">
        <f t="shared" si="2"/>
        <v>5119</v>
      </c>
      <c r="C26" s="67">
        <f>C25+1</f>
        <v>21</v>
      </c>
      <c r="D26" s="69"/>
      <c r="E26" s="69"/>
      <c r="F26" s="69"/>
      <c r="G26" s="69"/>
      <c r="H26" s="69"/>
      <c r="I26" s="70">
        <f t="shared" si="0"/>
        <v>5119.2631578947376</v>
      </c>
    </row>
    <row r="27" spans="1:12" ht="15" customHeight="1">
      <c r="A27" s="80">
        <v>2010</v>
      </c>
      <c r="B27" s="81">
        <f t="shared" si="2"/>
        <v>4756</v>
      </c>
      <c r="C27" s="82">
        <f t="shared" si="1"/>
        <v>22</v>
      </c>
      <c r="D27" s="69"/>
      <c r="E27" s="69"/>
      <c r="F27" s="69"/>
      <c r="G27" s="69"/>
      <c r="H27" s="69"/>
      <c r="I27" s="70">
        <f t="shared" si="0"/>
        <v>4755.8947368421059</v>
      </c>
    </row>
    <row r="28" spans="1:12" ht="15" customHeight="1">
      <c r="A28" s="80">
        <v>2011</v>
      </c>
      <c r="B28" s="81">
        <f t="shared" si="2"/>
        <v>4393</v>
      </c>
      <c r="C28" s="82">
        <f t="shared" si="1"/>
        <v>23</v>
      </c>
      <c r="D28" s="69"/>
      <c r="E28" s="69"/>
      <c r="F28" s="69"/>
      <c r="G28" s="69"/>
      <c r="H28" s="69"/>
      <c r="I28" s="70">
        <f t="shared" si="0"/>
        <v>4392.5263157894733</v>
      </c>
    </row>
    <row r="29" spans="1:12" ht="15" customHeight="1">
      <c r="A29" s="80">
        <v>2012</v>
      </c>
      <c r="B29" s="81">
        <f t="shared" si="2"/>
        <v>4029</v>
      </c>
      <c r="C29" s="82">
        <f t="shared" si="1"/>
        <v>24</v>
      </c>
      <c r="D29" s="69"/>
      <c r="E29" s="69"/>
      <c r="F29" s="69"/>
      <c r="G29" s="69"/>
      <c r="H29" s="69"/>
      <c r="I29" s="70">
        <f t="shared" si="0"/>
        <v>4029.1578947368434</v>
      </c>
    </row>
    <row r="30" spans="1:12" ht="15" customHeight="1">
      <c r="A30" s="80">
        <v>2013</v>
      </c>
      <c r="B30" s="81">
        <f t="shared" si="2"/>
        <v>3666</v>
      </c>
      <c r="C30" s="82">
        <f t="shared" si="1"/>
        <v>25</v>
      </c>
      <c r="D30" s="69"/>
      <c r="E30" s="69"/>
      <c r="F30" s="69"/>
      <c r="G30" s="69"/>
      <c r="H30" s="69"/>
      <c r="I30" s="70">
        <f t="shared" si="0"/>
        <v>3665.7894736842118</v>
      </c>
    </row>
    <row r="31" spans="1:12" ht="15" customHeight="1">
      <c r="A31" s="80">
        <v>2014</v>
      </c>
      <c r="B31" s="81">
        <f t="shared" si="2"/>
        <v>3302</v>
      </c>
      <c r="C31" s="82">
        <f t="shared" si="1"/>
        <v>26</v>
      </c>
      <c r="D31" s="69"/>
      <c r="E31" s="69"/>
      <c r="F31" s="69"/>
      <c r="G31" s="69"/>
      <c r="H31" s="69"/>
      <c r="I31" s="70">
        <f t="shared" si="0"/>
        <v>3302.4210526315801</v>
      </c>
    </row>
    <row r="32" spans="1:12" ht="15" customHeight="1">
      <c r="A32" s="80">
        <v>2015</v>
      </c>
      <c r="B32" s="81">
        <f t="shared" si="2"/>
        <v>2939</v>
      </c>
      <c r="C32" s="82">
        <f t="shared" si="1"/>
        <v>27</v>
      </c>
      <c r="D32" s="69"/>
      <c r="E32" s="69"/>
      <c r="F32" s="69"/>
      <c r="G32" s="69"/>
      <c r="H32" s="69"/>
      <c r="I32" s="70">
        <f t="shared" si="0"/>
        <v>2939.0526315789484</v>
      </c>
    </row>
    <row r="33" spans="1:9" ht="15" customHeight="1">
      <c r="A33" s="80">
        <v>2016</v>
      </c>
      <c r="B33" s="81">
        <f t="shared" si="2"/>
        <v>2576</v>
      </c>
      <c r="C33" s="82">
        <f t="shared" si="1"/>
        <v>28</v>
      </c>
      <c r="D33" s="69"/>
      <c r="E33" s="69"/>
      <c r="F33" s="69"/>
      <c r="G33" s="69"/>
      <c r="H33" s="69"/>
      <c r="I33" s="70">
        <f t="shared" si="0"/>
        <v>2575.6842105263167</v>
      </c>
    </row>
    <row r="34" spans="1:9" ht="15" customHeight="1">
      <c r="A34" s="80">
        <v>2017</v>
      </c>
      <c r="B34" s="81">
        <f t="shared" si="2"/>
        <v>2212</v>
      </c>
      <c r="C34" s="82">
        <f t="shared" si="1"/>
        <v>29</v>
      </c>
      <c r="D34" s="69"/>
      <c r="E34" s="69"/>
      <c r="F34" s="69"/>
      <c r="G34" s="69"/>
      <c r="H34" s="69"/>
      <c r="I34" s="70">
        <f t="shared" si="0"/>
        <v>2212.3157894736851</v>
      </c>
    </row>
    <row r="35" spans="1:9" ht="15" customHeight="1">
      <c r="A35" s="80">
        <v>2018</v>
      </c>
      <c r="B35" s="81">
        <f t="shared" si="2"/>
        <v>1849</v>
      </c>
      <c r="C35" s="82">
        <f t="shared" si="1"/>
        <v>30</v>
      </c>
      <c r="D35" s="69"/>
      <c r="E35" s="69"/>
      <c r="F35" s="69"/>
      <c r="G35" s="69"/>
      <c r="H35" s="69"/>
      <c r="I35" s="70">
        <f t="shared" si="0"/>
        <v>1848.9473684210534</v>
      </c>
    </row>
    <row r="36" spans="1:9" ht="15" customHeight="1">
      <c r="A36" s="80">
        <v>2019</v>
      </c>
      <c r="B36" s="81">
        <f t="shared" si="2"/>
        <v>1486</v>
      </c>
      <c r="C36" s="82">
        <f t="shared" si="1"/>
        <v>31</v>
      </c>
      <c r="D36" s="69"/>
      <c r="E36" s="69"/>
      <c r="F36" s="69"/>
      <c r="G36" s="69"/>
      <c r="H36" s="69"/>
      <c r="I36" s="70">
        <f t="shared" si="0"/>
        <v>1485.5789473684217</v>
      </c>
    </row>
    <row r="37" spans="1:9" ht="15" customHeight="1">
      <c r="A37" s="80">
        <v>2020</v>
      </c>
      <c r="B37" s="81">
        <f t="shared" si="2"/>
        <v>1122</v>
      </c>
      <c r="C37" s="82">
        <f t="shared" si="1"/>
        <v>32</v>
      </c>
      <c r="D37" s="69"/>
      <c r="E37" s="69"/>
      <c r="F37" s="69"/>
      <c r="G37" s="69"/>
      <c r="H37" s="69"/>
      <c r="I37" s="70">
        <f t="shared" si="0"/>
        <v>1122.21052631579</v>
      </c>
    </row>
    <row r="38" spans="1:9" ht="15" customHeight="1">
      <c r="A38" s="80">
        <v>2021</v>
      </c>
      <c r="B38" s="81">
        <f t="shared" si="2"/>
        <v>759</v>
      </c>
      <c r="C38" s="82">
        <f t="shared" si="1"/>
        <v>33</v>
      </c>
      <c r="D38" s="69"/>
      <c r="E38" s="69"/>
      <c r="F38" s="69"/>
      <c r="G38" s="69"/>
      <c r="H38" s="69"/>
      <c r="I38" s="70">
        <f t="shared" si="0"/>
        <v>758.84210526315837</v>
      </c>
    </row>
    <row r="39" spans="1:9" ht="15" customHeight="1">
      <c r="A39" s="80">
        <v>2022</v>
      </c>
      <c r="B39" s="81">
        <f t="shared" si="2"/>
        <v>395</v>
      </c>
      <c r="C39" s="82">
        <f t="shared" si="1"/>
        <v>34</v>
      </c>
      <c r="D39" s="69"/>
      <c r="E39" s="69"/>
      <c r="F39" s="69"/>
      <c r="G39" s="69"/>
      <c r="H39" s="69"/>
      <c r="I39" s="70">
        <f t="shared" si="0"/>
        <v>395.4736842105267</v>
      </c>
    </row>
    <row r="40" spans="1:9" ht="15" customHeight="1">
      <c r="A40" s="80">
        <v>2023</v>
      </c>
      <c r="B40" s="81">
        <f t="shared" si="2"/>
        <v>32</v>
      </c>
      <c r="C40" s="82">
        <f t="shared" si="1"/>
        <v>35</v>
      </c>
      <c r="D40" s="69"/>
      <c r="E40" s="69"/>
      <c r="F40" s="69"/>
      <c r="G40" s="69"/>
      <c r="H40" s="69"/>
      <c r="I40" s="70">
        <f t="shared" si="0"/>
        <v>32.105263157895024</v>
      </c>
    </row>
    <row r="41" spans="1:9" ht="15" customHeight="1">
      <c r="A41" s="80">
        <v>2024</v>
      </c>
      <c r="B41" s="81">
        <f t="shared" si="2"/>
        <v>-331</v>
      </c>
      <c r="C41" s="67">
        <f t="shared" si="1"/>
        <v>36</v>
      </c>
      <c r="D41" s="83"/>
      <c r="E41" s="69"/>
      <c r="F41" s="69"/>
      <c r="G41" s="69"/>
      <c r="H41" s="84"/>
      <c r="I41" s="70">
        <f t="shared" si="0"/>
        <v>-331.26315789473665</v>
      </c>
    </row>
    <row r="42" spans="1:9" ht="15" customHeight="1">
      <c r="A42" s="85">
        <v>2025</v>
      </c>
      <c r="B42" s="86">
        <f t="shared" si="2"/>
        <v>-695</v>
      </c>
      <c r="C42" s="87">
        <f t="shared" si="1"/>
        <v>37</v>
      </c>
      <c r="D42" s="88"/>
      <c r="E42" s="89"/>
      <c r="F42" s="89"/>
      <c r="G42" s="89"/>
      <c r="H42" s="90"/>
      <c r="I42" s="91">
        <f t="shared" si="0"/>
        <v>-694.63157894736833</v>
      </c>
    </row>
    <row r="43" spans="1:9" ht="15" customHeight="1">
      <c r="A43" s="56" t="s">
        <v>78</v>
      </c>
      <c r="B43" s="92"/>
      <c r="I43" s="89"/>
    </row>
    <row r="44" spans="1:9" ht="15" customHeight="1">
      <c r="A44" s="58" t="s">
        <v>32</v>
      </c>
      <c r="B44" s="59" t="s">
        <v>40</v>
      </c>
      <c r="C44" s="59" t="s">
        <v>33</v>
      </c>
      <c r="D44" s="60"/>
      <c r="E44" s="60"/>
      <c r="F44" s="61"/>
      <c r="G44" s="62"/>
      <c r="H44" s="63" t="s">
        <v>104</v>
      </c>
      <c r="I44" s="64">
        <f>RSQ(I45:I65,B45:B65)</f>
        <v>0.95435494808897525</v>
      </c>
    </row>
    <row r="45" spans="1:9" ht="15" customHeight="1">
      <c r="A45" s="65">
        <f t="shared" ref="A45:B60" si="3">A5</f>
        <v>1988</v>
      </c>
      <c r="B45" s="93">
        <f t="shared" si="3"/>
        <v>12750</v>
      </c>
      <c r="C45" s="67">
        <v>0</v>
      </c>
      <c r="D45" s="53" t="s">
        <v>75</v>
      </c>
      <c r="E45" s="68">
        <f>INDEX(LINEST(B45:B64,C45:C64),1)</f>
        <v>-338.47368421052619</v>
      </c>
      <c r="F45" s="69"/>
      <c r="G45" s="53"/>
      <c r="H45" s="69"/>
      <c r="I45" s="94">
        <f t="shared" ref="I45:I82" si="4">$E$45*C45+$E$46</f>
        <v>11691.899999999998</v>
      </c>
    </row>
    <row r="46" spans="1:9" ht="15" customHeight="1">
      <c r="A46" s="65">
        <f t="shared" si="3"/>
        <v>1989</v>
      </c>
      <c r="B46" s="93">
        <f t="shared" si="3"/>
        <v>11929</v>
      </c>
      <c r="C46" s="67">
        <f t="shared" ref="C46:C82" si="5">C45+1</f>
        <v>1</v>
      </c>
      <c r="D46" s="53" t="s">
        <v>76</v>
      </c>
      <c r="E46" s="72">
        <f>INDEX(LINEST(B45:B64,C45:C64),2)</f>
        <v>11691.899999999998</v>
      </c>
      <c r="F46" s="69"/>
      <c r="G46" s="53"/>
      <c r="H46" s="69"/>
      <c r="I46" s="70">
        <f t="shared" si="4"/>
        <v>11353.426315789471</v>
      </c>
    </row>
    <row r="47" spans="1:9" ht="15" customHeight="1">
      <c r="A47" s="65">
        <f t="shared" si="3"/>
        <v>1990</v>
      </c>
      <c r="B47" s="93">
        <f t="shared" si="3"/>
        <v>10828</v>
      </c>
      <c r="C47" s="67">
        <f t="shared" si="5"/>
        <v>2</v>
      </c>
      <c r="D47" s="53" t="s">
        <v>77</v>
      </c>
      <c r="E47" s="73">
        <f>I44</f>
        <v>0.95435494808897525</v>
      </c>
      <c r="F47" s="69"/>
      <c r="G47" s="53"/>
      <c r="H47" s="69"/>
      <c r="I47" s="70">
        <f t="shared" si="4"/>
        <v>11014.952631578946</v>
      </c>
    </row>
    <row r="48" spans="1:9" ht="15" customHeight="1">
      <c r="A48" s="65">
        <f t="shared" si="3"/>
        <v>1991</v>
      </c>
      <c r="B48" s="93">
        <f t="shared" si="3"/>
        <v>10840</v>
      </c>
      <c r="C48" s="67">
        <f t="shared" si="5"/>
        <v>3</v>
      </c>
      <c r="D48" s="53"/>
      <c r="E48" s="53"/>
      <c r="F48" s="69"/>
      <c r="G48" s="53"/>
      <c r="H48" s="69"/>
      <c r="I48" s="70">
        <f t="shared" si="4"/>
        <v>10676.47894736842</v>
      </c>
    </row>
    <row r="49" spans="1:9" ht="15" customHeight="1">
      <c r="A49" s="65">
        <f t="shared" si="3"/>
        <v>1992</v>
      </c>
      <c r="B49" s="93">
        <f t="shared" si="3"/>
        <v>10430</v>
      </c>
      <c r="C49" s="67">
        <f t="shared" si="5"/>
        <v>4</v>
      </c>
      <c r="D49" s="53"/>
      <c r="E49" s="53"/>
      <c r="F49" s="69"/>
      <c r="G49" s="95"/>
      <c r="H49" s="69"/>
      <c r="I49" s="70">
        <f t="shared" si="4"/>
        <v>10338.005263157893</v>
      </c>
    </row>
    <row r="50" spans="1:9" ht="15" customHeight="1">
      <c r="A50" s="65">
        <f t="shared" si="3"/>
        <v>1993</v>
      </c>
      <c r="B50" s="93">
        <f t="shared" si="3"/>
        <v>10044</v>
      </c>
      <c r="C50" s="67">
        <f t="shared" si="5"/>
        <v>5</v>
      </c>
      <c r="D50" s="53"/>
      <c r="E50" s="53"/>
      <c r="F50" s="69"/>
      <c r="G50" s="53"/>
      <c r="H50" s="69"/>
      <c r="I50" s="70">
        <f t="shared" si="4"/>
        <v>9999.5315789473661</v>
      </c>
    </row>
    <row r="51" spans="1:9" ht="15" customHeight="1">
      <c r="A51" s="65">
        <f t="shared" si="3"/>
        <v>1994</v>
      </c>
      <c r="B51" s="93">
        <f t="shared" si="3"/>
        <v>9477</v>
      </c>
      <c r="C51" s="67">
        <f t="shared" si="5"/>
        <v>6</v>
      </c>
      <c r="D51" s="53" t="s">
        <v>73</v>
      </c>
      <c r="E51" s="53"/>
      <c r="F51" s="69"/>
      <c r="G51" s="53"/>
      <c r="H51" s="69"/>
      <c r="I51" s="70">
        <f t="shared" si="4"/>
        <v>9661.0578947368413</v>
      </c>
    </row>
    <row r="52" spans="1:9" ht="15" customHeight="1">
      <c r="A52" s="65">
        <f t="shared" si="3"/>
        <v>1995</v>
      </c>
      <c r="B52" s="93">
        <f t="shared" si="3"/>
        <v>8906</v>
      </c>
      <c r="C52" s="67">
        <f t="shared" si="5"/>
        <v>7</v>
      </c>
      <c r="D52" s="53"/>
      <c r="E52" s="53"/>
      <c r="F52" s="69"/>
      <c r="G52" s="53"/>
      <c r="H52" s="69"/>
      <c r="I52" s="70">
        <f t="shared" si="4"/>
        <v>9322.5842105263146</v>
      </c>
    </row>
    <row r="53" spans="1:9" ht="15" customHeight="1">
      <c r="A53" s="65">
        <f t="shared" si="3"/>
        <v>1996</v>
      </c>
      <c r="B53" s="93">
        <f t="shared" si="3"/>
        <v>8278</v>
      </c>
      <c r="C53" s="67">
        <f t="shared" si="5"/>
        <v>8</v>
      </c>
      <c r="D53" s="53"/>
      <c r="E53" s="53"/>
      <c r="F53" s="69"/>
      <c r="G53" s="53"/>
      <c r="H53" s="69"/>
      <c r="I53" s="70">
        <f t="shared" si="4"/>
        <v>8984.1105263157879</v>
      </c>
    </row>
    <row r="54" spans="1:9" ht="15" customHeight="1">
      <c r="A54" s="65">
        <f t="shared" si="3"/>
        <v>1997</v>
      </c>
      <c r="B54" s="93">
        <f t="shared" si="3"/>
        <v>7979</v>
      </c>
      <c r="C54" s="67">
        <f t="shared" si="5"/>
        <v>9</v>
      </c>
      <c r="D54" s="69"/>
      <c r="E54" s="69"/>
      <c r="F54" s="69"/>
      <c r="G54" s="53"/>
      <c r="H54" s="53"/>
      <c r="I54" s="70">
        <f t="shared" si="4"/>
        <v>8645.6368421052612</v>
      </c>
    </row>
    <row r="55" spans="1:9" ht="15" customHeight="1">
      <c r="A55" s="65">
        <f t="shared" si="3"/>
        <v>1998</v>
      </c>
      <c r="B55" s="93">
        <f t="shared" si="3"/>
        <v>7754</v>
      </c>
      <c r="C55" s="67">
        <f t="shared" si="5"/>
        <v>10</v>
      </c>
      <c r="D55" s="69"/>
      <c r="E55" s="69"/>
      <c r="F55" s="69"/>
      <c r="G55" s="53"/>
      <c r="H55" s="53"/>
      <c r="I55" s="70">
        <f t="shared" si="4"/>
        <v>8307.1631578947363</v>
      </c>
    </row>
    <row r="56" spans="1:9" ht="15" customHeight="1">
      <c r="A56" s="65">
        <f t="shared" si="3"/>
        <v>1999</v>
      </c>
      <c r="B56" s="93">
        <f t="shared" si="3"/>
        <v>7491</v>
      </c>
      <c r="C56" s="67">
        <f t="shared" si="5"/>
        <v>11</v>
      </c>
      <c r="D56" s="69"/>
      <c r="E56" s="69"/>
      <c r="F56" s="69"/>
      <c r="G56" s="53"/>
      <c r="H56" s="53"/>
      <c r="I56" s="70">
        <f t="shared" si="4"/>
        <v>7968.6894736842096</v>
      </c>
    </row>
    <row r="57" spans="1:9" ht="15" customHeight="1">
      <c r="A57" s="65">
        <f t="shared" si="3"/>
        <v>2000</v>
      </c>
      <c r="B57" s="93">
        <f t="shared" si="3"/>
        <v>7200</v>
      </c>
      <c r="C57" s="67">
        <f t="shared" si="5"/>
        <v>12</v>
      </c>
      <c r="D57" s="69"/>
      <c r="E57" s="69"/>
      <c r="F57" s="69"/>
      <c r="G57" s="53"/>
      <c r="H57" s="53"/>
      <c r="I57" s="70">
        <f t="shared" si="4"/>
        <v>7630.2157894736838</v>
      </c>
    </row>
    <row r="58" spans="1:9" ht="15" customHeight="1">
      <c r="A58" s="65">
        <f t="shared" si="3"/>
        <v>2001</v>
      </c>
      <c r="B58" s="93">
        <f t="shared" si="3"/>
        <v>7096</v>
      </c>
      <c r="C58" s="67">
        <f t="shared" si="5"/>
        <v>13</v>
      </c>
      <c r="D58" s="69"/>
      <c r="E58" s="96"/>
      <c r="F58" s="69"/>
      <c r="G58" s="53"/>
      <c r="H58" s="53"/>
      <c r="I58" s="70">
        <f t="shared" si="4"/>
        <v>7291.7421052631571</v>
      </c>
    </row>
    <row r="59" spans="1:9" ht="15" customHeight="1">
      <c r="A59" s="65">
        <f t="shared" si="3"/>
        <v>2002</v>
      </c>
      <c r="B59" s="93">
        <f t="shared" si="3"/>
        <v>6966</v>
      </c>
      <c r="C59" s="67">
        <f t="shared" si="5"/>
        <v>14</v>
      </c>
      <c r="D59" s="69"/>
      <c r="E59" s="69"/>
      <c r="F59" s="69"/>
      <c r="G59" s="53"/>
      <c r="H59" s="53"/>
      <c r="I59" s="70">
        <f t="shared" si="4"/>
        <v>6953.2684210526313</v>
      </c>
    </row>
    <row r="60" spans="1:9" ht="15" customHeight="1">
      <c r="A60" s="65">
        <f t="shared" si="3"/>
        <v>2003</v>
      </c>
      <c r="B60" s="93">
        <f t="shared" si="3"/>
        <v>6795</v>
      </c>
      <c r="C60" s="67">
        <f t="shared" si="5"/>
        <v>15</v>
      </c>
      <c r="D60" s="69"/>
      <c r="E60" s="69"/>
      <c r="F60" s="69"/>
      <c r="G60" s="53"/>
      <c r="H60" s="53"/>
      <c r="I60" s="70">
        <f t="shared" si="4"/>
        <v>6614.7947368421046</v>
      </c>
    </row>
    <row r="61" spans="1:9" ht="15" customHeight="1">
      <c r="A61" s="65">
        <f t="shared" ref="A61:B65" si="6">A21</f>
        <v>2004</v>
      </c>
      <c r="B61" s="93">
        <f t="shared" si="6"/>
        <v>6582</v>
      </c>
      <c r="C61" s="67">
        <f t="shared" si="5"/>
        <v>16</v>
      </c>
      <c r="D61" s="69"/>
      <c r="E61" s="69"/>
      <c r="F61" s="69"/>
      <c r="G61" s="53"/>
      <c r="H61" s="53"/>
      <c r="I61" s="70">
        <f t="shared" si="4"/>
        <v>6276.3210526315788</v>
      </c>
    </row>
    <row r="62" spans="1:9" ht="15" customHeight="1">
      <c r="A62" s="65">
        <f t="shared" si="6"/>
        <v>2005</v>
      </c>
      <c r="B62" s="93">
        <f t="shared" si="6"/>
        <v>6343</v>
      </c>
      <c r="C62" s="67">
        <f t="shared" si="5"/>
        <v>17</v>
      </c>
      <c r="D62" s="69"/>
      <c r="E62" s="69"/>
      <c r="F62" s="69"/>
      <c r="G62" s="53"/>
      <c r="H62" s="53"/>
      <c r="I62" s="70">
        <f t="shared" si="4"/>
        <v>5937.847368421053</v>
      </c>
    </row>
    <row r="63" spans="1:9" ht="15" customHeight="1">
      <c r="A63" s="65">
        <f t="shared" si="6"/>
        <v>2006</v>
      </c>
      <c r="B63" s="93">
        <f t="shared" si="6"/>
        <v>5994</v>
      </c>
      <c r="C63" s="67">
        <f t="shared" si="5"/>
        <v>18</v>
      </c>
      <c r="D63" s="69"/>
      <c r="E63" s="69"/>
      <c r="F63" s="69"/>
      <c r="G63" s="53"/>
      <c r="H63" s="53"/>
      <c r="I63" s="70">
        <f t="shared" si="4"/>
        <v>5599.3736842105263</v>
      </c>
    </row>
    <row r="64" spans="1:9" ht="15" customHeight="1" thickBot="1">
      <c r="A64" s="97">
        <f t="shared" si="6"/>
        <v>2007</v>
      </c>
      <c r="B64" s="98">
        <f t="shared" si="6"/>
        <v>5846</v>
      </c>
      <c r="C64" s="99">
        <f t="shared" si="5"/>
        <v>19</v>
      </c>
      <c r="D64" s="100"/>
      <c r="E64" s="100"/>
      <c r="F64" s="100"/>
      <c r="G64" s="101"/>
      <c r="H64" s="101"/>
      <c r="I64" s="102">
        <f t="shared" si="4"/>
        <v>5260.9000000000005</v>
      </c>
    </row>
    <row r="65" spans="1:9" ht="15" customHeight="1" thickTop="1">
      <c r="A65" s="255">
        <f t="shared" si="6"/>
        <v>2008</v>
      </c>
      <c r="B65" s="81">
        <f t="shared" ref="B65:B82" si="7">ROUND(E$45*C65+E$46,0)</f>
        <v>4922</v>
      </c>
      <c r="C65" s="77">
        <f t="shared" si="5"/>
        <v>20</v>
      </c>
      <c r="D65" s="78"/>
      <c r="E65" s="78"/>
      <c r="F65" s="78"/>
      <c r="G65" s="256"/>
      <c r="H65" s="256"/>
      <c r="I65" s="79">
        <f t="shared" si="4"/>
        <v>4922.4263157894738</v>
      </c>
    </row>
    <row r="66" spans="1:9" ht="15" customHeight="1">
      <c r="A66" s="80">
        <v>2009</v>
      </c>
      <c r="B66" s="81">
        <f t="shared" si="7"/>
        <v>4584</v>
      </c>
      <c r="C66" s="82">
        <f t="shared" si="5"/>
        <v>21</v>
      </c>
      <c r="D66" s="69"/>
      <c r="E66" s="69"/>
      <c r="F66" s="69"/>
      <c r="G66" s="69"/>
      <c r="H66" s="69"/>
      <c r="I66" s="70">
        <f t="shared" si="4"/>
        <v>4583.9526315789481</v>
      </c>
    </row>
    <row r="67" spans="1:9" ht="15" customHeight="1">
      <c r="A67" s="80">
        <v>2010</v>
      </c>
      <c r="B67" s="81">
        <f t="shared" si="7"/>
        <v>4245</v>
      </c>
      <c r="C67" s="82">
        <f t="shared" si="5"/>
        <v>22</v>
      </c>
      <c r="D67" s="69"/>
      <c r="E67" s="69"/>
      <c r="F67" s="69"/>
      <c r="G67" s="69"/>
      <c r="H67" s="69"/>
      <c r="I67" s="70">
        <f t="shared" si="4"/>
        <v>4245.4789473684214</v>
      </c>
    </row>
    <row r="68" spans="1:9" ht="15" customHeight="1">
      <c r="A68" s="80">
        <v>2011</v>
      </c>
      <c r="B68" s="81">
        <f t="shared" si="7"/>
        <v>3907</v>
      </c>
      <c r="C68" s="82">
        <f t="shared" si="5"/>
        <v>23</v>
      </c>
      <c r="D68" s="69"/>
      <c r="E68" s="69"/>
      <c r="F68" s="69"/>
      <c r="G68" s="69"/>
      <c r="H68" s="69"/>
      <c r="I68" s="70">
        <f t="shared" si="4"/>
        <v>3907.0052631578956</v>
      </c>
    </row>
    <row r="69" spans="1:9" ht="15" customHeight="1">
      <c r="A69" s="80">
        <v>2012</v>
      </c>
      <c r="B69" s="81">
        <f t="shared" si="7"/>
        <v>3569</v>
      </c>
      <c r="C69" s="82">
        <f t="shared" si="5"/>
        <v>24</v>
      </c>
      <c r="D69" s="69"/>
      <c r="E69" s="69"/>
      <c r="F69" s="69"/>
      <c r="G69" s="69"/>
      <c r="H69" s="69"/>
      <c r="I69" s="70">
        <f t="shared" si="4"/>
        <v>3568.5315789473698</v>
      </c>
    </row>
    <row r="70" spans="1:9" ht="15" customHeight="1">
      <c r="A70" s="80">
        <v>2013</v>
      </c>
      <c r="B70" s="81">
        <f t="shared" si="7"/>
        <v>3230</v>
      </c>
      <c r="C70" s="82">
        <f t="shared" si="5"/>
        <v>25</v>
      </c>
      <c r="D70" s="69"/>
      <c r="E70" s="69"/>
      <c r="F70" s="69"/>
      <c r="G70" s="69"/>
      <c r="H70" s="69"/>
      <c r="I70" s="70">
        <f t="shared" si="4"/>
        <v>3230.0578947368431</v>
      </c>
    </row>
    <row r="71" spans="1:9" ht="15" customHeight="1">
      <c r="A71" s="80">
        <v>2014</v>
      </c>
      <c r="B71" s="81">
        <f t="shared" si="7"/>
        <v>2892</v>
      </c>
      <c r="C71" s="82">
        <f t="shared" si="5"/>
        <v>26</v>
      </c>
      <c r="D71" s="69"/>
      <c r="E71" s="69"/>
      <c r="F71" s="69"/>
      <c r="G71" s="69"/>
      <c r="H71" s="69"/>
      <c r="I71" s="70">
        <f t="shared" si="4"/>
        <v>2891.5842105263164</v>
      </c>
    </row>
    <row r="72" spans="1:9" ht="15" customHeight="1">
      <c r="A72" s="80">
        <v>2015</v>
      </c>
      <c r="B72" s="81">
        <f t="shared" si="7"/>
        <v>2553</v>
      </c>
      <c r="C72" s="82">
        <f t="shared" si="5"/>
        <v>27</v>
      </c>
      <c r="D72" s="69"/>
      <c r="E72" s="69"/>
      <c r="F72" s="69"/>
      <c r="G72" s="69"/>
      <c r="H72" s="69"/>
      <c r="I72" s="70">
        <f t="shared" si="4"/>
        <v>2553.1105263157915</v>
      </c>
    </row>
    <row r="73" spans="1:9" ht="15" customHeight="1">
      <c r="A73" s="80">
        <v>2016</v>
      </c>
      <c r="B73" s="81">
        <f t="shared" si="7"/>
        <v>2215</v>
      </c>
      <c r="C73" s="82">
        <f t="shared" si="5"/>
        <v>28</v>
      </c>
      <c r="D73" s="69"/>
      <c r="E73" s="69"/>
      <c r="F73" s="69"/>
      <c r="G73" s="69"/>
      <c r="H73" s="69"/>
      <c r="I73" s="70">
        <f t="shared" si="4"/>
        <v>2214.6368421052648</v>
      </c>
    </row>
    <row r="74" spans="1:9" ht="15" customHeight="1">
      <c r="A74" s="80">
        <v>2017</v>
      </c>
      <c r="B74" s="81">
        <f t="shared" si="7"/>
        <v>1876</v>
      </c>
      <c r="C74" s="82">
        <f t="shared" si="5"/>
        <v>29</v>
      </c>
      <c r="D74" s="69"/>
      <c r="E74" s="69"/>
      <c r="F74" s="69"/>
      <c r="G74" s="69"/>
      <c r="H74" s="69"/>
      <c r="I74" s="70">
        <f t="shared" si="4"/>
        <v>1876.1631578947381</v>
      </c>
    </row>
    <row r="75" spans="1:9" ht="15" customHeight="1">
      <c r="A75" s="80">
        <v>2018</v>
      </c>
      <c r="B75" s="81">
        <f t="shared" si="7"/>
        <v>1538</v>
      </c>
      <c r="C75" s="82">
        <f t="shared" si="5"/>
        <v>30</v>
      </c>
      <c r="D75" s="69"/>
      <c r="E75" s="69"/>
      <c r="F75" s="69"/>
      <c r="G75" s="69"/>
      <c r="H75" s="69"/>
      <c r="I75" s="70">
        <f t="shared" si="4"/>
        <v>1537.6894736842114</v>
      </c>
    </row>
    <row r="76" spans="1:9" ht="15" customHeight="1">
      <c r="A76" s="80">
        <v>2019</v>
      </c>
      <c r="B76" s="81">
        <f t="shared" si="7"/>
        <v>1199</v>
      </c>
      <c r="C76" s="82">
        <f t="shared" si="5"/>
        <v>31</v>
      </c>
      <c r="D76" s="69"/>
      <c r="E76" s="69"/>
      <c r="F76" s="69"/>
      <c r="G76" s="69"/>
      <c r="H76" s="69"/>
      <c r="I76" s="70">
        <f t="shared" si="4"/>
        <v>1199.2157894736865</v>
      </c>
    </row>
    <row r="77" spans="1:9" ht="15" customHeight="1">
      <c r="A77" s="80">
        <v>2020</v>
      </c>
      <c r="B77" s="81">
        <f t="shared" si="7"/>
        <v>861</v>
      </c>
      <c r="C77" s="82">
        <f t="shared" si="5"/>
        <v>32</v>
      </c>
      <c r="D77" s="69"/>
      <c r="E77" s="69"/>
      <c r="F77" s="69"/>
      <c r="G77" s="69"/>
      <c r="H77" s="69"/>
      <c r="I77" s="70">
        <f t="shared" si="4"/>
        <v>860.74210526315983</v>
      </c>
    </row>
    <row r="78" spans="1:9" ht="15" customHeight="1">
      <c r="A78" s="80">
        <v>2021</v>
      </c>
      <c r="B78" s="81">
        <f t="shared" si="7"/>
        <v>522</v>
      </c>
      <c r="C78" s="82">
        <f t="shared" si="5"/>
        <v>33</v>
      </c>
      <c r="D78" s="69"/>
      <c r="E78" s="69"/>
      <c r="F78" s="69"/>
      <c r="G78" s="69"/>
      <c r="H78" s="69"/>
      <c r="I78" s="70">
        <f t="shared" si="4"/>
        <v>522.26842105263313</v>
      </c>
    </row>
    <row r="79" spans="1:9" ht="15" customHeight="1">
      <c r="A79" s="80">
        <v>2022</v>
      </c>
      <c r="B79" s="81">
        <f t="shared" si="7"/>
        <v>184</v>
      </c>
      <c r="C79" s="82">
        <f t="shared" si="5"/>
        <v>34</v>
      </c>
      <c r="D79" s="69"/>
      <c r="E79" s="69"/>
      <c r="F79" s="69"/>
      <c r="G79" s="69"/>
      <c r="H79" s="69"/>
      <c r="I79" s="70">
        <f t="shared" si="4"/>
        <v>183.79473684210825</v>
      </c>
    </row>
    <row r="80" spans="1:9" ht="15" customHeight="1">
      <c r="A80" s="80">
        <v>2023</v>
      </c>
      <c r="B80" s="81">
        <f t="shared" si="7"/>
        <v>-155</v>
      </c>
      <c r="C80" s="82">
        <f t="shared" si="5"/>
        <v>35</v>
      </c>
      <c r="D80" s="69"/>
      <c r="E80" s="69"/>
      <c r="F80" s="69"/>
      <c r="G80" s="69"/>
      <c r="H80" s="69"/>
      <c r="I80" s="70">
        <f t="shared" si="4"/>
        <v>-154.67894736841845</v>
      </c>
    </row>
    <row r="81" spans="1:11" ht="15" customHeight="1">
      <c r="A81" s="80">
        <v>2024</v>
      </c>
      <c r="B81" s="81">
        <f t="shared" si="7"/>
        <v>-493</v>
      </c>
      <c r="C81" s="67">
        <f t="shared" si="5"/>
        <v>36</v>
      </c>
      <c r="D81" s="69"/>
      <c r="E81" s="69"/>
      <c r="F81" s="69"/>
      <c r="G81" s="69"/>
      <c r="H81" s="69"/>
      <c r="I81" s="70">
        <f t="shared" si="4"/>
        <v>-493.15263157894515</v>
      </c>
    </row>
    <row r="82" spans="1:11" ht="15" customHeight="1">
      <c r="A82" s="85">
        <v>2025</v>
      </c>
      <c r="B82" s="86">
        <f t="shared" si="7"/>
        <v>-832</v>
      </c>
      <c r="C82" s="87">
        <f t="shared" si="5"/>
        <v>37</v>
      </c>
      <c r="D82" s="89"/>
      <c r="E82" s="89"/>
      <c r="F82" s="89"/>
      <c r="G82" s="89"/>
      <c r="H82" s="89"/>
      <c r="I82" s="91">
        <f t="shared" si="4"/>
        <v>-831.62631578947185</v>
      </c>
    </row>
    <row r="83" spans="1:11" ht="15" customHeight="1">
      <c r="A83" s="56" t="s">
        <v>79</v>
      </c>
      <c r="B83" s="57"/>
    </row>
    <row r="84" spans="1:11" ht="15" customHeight="1">
      <c r="A84" s="58" t="s">
        <v>32</v>
      </c>
      <c r="B84" s="59" t="s">
        <v>40</v>
      </c>
      <c r="C84" s="59" t="s">
        <v>34</v>
      </c>
      <c r="D84" s="59" t="s">
        <v>33</v>
      </c>
      <c r="E84" s="103"/>
      <c r="F84" s="60"/>
      <c r="G84" s="61"/>
      <c r="H84" s="63" t="s">
        <v>104</v>
      </c>
      <c r="I84" s="64">
        <f>RSQ(I85:I105,B85:B105)</f>
        <v>0.98133435557057491</v>
      </c>
    </row>
    <row r="85" spans="1:11" ht="15" customHeight="1">
      <c r="A85" s="65">
        <f t="shared" ref="A85:B100" si="8">A5</f>
        <v>1988</v>
      </c>
      <c r="B85" s="104">
        <f t="shared" si="8"/>
        <v>12750</v>
      </c>
      <c r="C85" s="105">
        <f t="shared" ref="C85:C122" si="9">LN(B85)</f>
        <v>9.4532865505865722</v>
      </c>
      <c r="D85" s="67">
        <v>0</v>
      </c>
      <c r="E85" s="106" t="s">
        <v>37</v>
      </c>
      <c r="F85" s="73">
        <f>ROUND((B104/B85)^(1/D104)-1,5)</f>
        <v>-4.0210000000000003E-2</v>
      </c>
      <c r="G85" s="107"/>
      <c r="H85" s="108"/>
      <c r="I85" s="109">
        <f t="shared" ref="I85:I122" si="10">ROUND($F$86*(1+$F$85)^(D85),1)</f>
        <v>12750</v>
      </c>
    </row>
    <row r="86" spans="1:11" ht="15" customHeight="1">
      <c r="A86" s="65">
        <f t="shared" si="8"/>
        <v>1989</v>
      </c>
      <c r="B86" s="104">
        <f t="shared" si="8"/>
        <v>11929</v>
      </c>
      <c r="C86" s="105">
        <f t="shared" si="9"/>
        <v>9.3867276892819458</v>
      </c>
      <c r="D86" s="67">
        <f t="shared" ref="D86:D122" si="11">D85+1</f>
        <v>1</v>
      </c>
      <c r="E86" s="106" t="s">
        <v>80</v>
      </c>
      <c r="F86" s="110">
        <f>B85</f>
        <v>12750</v>
      </c>
      <c r="G86" s="107"/>
      <c r="H86" s="108"/>
      <c r="I86" s="109">
        <f t="shared" si="10"/>
        <v>12237.3</v>
      </c>
      <c r="K86" s="111"/>
    </row>
    <row r="87" spans="1:11" ht="15" customHeight="1">
      <c r="A87" s="65">
        <f t="shared" si="8"/>
        <v>1990</v>
      </c>
      <c r="B87" s="104">
        <f t="shared" si="8"/>
        <v>10828</v>
      </c>
      <c r="C87" s="105">
        <f t="shared" si="9"/>
        <v>9.2898906507341916</v>
      </c>
      <c r="D87" s="67">
        <f t="shared" si="11"/>
        <v>2</v>
      </c>
      <c r="E87" s="106" t="s">
        <v>77</v>
      </c>
      <c r="F87" s="73">
        <f>I84</f>
        <v>0.98133435557057491</v>
      </c>
      <c r="G87" s="108"/>
      <c r="H87" s="108"/>
      <c r="I87" s="109">
        <f t="shared" si="10"/>
        <v>11745.3</v>
      </c>
    </row>
    <row r="88" spans="1:11" ht="15" customHeight="1">
      <c r="A88" s="65">
        <f t="shared" si="8"/>
        <v>1991</v>
      </c>
      <c r="B88" s="104">
        <f t="shared" si="8"/>
        <v>10840</v>
      </c>
      <c r="C88" s="105">
        <f t="shared" si="9"/>
        <v>9.2909982749936368</v>
      </c>
      <c r="D88" s="67">
        <f t="shared" si="11"/>
        <v>3</v>
      </c>
      <c r="E88" s="106"/>
      <c r="F88" s="73"/>
      <c r="G88" s="108"/>
      <c r="H88" s="108"/>
      <c r="I88" s="109">
        <f t="shared" si="10"/>
        <v>11273</v>
      </c>
    </row>
    <row r="89" spans="1:11" ht="15" customHeight="1">
      <c r="A89" s="65">
        <f t="shared" si="8"/>
        <v>1992</v>
      </c>
      <c r="B89" s="104">
        <f t="shared" si="8"/>
        <v>10430</v>
      </c>
      <c r="C89" s="105">
        <f t="shared" si="9"/>
        <v>9.2524415479948185</v>
      </c>
      <c r="D89" s="67">
        <f t="shared" si="11"/>
        <v>4</v>
      </c>
      <c r="E89" s="106" t="s">
        <v>81</v>
      </c>
      <c r="F89" s="72"/>
      <c r="G89" s="108"/>
      <c r="H89" s="108"/>
      <c r="I89" s="109">
        <f t="shared" si="10"/>
        <v>10819.7</v>
      </c>
    </row>
    <row r="90" spans="1:11" ht="15" customHeight="1">
      <c r="A90" s="65">
        <f t="shared" si="8"/>
        <v>1993</v>
      </c>
      <c r="B90" s="104">
        <f t="shared" si="8"/>
        <v>10044</v>
      </c>
      <c r="C90" s="105">
        <f t="shared" si="9"/>
        <v>9.2147307202774762</v>
      </c>
      <c r="D90" s="67">
        <f t="shared" si="11"/>
        <v>5</v>
      </c>
      <c r="E90" s="112"/>
      <c r="F90" s="113"/>
      <c r="G90" s="108"/>
      <c r="H90" s="108"/>
      <c r="I90" s="109">
        <f t="shared" si="10"/>
        <v>10384.6</v>
      </c>
    </row>
    <row r="91" spans="1:11" ht="15" customHeight="1">
      <c r="A91" s="65">
        <f t="shared" si="8"/>
        <v>1994</v>
      </c>
      <c r="B91" s="104">
        <f t="shared" si="8"/>
        <v>9477</v>
      </c>
      <c r="C91" s="105">
        <f t="shared" si="9"/>
        <v>9.1566230894701945</v>
      </c>
      <c r="D91" s="67">
        <f t="shared" si="11"/>
        <v>6</v>
      </c>
      <c r="E91" s="114"/>
      <c r="F91" s="113"/>
      <c r="G91" s="108"/>
      <c r="H91" s="108"/>
      <c r="I91" s="109">
        <f t="shared" si="10"/>
        <v>9967.1</v>
      </c>
    </row>
    <row r="92" spans="1:11" ht="15" customHeight="1">
      <c r="A92" s="65">
        <f t="shared" si="8"/>
        <v>1995</v>
      </c>
      <c r="B92" s="104">
        <f t="shared" si="8"/>
        <v>8906</v>
      </c>
      <c r="C92" s="105">
        <f t="shared" si="9"/>
        <v>9.0944804858816468</v>
      </c>
      <c r="D92" s="67">
        <f t="shared" si="11"/>
        <v>7</v>
      </c>
      <c r="E92" s="114"/>
      <c r="F92" s="113"/>
      <c r="G92" s="108"/>
      <c r="H92" s="108"/>
      <c r="I92" s="109">
        <f t="shared" si="10"/>
        <v>9566.2999999999993</v>
      </c>
    </row>
    <row r="93" spans="1:11" ht="15" customHeight="1">
      <c r="A93" s="65">
        <f t="shared" si="8"/>
        <v>1996</v>
      </c>
      <c r="B93" s="104">
        <f t="shared" si="8"/>
        <v>8278</v>
      </c>
      <c r="C93" s="105">
        <f t="shared" si="9"/>
        <v>9.0213566723086771</v>
      </c>
      <c r="D93" s="67">
        <f t="shared" si="11"/>
        <v>8</v>
      </c>
      <c r="E93" s="108"/>
      <c r="F93" s="108"/>
      <c r="G93" s="115"/>
      <c r="H93" s="108"/>
      <c r="I93" s="109">
        <f t="shared" si="10"/>
        <v>9181.6</v>
      </c>
    </row>
    <row r="94" spans="1:11" ht="15" customHeight="1">
      <c r="A94" s="65">
        <f t="shared" si="8"/>
        <v>1997</v>
      </c>
      <c r="B94" s="104">
        <f t="shared" si="8"/>
        <v>7979</v>
      </c>
      <c r="C94" s="105">
        <f t="shared" si="9"/>
        <v>8.9845683693082812</v>
      </c>
      <c r="D94" s="67">
        <f t="shared" si="11"/>
        <v>9</v>
      </c>
      <c r="E94" s="108"/>
      <c r="F94" s="108"/>
      <c r="G94" s="115"/>
      <c r="H94" s="108"/>
      <c r="I94" s="109">
        <f t="shared" si="10"/>
        <v>8812.4</v>
      </c>
    </row>
    <row r="95" spans="1:11" ht="15" customHeight="1">
      <c r="A95" s="65">
        <f t="shared" si="8"/>
        <v>1998</v>
      </c>
      <c r="B95" s="104">
        <f t="shared" si="8"/>
        <v>7754</v>
      </c>
      <c r="C95" s="105">
        <f t="shared" si="9"/>
        <v>8.9559641182308738</v>
      </c>
      <c r="D95" s="67">
        <f t="shared" si="11"/>
        <v>10</v>
      </c>
      <c r="E95" s="108"/>
      <c r="F95" s="108"/>
      <c r="G95" s="115"/>
      <c r="H95" s="108"/>
      <c r="I95" s="109">
        <f t="shared" si="10"/>
        <v>8458.1</v>
      </c>
    </row>
    <row r="96" spans="1:11" ht="15" customHeight="1">
      <c r="A96" s="65">
        <f t="shared" si="8"/>
        <v>1999</v>
      </c>
      <c r="B96" s="104">
        <f t="shared" si="8"/>
        <v>7491</v>
      </c>
      <c r="C96" s="105">
        <f t="shared" si="9"/>
        <v>8.9214575789478836</v>
      </c>
      <c r="D96" s="67">
        <f t="shared" si="11"/>
        <v>11</v>
      </c>
      <c r="E96" s="108"/>
      <c r="F96" s="108"/>
      <c r="G96" s="115"/>
      <c r="H96" s="108"/>
      <c r="I96" s="109">
        <f t="shared" si="10"/>
        <v>8118</v>
      </c>
    </row>
    <row r="97" spans="1:9" ht="15" customHeight="1">
      <c r="A97" s="65">
        <f t="shared" si="8"/>
        <v>2000</v>
      </c>
      <c r="B97" s="104">
        <f t="shared" si="8"/>
        <v>7200</v>
      </c>
      <c r="C97" s="105">
        <f t="shared" si="9"/>
        <v>8.8818363050041462</v>
      </c>
      <c r="D97" s="67">
        <f t="shared" si="11"/>
        <v>12</v>
      </c>
      <c r="E97" s="108"/>
      <c r="F97" s="108"/>
      <c r="G97" s="115"/>
      <c r="H97" s="108"/>
      <c r="I97" s="109">
        <f t="shared" si="10"/>
        <v>7791.6</v>
      </c>
    </row>
    <row r="98" spans="1:9" ht="15" customHeight="1">
      <c r="A98" s="65">
        <f t="shared" si="8"/>
        <v>2001</v>
      </c>
      <c r="B98" s="104">
        <f t="shared" si="8"/>
        <v>7096</v>
      </c>
      <c r="C98" s="105">
        <f t="shared" si="9"/>
        <v>8.8672865239894154</v>
      </c>
      <c r="D98" s="67">
        <f t="shared" si="11"/>
        <v>13</v>
      </c>
      <c r="E98" s="108"/>
      <c r="F98" s="108"/>
      <c r="G98" s="115"/>
      <c r="H98" s="108"/>
      <c r="I98" s="109">
        <f t="shared" si="10"/>
        <v>7478.3</v>
      </c>
    </row>
    <row r="99" spans="1:9" ht="15" customHeight="1">
      <c r="A99" s="65">
        <f t="shared" si="8"/>
        <v>2002</v>
      </c>
      <c r="B99" s="104">
        <f t="shared" si="8"/>
        <v>6966</v>
      </c>
      <c r="C99" s="105">
        <f t="shared" si="9"/>
        <v>8.8487964509259474</v>
      </c>
      <c r="D99" s="67">
        <f t="shared" si="11"/>
        <v>14</v>
      </c>
      <c r="E99" s="108"/>
      <c r="F99" s="108"/>
      <c r="G99" s="115"/>
      <c r="H99" s="108"/>
      <c r="I99" s="109">
        <f t="shared" si="10"/>
        <v>7177.6</v>
      </c>
    </row>
    <row r="100" spans="1:9" ht="15" customHeight="1">
      <c r="A100" s="65">
        <f t="shared" si="8"/>
        <v>2003</v>
      </c>
      <c r="B100" s="104">
        <f t="shared" si="8"/>
        <v>6795</v>
      </c>
      <c r="C100" s="105">
        <f t="shared" si="9"/>
        <v>8.8239423265852448</v>
      </c>
      <c r="D100" s="67">
        <f t="shared" si="11"/>
        <v>15</v>
      </c>
      <c r="E100" s="108"/>
      <c r="F100" s="108"/>
      <c r="G100" s="115"/>
      <c r="H100" s="108"/>
      <c r="I100" s="109">
        <f t="shared" si="10"/>
        <v>6889</v>
      </c>
    </row>
    <row r="101" spans="1:9" ht="15" customHeight="1">
      <c r="A101" s="65">
        <f t="shared" ref="A101:B105" si="12">A21</f>
        <v>2004</v>
      </c>
      <c r="B101" s="104">
        <f t="shared" si="12"/>
        <v>6582</v>
      </c>
      <c r="C101" s="105">
        <f t="shared" si="9"/>
        <v>8.7920939295032845</v>
      </c>
      <c r="D101" s="67">
        <f t="shared" si="11"/>
        <v>16</v>
      </c>
      <c r="E101" s="108"/>
      <c r="F101" s="108"/>
      <c r="G101" s="115"/>
      <c r="H101" s="108"/>
      <c r="I101" s="109">
        <f t="shared" si="10"/>
        <v>6612</v>
      </c>
    </row>
    <row r="102" spans="1:9" ht="15" customHeight="1">
      <c r="A102" s="65">
        <f t="shared" si="12"/>
        <v>2005</v>
      </c>
      <c r="B102" s="104">
        <f t="shared" si="12"/>
        <v>6343</v>
      </c>
      <c r="C102" s="105">
        <f t="shared" si="9"/>
        <v>8.7551071216338965</v>
      </c>
      <c r="D102" s="67">
        <f t="shared" si="11"/>
        <v>17</v>
      </c>
      <c r="E102" s="108"/>
      <c r="F102" s="108"/>
      <c r="G102" s="115"/>
      <c r="H102" s="108"/>
      <c r="I102" s="109">
        <f t="shared" si="10"/>
        <v>6346.1</v>
      </c>
    </row>
    <row r="103" spans="1:9" ht="15" customHeight="1">
      <c r="A103" s="65">
        <f t="shared" si="12"/>
        <v>2006</v>
      </c>
      <c r="B103" s="104">
        <f t="shared" si="12"/>
        <v>5994</v>
      </c>
      <c r="C103" s="105">
        <f t="shared" si="9"/>
        <v>8.6985142478766093</v>
      </c>
      <c r="D103" s="67">
        <f t="shared" si="11"/>
        <v>18</v>
      </c>
      <c r="E103" s="108"/>
      <c r="F103" s="108"/>
      <c r="G103" s="115"/>
      <c r="H103" s="108"/>
      <c r="I103" s="109">
        <f t="shared" si="10"/>
        <v>6090.9</v>
      </c>
    </row>
    <row r="104" spans="1:9" ht="15" customHeight="1" thickBot="1">
      <c r="A104" s="65">
        <f t="shared" si="12"/>
        <v>2007</v>
      </c>
      <c r="B104" s="104">
        <f t="shared" si="12"/>
        <v>5846</v>
      </c>
      <c r="C104" s="105">
        <f t="shared" si="9"/>
        <v>8.6735129456711917</v>
      </c>
      <c r="D104" s="67">
        <f t="shared" si="11"/>
        <v>19</v>
      </c>
      <c r="E104" s="108"/>
      <c r="F104" s="108"/>
      <c r="G104" s="115"/>
      <c r="H104" s="108"/>
      <c r="I104" s="109">
        <f t="shared" si="10"/>
        <v>5846</v>
      </c>
    </row>
    <row r="105" spans="1:9" ht="15" customHeight="1" thickTop="1">
      <c r="A105" s="255">
        <f t="shared" si="12"/>
        <v>2008</v>
      </c>
      <c r="B105" s="76">
        <f t="shared" ref="B105:B122" si="13">ROUND(F$86*(1+F$85)^D105,0)</f>
        <v>5611</v>
      </c>
      <c r="C105" s="121">
        <f t="shared" si="9"/>
        <v>8.6324842357509723</v>
      </c>
      <c r="D105" s="77">
        <f t="shared" si="11"/>
        <v>20</v>
      </c>
      <c r="E105" s="259"/>
      <c r="F105" s="259"/>
      <c r="G105" s="260"/>
      <c r="H105" s="259"/>
      <c r="I105" s="123">
        <f t="shared" si="10"/>
        <v>5610.9</v>
      </c>
    </row>
    <row r="106" spans="1:9" ht="15" customHeight="1">
      <c r="A106" s="80">
        <v>2009</v>
      </c>
      <c r="B106" s="81">
        <f t="shared" si="13"/>
        <v>5385</v>
      </c>
      <c r="C106" s="105">
        <f t="shared" si="9"/>
        <v>8.5913725895904882</v>
      </c>
      <c r="D106" s="67">
        <f t="shared" si="11"/>
        <v>21</v>
      </c>
      <c r="E106" s="83"/>
      <c r="F106" s="69"/>
      <c r="G106" s="69"/>
      <c r="H106" s="69"/>
      <c r="I106" s="109">
        <f t="shared" si="10"/>
        <v>5385.3</v>
      </c>
    </row>
    <row r="107" spans="1:9" ht="15" customHeight="1">
      <c r="A107" s="80">
        <v>2010</v>
      </c>
      <c r="B107" s="81">
        <f t="shared" si="13"/>
        <v>5169</v>
      </c>
      <c r="C107" s="105">
        <f t="shared" si="9"/>
        <v>8.5504345251960387</v>
      </c>
      <c r="D107" s="67">
        <f t="shared" si="11"/>
        <v>22</v>
      </c>
      <c r="E107" s="83"/>
      <c r="F107" s="69"/>
      <c r="G107" s="69"/>
      <c r="H107" s="69"/>
      <c r="I107" s="109">
        <f t="shared" si="10"/>
        <v>5168.8</v>
      </c>
    </row>
    <row r="108" spans="1:9" ht="15" customHeight="1">
      <c r="A108" s="80">
        <v>2011</v>
      </c>
      <c r="B108" s="81">
        <f t="shared" si="13"/>
        <v>4961</v>
      </c>
      <c r="C108" s="105">
        <f t="shared" si="9"/>
        <v>8.5093626123010484</v>
      </c>
      <c r="D108" s="67">
        <f t="shared" si="11"/>
        <v>23</v>
      </c>
      <c r="E108" s="83"/>
      <c r="F108" s="69"/>
      <c r="G108" s="69"/>
      <c r="H108" s="69"/>
      <c r="I108" s="109">
        <f t="shared" si="10"/>
        <v>4960.8999999999996</v>
      </c>
    </row>
    <row r="109" spans="1:9" ht="15" customHeight="1">
      <c r="A109" s="80">
        <v>2012</v>
      </c>
      <c r="B109" s="81">
        <f t="shared" si="13"/>
        <v>4761</v>
      </c>
      <c r="C109" s="105">
        <f t="shared" si="9"/>
        <v>8.4682130091945194</v>
      </c>
      <c r="D109" s="67">
        <f t="shared" si="11"/>
        <v>24</v>
      </c>
      <c r="E109" s="83"/>
      <c r="F109" s="69"/>
      <c r="G109" s="69"/>
      <c r="H109" s="69"/>
      <c r="I109" s="109">
        <f t="shared" si="10"/>
        <v>4761.5</v>
      </c>
    </row>
    <row r="110" spans="1:9" ht="15" customHeight="1">
      <c r="A110" s="80">
        <v>2013</v>
      </c>
      <c r="B110" s="81">
        <f t="shared" si="13"/>
        <v>4570</v>
      </c>
      <c r="C110" s="105">
        <f t="shared" si="9"/>
        <v>8.4272684838882501</v>
      </c>
      <c r="D110" s="67">
        <f t="shared" si="11"/>
        <v>25</v>
      </c>
      <c r="E110" s="83"/>
      <c r="F110" s="69"/>
      <c r="G110" s="69"/>
      <c r="H110" s="69"/>
      <c r="I110" s="109">
        <f t="shared" si="10"/>
        <v>4570</v>
      </c>
    </row>
    <row r="111" spans="1:9" ht="15" customHeight="1">
      <c r="A111" s="80">
        <v>2014</v>
      </c>
      <c r="B111" s="81">
        <f t="shared" si="13"/>
        <v>4386</v>
      </c>
      <c r="C111" s="105">
        <f t="shared" si="9"/>
        <v>8.3861729289778335</v>
      </c>
      <c r="D111" s="67">
        <f t="shared" si="11"/>
        <v>26</v>
      </c>
      <c r="E111" s="83"/>
      <c r="F111" s="69"/>
      <c r="G111" s="69"/>
      <c r="H111" s="69"/>
      <c r="I111" s="109">
        <f t="shared" si="10"/>
        <v>4386.2</v>
      </c>
    </row>
    <row r="112" spans="1:9" ht="15" customHeight="1">
      <c r="A112" s="80">
        <v>2015</v>
      </c>
      <c r="B112" s="81">
        <f t="shared" si="13"/>
        <v>4210</v>
      </c>
      <c r="C112" s="105">
        <f t="shared" si="9"/>
        <v>8.3452179266764279</v>
      </c>
      <c r="D112" s="67">
        <f t="shared" si="11"/>
        <v>27</v>
      </c>
      <c r="E112" s="83"/>
      <c r="F112" s="69"/>
      <c r="G112" s="69"/>
      <c r="H112" s="69"/>
      <c r="I112" s="109">
        <f t="shared" si="10"/>
        <v>4209.8999999999996</v>
      </c>
    </row>
    <row r="113" spans="1:9" ht="15" customHeight="1">
      <c r="A113" s="80">
        <v>2016</v>
      </c>
      <c r="B113" s="81">
        <f t="shared" si="13"/>
        <v>4041</v>
      </c>
      <c r="C113" s="105">
        <f t="shared" si="9"/>
        <v>8.3042474650784737</v>
      </c>
      <c r="D113" s="67">
        <f t="shared" si="11"/>
        <v>28</v>
      </c>
      <c r="E113" s="83"/>
      <c r="F113" s="69"/>
      <c r="G113" s="69"/>
      <c r="H113" s="69"/>
      <c r="I113" s="109">
        <f t="shared" si="10"/>
        <v>4040.6</v>
      </c>
    </row>
    <row r="114" spans="1:9" ht="15" customHeight="1">
      <c r="A114" s="80">
        <v>2017</v>
      </c>
      <c r="B114" s="81">
        <f t="shared" si="13"/>
        <v>3878</v>
      </c>
      <c r="C114" s="105">
        <f t="shared" si="9"/>
        <v>8.2630748358025965</v>
      </c>
      <c r="D114" s="67">
        <f t="shared" si="11"/>
        <v>29</v>
      </c>
      <c r="E114" s="83"/>
      <c r="F114" s="69"/>
      <c r="G114" s="69"/>
      <c r="H114" s="69"/>
      <c r="I114" s="109">
        <f t="shared" si="10"/>
        <v>3878.1</v>
      </c>
    </row>
    <row r="115" spans="1:9" ht="15" customHeight="1">
      <c r="A115" s="80">
        <v>2018</v>
      </c>
      <c r="B115" s="81">
        <f t="shared" si="13"/>
        <v>3722</v>
      </c>
      <c r="C115" s="105">
        <f t="shared" si="9"/>
        <v>8.2220164372021962</v>
      </c>
      <c r="D115" s="67">
        <f t="shared" si="11"/>
        <v>30</v>
      </c>
      <c r="E115" s="83"/>
      <c r="F115" s="69"/>
      <c r="G115" s="69"/>
      <c r="H115" s="69"/>
      <c r="I115" s="109">
        <f t="shared" si="10"/>
        <v>3722.2</v>
      </c>
    </row>
    <row r="116" spans="1:9" ht="15" customHeight="1">
      <c r="A116" s="80">
        <v>2019</v>
      </c>
      <c r="B116" s="81">
        <f t="shared" si="13"/>
        <v>3573</v>
      </c>
      <c r="C116" s="105">
        <f t="shared" si="9"/>
        <v>8.181160858023409</v>
      </c>
      <c r="D116" s="67">
        <f t="shared" si="11"/>
        <v>31</v>
      </c>
      <c r="E116" s="83"/>
      <c r="F116" s="69"/>
      <c r="G116" s="69"/>
      <c r="H116" s="69"/>
      <c r="I116" s="109">
        <f t="shared" si="10"/>
        <v>3572.5</v>
      </c>
    </row>
    <row r="117" spans="1:9" ht="15" customHeight="1">
      <c r="A117" s="80">
        <v>2020</v>
      </c>
      <c r="B117" s="81">
        <f t="shared" si="13"/>
        <v>3429</v>
      </c>
      <c r="C117" s="105">
        <f t="shared" si="9"/>
        <v>8.1400239524629203</v>
      </c>
      <c r="D117" s="67">
        <f t="shared" si="11"/>
        <v>32</v>
      </c>
      <c r="E117" s="83"/>
      <c r="F117" s="69"/>
      <c r="G117" s="69"/>
      <c r="H117" s="69"/>
      <c r="I117" s="109">
        <f t="shared" si="10"/>
        <v>3428.9</v>
      </c>
    </row>
    <row r="118" spans="1:9" ht="15" customHeight="1">
      <c r="A118" s="80">
        <v>2021</v>
      </c>
      <c r="B118" s="81">
        <f t="shared" si="13"/>
        <v>3291</v>
      </c>
      <c r="C118" s="105">
        <f t="shared" si="9"/>
        <v>8.0989467489433391</v>
      </c>
      <c r="D118" s="67">
        <f t="shared" si="11"/>
        <v>33</v>
      </c>
      <c r="E118" s="83"/>
      <c r="F118" s="69"/>
      <c r="G118" s="69"/>
      <c r="H118" s="69"/>
      <c r="I118" s="109">
        <f t="shared" si="10"/>
        <v>3291</v>
      </c>
    </row>
    <row r="119" spans="1:9" ht="15" customHeight="1">
      <c r="A119" s="80">
        <v>2022</v>
      </c>
      <c r="B119" s="81">
        <f t="shared" si="13"/>
        <v>3159</v>
      </c>
      <c r="C119" s="105">
        <f t="shared" si="9"/>
        <v>8.0580108008020854</v>
      </c>
      <c r="D119" s="67">
        <f t="shared" si="11"/>
        <v>34</v>
      </c>
      <c r="E119" s="83"/>
      <c r="F119" s="69"/>
      <c r="G119" s="69"/>
      <c r="H119" s="69"/>
      <c r="I119" s="109">
        <f t="shared" si="10"/>
        <v>3158.7</v>
      </c>
    </row>
    <row r="120" spans="1:9" ht="15" customHeight="1">
      <c r="A120" s="80">
        <v>2023</v>
      </c>
      <c r="B120" s="81">
        <f t="shared" si="13"/>
        <v>3032</v>
      </c>
      <c r="C120" s="105">
        <f t="shared" si="9"/>
        <v>8.0169777467622616</v>
      </c>
      <c r="D120" s="67">
        <f t="shared" si="11"/>
        <v>35</v>
      </c>
      <c r="E120" s="83"/>
      <c r="F120" s="69"/>
      <c r="G120" s="69"/>
      <c r="H120" s="69"/>
      <c r="I120" s="109">
        <f t="shared" si="10"/>
        <v>3031.6</v>
      </c>
    </row>
    <row r="121" spans="1:9" ht="15" customHeight="1">
      <c r="A121" s="80">
        <v>2024</v>
      </c>
      <c r="B121" s="81">
        <f t="shared" si="13"/>
        <v>2910</v>
      </c>
      <c r="C121" s="105">
        <f t="shared" si="9"/>
        <v>7.9759083601655378</v>
      </c>
      <c r="D121" s="67">
        <f t="shared" si="11"/>
        <v>36</v>
      </c>
      <c r="E121" s="69"/>
      <c r="F121" s="69"/>
      <c r="G121" s="69"/>
      <c r="H121" s="69"/>
      <c r="I121" s="109">
        <f t="shared" si="10"/>
        <v>2909.7</v>
      </c>
    </row>
    <row r="122" spans="1:9" ht="15" customHeight="1">
      <c r="A122" s="85">
        <v>2025</v>
      </c>
      <c r="B122" s="86">
        <f t="shared" si="13"/>
        <v>2793</v>
      </c>
      <c r="C122" s="124">
        <f t="shared" si="9"/>
        <v>7.9348715659451772</v>
      </c>
      <c r="D122" s="87">
        <f t="shared" si="11"/>
        <v>37</v>
      </c>
      <c r="E122" s="89"/>
      <c r="F122" s="89"/>
      <c r="G122" s="89"/>
      <c r="H122" s="89"/>
      <c r="I122" s="125">
        <f t="shared" si="10"/>
        <v>2792.7</v>
      </c>
    </row>
    <row r="123" spans="1:9" ht="15" customHeight="1">
      <c r="A123" s="56" t="s">
        <v>82</v>
      </c>
      <c r="B123" s="57"/>
    </row>
    <row r="124" spans="1:9" ht="15" customHeight="1">
      <c r="A124" s="58" t="s">
        <v>32</v>
      </c>
      <c r="B124" s="59" t="s">
        <v>40</v>
      </c>
      <c r="C124" s="59" t="s">
        <v>83</v>
      </c>
      <c r="D124" s="59" t="s">
        <v>33</v>
      </c>
      <c r="E124" s="59" t="s">
        <v>35</v>
      </c>
      <c r="F124" s="103"/>
      <c r="G124" s="60"/>
      <c r="H124" s="63" t="s">
        <v>104</v>
      </c>
      <c r="I124" s="64" t="e">
        <f>RSQ(I125:I144,B125:B144)</f>
        <v>#VALUE!</v>
      </c>
    </row>
    <row r="125" spans="1:9" ht="15" customHeight="1">
      <c r="A125" s="65">
        <f t="shared" ref="A125:B140" si="14">A5</f>
        <v>1988</v>
      </c>
      <c r="B125" s="104">
        <f t="shared" si="14"/>
        <v>12750</v>
      </c>
      <c r="C125" s="126"/>
      <c r="D125" s="67">
        <v>0</v>
      </c>
      <c r="E125" s="67"/>
      <c r="F125" s="106" t="s">
        <v>75</v>
      </c>
      <c r="G125" s="73" t="e">
        <f>INDEX(LINEST(C126:C144,E126:E144),1)</f>
        <v>#VALUE!</v>
      </c>
      <c r="H125" s="127"/>
      <c r="I125" s="128" t="e">
        <f t="shared" ref="I125:I162" si="15">$B$125+$G$129*D125^$G$125</f>
        <v>#VALUE!</v>
      </c>
    </row>
    <row r="126" spans="1:9" ht="15" customHeight="1">
      <c r="A126" s="65">
        <f t="shared" si="14"/>
        <v>1989</v>
      </c>
      <c r="B126" s="104">
        <f t="shared" si="14"/>
        <v>11929</v>
      </c>
      <c r="C126" s="126" t="e">
        <f t="shared" ref="C126:C144" si="16">LN(-B$125+B126)</f>
        <v>#NUM!</v>
      </c>
      <c r="D126" s="67">
        <f t="shared" ref="D126:D162" si="17">D125+1</f>
        <v>1</v>
      </c>
      <c r="E126" s="67">
        <f t="shared" ref="E126:E145" si="18">LN(D126)</f>
        <v>0</v>
      </c>
      <c r="F126" s="106" t="s">
        <v>76</v>
      </c>
      <c r="G126" s="73" t="e">
        <f>INDEX(LINEST(C126:C144,E126:E144),2)</f>
        <v>#VALUE!</v>
      </c>
      <c r="H126" s="129" t="s">
        <v>84</v>
      </c>
      <c r="I126" s="128" t="e">
        <f t="shared" si="15"/>
        <v>#VALUE!</v>
      </c>
    </row>
    <row r="127" spans="1:9" ht="15" customHeight="1">
      <c r="A127" s="65">
        <f t="shared" si="14"/>
        <v>1990</v>
      </c>
      <c r="B127" s="104">
        <f t="shared" si="14"/>
        <v>10828</v>
      </c>
      <c r="C127" s="126" t="e">
        <f t="shared" si="16"/>
        <v>#NUM!</v>
      </c>
      <c r="D127" s="67">
        <f t="shared" si="17"/>
        <v>2</v>
      </c>
      <c r="E127" s="67">
        <f t="shared" si="18"/>
        <v>0.69314718055994529</v>
      </c>
      <c r="F127" s="69"/>
      <c r="G127" s="130"/>
      <c r="H127" s="127"/>
      <c r="I127" s="128" t="e">
        <f t="shared" si="15"/>
        <v>#VALUE!</v>
      </c>
    </row>
    <row r="128" spans="1:9" ht="15" customHeight="1">
      <c r="A128" s="65">
        <f t="shared" si="14"/>
        <v>1991</v>
      </c>
      <c r="B128" s="104">
        <f t="shared" si="14"/>
        <v>10840</v>
      </c>
      <c r="C128" s="126" t="e">
        <f t="shared" si="16"/>
        <v>#NUM!</v>
      </c>
      <c r="D128" s="67">
        <f t="shared" si="17"/>
        <v>3</v>
      </c>
      <c r="E128" s="67">
        <f t="shared" si="18"/>
        <v>1.0986122886681098</v>
      </c>
      <c r="F128" s="106" t="s">
        <v>77</v>
      </c>
      <c r="G128" s="73" t="e">
        <f>I124</f>
        <v>#VALUE!</v>
      </c>
      <c r="H128" s="127"/>
      <c r="I128" s="128" t="e">
        <f t="shared" si="15"/>
        <v>#VALUE!</v>
      </c>
    </row>
    <row r="129" spans="1:9" ht="15" customHeight="1">
      <c r="A129" s="65">
        <f t="shared" si="14"/>
        <v>1992</v>
      </c>
      <c r="B129" s="104">
        <f t="shared" si="14"/>
        <v>10430</v>
      </c>
      <c r="C129" s="126" t="e">
        <f t="shared" si="16"/>
        <v>#NUM!</v>
      </c>
      <c r="D129" s="67">
        <f t="shared" si="17"/>
        <v>4</v>
      </c>
      <c r="E129" s="67">
        <f t="shared" si="18"/>
        <v>1.3862943611198906</v>
      </c>
      <c r="F129" s="106" t="s">
        <v>38</v>
      </c>
      <c r="G129" s="131" t="e">
        <f>EXP(G126)</f>
        <v>#VALUE!</v>
      </c>
      <c r="H129" s="127"/>
      <c r="I129" s="128" t="e">
        <f t="shared" si="15"/>
        <v>#VALUE!</v>
      </c>
    </row>
    <row r="130" spans="1:9" ht="15" customHeight="1">
      <c r="A130" s="65">
        <f t="shared" si="14"/>
        <v>1993</v>
      </c>
      <c r="B130" s="104">
        <f t="shared" si="14"/>
        <v>10044</v>
      </c>
      <c r="C130" s="126" t="e">
        <f t="shared" si="16"/>
        <v>#NUM!</v>
      </c>
      <c r="D130" s="67">
        <f t="shared" si="17"/>
        <v>5</v>
      </c>
      <c r="E130" s="67">
        <f t="shared" si="18"/>
        <v>1.6094379124341003</v>
      </c>
      <c r="F130" s="106"/>
      <c r="G130" s="53"/>
      <c r="H130" s="127"/>
      <c r="I130" s="128" t="e">
        <f t="shared" si="15"/>
        <v>#VALUE!</v>
      </c>
    </row>
    <row r="131" spans="1:9" ht="15" customHeight="1">
      <c r="A131" s="65">
        <f t="shared" si="14"/>
        <v>1994</v>
      </c>
      <c r="B131" s="104">
        <f t="shared" si="14"/>
        <v>9477</v>
      </c>
      <c r="C131" s="126" t="e">
        <f t="shared" si="16"/>
        <v>#NUM!</v>
      </c>
      <c r="D131" s="67">
        <f t="shared" si="17"/>
        <v>6</v>
      </c>
      <c r="E131" s="67">
        <f t="shared" si="18"/>
        <v>1.791759469228055</v>
      </c>
      <c r="F131" s="106"/>
      <c r="G131" s="53"/>
      <c r="H131" s="127"/>
      <c r="I131" s="128" t="e">
        <f t="shared" si="15"/>
        <v>#VALUE!</v>
      </c>
    </row>
    <row r="132" spans="1:9" ht="15" customHeight="1">
      <c r="A132" s="65">
        <f t="shared" si="14"/>
        <v>1995</v>
      </c>
      <c r="B132" s="104">
        <f t="shared" si="14"/>
        <v>8906</v>
      </c>
      <c r="C132" s="126" t="e">
        <f t="shared" si="16"/>
        <v>#NUM!</v>
      </c>
      <c r="D132" s="67">
        <f t="shared" si="17"/>
        <v>7</v>
      </c>
      <c r="E132" s="67">
        <f t="shared" si="18"/>
        <v>1.9459101490553132</v>
      </c>
      <c r="F132" s="132" t="s">
        <v>85</v>
      </c>
      <c r="G132" s="53"/>
      <c r="H132" s="127"/>
      <c r="I132" s="128" t="e">
        <f t="shared" si="15"/>
        <v>#VALUE!</v>
      </c>
    </row>
    <row r="133" spans="1:9" ht="15" customHeight="1">
      <c r="A133" s="65">
        <f t="shared" si="14"/>
        <v>1996</v>
      </c>
      <c r="B133" s="104">
        <f t="shared" si="14"/>
        <v>8278</v>
      </c>
      <c r="C133" s="126" t="e">
        <f t="shared" si="16"/>
        <v>#NUM!</v>
      </c>
      <c r="D133" s="67">
        <f t="shared" si="17"/>
        <v>8</v>
      </c>
      <c r="E133" s="67">
        <f t="shared" si="18"/>
        <v>2.0794415416798357</v>
      </c>
      <c r="F133" s="132" t="s">
        <v>86</v>
      </c>
      <c r="G133" s="53"/>
      <c r="H133" s="127"/>
      <c r="I133" s="128" t="e">
        <f t="shared" si="15"/>
        <v>#VALUE!</v>
      </c>
    </row>
    <row r="134" spans="1:9" ht="15" customHeight="1">
      <c r="A134" s="65">
        <f t="shared" si="14"/>
        <v>1997</v>
      </c>
      <c r="B134" s="104">
        <f t="shared" si="14"/>
        <v>7979</v>
      </c>
      <c r="C134" s="126" t="e">
        <f t="shared" si="16"/>
        <v>#NUM!</v>
      </c>
      <c r="D134" s="67">
        <f t="shared" si="17"/>
        <v>9</v>
      </c>
      <c r="E134" s="67">
        <f t="shared" si="18"/>
        <v>2.1972245773362196</v>
      </c>
      <c r="F134" s="132"/>
      <c r="G134" s="53"/>
      <c r="H134" s="127"/>
      <c r="I134" s="128" t="e">
        <f t="shared" si="15"/>
        <v>#VALUE!</v>
      </c>
    </row>
    <row r="135" spans="1:9" ht="15" customHeight="1">
      <c r="A135" s="65">
        <f t="shared" si="14"/>
        <v>1998</v>
      </c>
      <c r="B135" s="104">
        <f t="shared" si="14"/>
        <v>7754</v>
      </c>
      <c r="C135" s="126" t="e">
        <f t="shared" si="16"/>
        <v>#NUM!</v>
      </c>
      <c r="D135" s="67">
        <f t="shared" si="17"/>
        <v>10</v>
      </c>
      <c r="E135" s="67">
        <f t="shared" si="18"/>
        <v>2.3025850929940459</v>
      </c>
      <c r="F135" s="132"/>
      <c r="G135" s="53"/>
      <c r="H135" s="127"/>
      <c r="I135" s="128" t="e">
        <f t="shared" si="15"/>
        <v>#VALUE!</v>
      </c>
    </row>
    <row r="136" spans="1:9" ht="15" customHeight="1">
      <c r="A136" s="65">
        <f t="shared" si="14"/>
        <v>1999</v>
      </c>
      <c r="B136" s="104">
        <f t="shared" si="14"/>
        <v>7491</v>
      </c>
      <c r="C136" s="126" t="e">
        <f t="shared" si="16"/>
        <v>#NUM!</v>
      </c>
      <c r="D136" s="67">
        <f t="shared" si="17"/>
        <v>11</v>
      </c>
      <c r="E136" s="67">
        <f t="shared" si="18"/>
        <v>2.3978952727983707</v>
      </c>
      <c r="F136" s="132"/>
      <c r="G136" s="53"/>
      <c r="H136" s="127"/>
      <c r="I136" s="128" t="e">
        <f t="shared" si="15"/>
        <v>#VALUE!</v>
      </c>
    </row>
    <row r="137" spans="1:9" ht="15" customHeight="1">
      <c r="A137" s="65">
        <f t="shared" si="14"/>
        <v>2000</v>
      </c>
      <c r="B137" s="104">
        <f t="shared" si="14"/>
        <v>7200</v>
      </c>
      <c r="C137" s="126" t="e">
        <f t="shared" si="16"/>
        <v>#NUM!</v>
      </c>
      <c r="D137" s="67">
        <f t="shared" si="17"/>
        <v>12</v>
      </c>
      <c r="E137" s="67">
        <f t="shared" si="18"/>
        <v>2.4849066497880004</v>
      </c>
      <c r="F137" s="132"/>
      <c r="G137" s="53"/>
      <c r="H137" s="127"/>
      <c r="I137" s="128" t="e">
        <f t="shared" si="15"/>
        <v>#VALUE!</v>
      </c>
    </row>
    <row r="138" spans="1:9" ht="15" customHeight="1">
      <c r="A138" s="65">
        <f t="shared" si="14"/>
        <v>2001</v>
      </c>
      <c r="B138" s="104">
        <f t="shared" si="14"/>
        <v>7096</v>
      </c>
      <c r="C138" s="126" t="e">
        <f t="shared" si="16"/>
        <v>#NUM!</v>
      </c>
      <c r="D138" s="67">
        <f t="shared" si="17"/>
        <v>13</v>
      </c>
      <c r="E138" s="67">
        <f t="shared" si="18"/>
        <v>2.5649493574615367</v>
      </c>
      <c r="F138" s="132"/>
      <c r="G138" s="53"/>
      <c r="H138" s="127"/>
      <c r="I138" s="128" t="e">
        <f t="shared" si="15"/>
        <v>#VALUE!</v>
      </c>
    </row>
    <row r="139" spans="1:9" ht="15" customHeight="1">
      <c r="A139" s="65">
        <f t="shared" si="14"/>
        <v>2002</v>
      </c>
      <c r="B139" s="104">
        <f t="shared" si="14"/>
        <v>6966</v>
      </c>
      <c r="C139" s="126" t="e">
        <f t="shared" si="16"/>
        <v>#NUM!</v>
      </c>
      <c r="D139" s="67">
        <f t="shared" si="17"/>
        <v>14</v>
      </c>
      <c r="E139" s="67">
        <f t="shared" si="18"/>
        <v>2.6390573296152584</v>
      </c>
      <c r="F139" s="132"/>
      <c r="G139" s="53"/>
      <c r="H139" s="127"/>
      <c r="I139" s="128" t="e">
        <f t="shared" si="15"/>
        <v>#VALUE!</v>
      </c>
    </row>
    <row r="140" spans="1:9" ht="15" customHeight="1">
      <c r="A140" s="65">
        <f t="shared" si="14"/>
        <v>2003</v>
      </c>
      <c r="B140" s="104">
        <f t="shared" si="14"/>
        <v>6795</v>
      </c>
      <c r="C140" s="126" t="e">
        <f t="shared" si="16"/>
        <v>#NUM!</v>
      </c>
      <c r="D140" s="67">
        <f t="shared" si="17"/>
        <v>15</v>
      </c>
      <c r="E140" s="67">
        <f t="shared" si="18"/>
        <v>2.7080502011022101</v>
      </c>
      <c r="F140" s="132"/>
      <c r="G140" s="53"/>
      <c r="H140" s="127"/>
      <c r="I140" s="128" t="e">
        <f t="shared" si="15"/>
        <v>#VALUE!</v>
      </c>
    </row>
    <row r="141" spans="1:9" ht="15" customHeight="1">
      <c r="A141" s="65">
        <f t="shared" ref="A141:B145" si="19">A21</f>
        <v>2004</v>
      </c>
      <c r="B141" s="104">
        <f t="shared" si="19"/>
        <v>6582</v>
      </c>
      <c r="C141" s="126" t="e">
        <f t="shared" si="16"/>
        <v>#NUM!</v>
      </c>
      <c r="D141" s="67">
        <f t="shared" si="17"/>
        <v>16</v>
      </c>
      <c r="E141" s="67">
        <f t="shared" si="18"/>
        <v>2.7725887222397811</v>
      </c>
      <c r="F141" s="132"/>
      <c r="G141" s="53"/>
      <c r="H141" s="127"/>
      <c r="I141" s="128" t="e">
        <f t="shared" si="15"/>
        <v>#VALUE!</v>
      </c>
    </row>
    <row r="142" spans="1:9" ht="15" customHeight="1">
      <c r="A142" s="65">
        <f t="shared" si="19"/>
        <v>2005</v>
      </c>
      <c r="B142" s="104">
        <f t="shared" si="19"/>
        <v>6343</v>
      </c>
      <c r="C142" s="126" t="e">
        <f t="shared" si="16"/>
        <v>#NUM!</v>
      </c>
      <c r="D142" s="67">
        <f t="shared" si="17"/>
        <v>17</v>
      </c>
      <c r="E142" s="67">
        <f t="shared" si="18"/>
        <v>2.8332133440562162</v>
      </c>
      <c r="F142" s="132"/>
      <c r="G142" s="53"/>
      <c r="H142" s="127"/>
      <c r="I142" s="128" t="e">
        <f t="shared" si="15"/>
        <v>#VALUE!</v>
      </c>
    </row>
    <row r="143" spans="1:9" ht="15" customHeight="1">
      <c r="A143" s="65">
        <f t="shared" si="19"/>
        <v>2006</v>
      </c>
      <c r="B143" s="104">
        <f t="shared" si="19"/>
        <v>5994</v>
      </c>
      <c r="C143" s="126" t="e">
        <f t="shared" si="16"/>
        <v>#NUM!</v>
      </c>
      <c r="D143" s="67">
        <f t="shared" si="17"/>
        <v>18</v>
      </c>
      <c r="E143" s="67">
        <f t="shared" si="18"/>
        <v>2.8903717578961645</v>
      </c>
      <c r="F143" s="132"/>
      <c r="G143" s="53"/>
      <c r="H143" s="127"/>
      <c r="I143" s="128" t="e">
        <f t="shared" si="15"/>
        <v>#VALUE!</v>
      </c>
    </row>
    <row r="144" spans="1:9" ht="15" customHeight="1" thickBot="1">
      <c r="A144" s="97">
        <f t="shared" si="19"/>
        <v>2007</v>
      </c>
      <c r="B144" s="116">
        <f t="shared" si="19"/>
        <v>5846</v>
      </c>
      <c r="C144" s="141" t="e">
        <f t="shared" si="16"/>
        <v>#NUM!</v>
      </c>
      <c r="D144" s="99">
        <f t="shared" si="17"/>
        <v>19</v>
      </c>
      <c r="E144" s="99">
        <f t="shared" si="18"/>
        <v>2.9444389791664403</v>
      </c>
      <c r="F144" s="182"/>
      <c r="G144" s="101"/>
      <c r="H144" s="143"/>
      <c r="I144" s="144" t="e">
        <f t="shared" si="15"/>
        <v>#VALUE!</v>
      </c>
    </row>
    <row r="145" spans="1:9" ht="15" customHeight="1" thickTop="1">
      <c r="A145" s="255">
        <f t="shared" si="19"/>
        <v>2008</v>
      </c>
      <c r="B145" s="81" t="e">
        <f>ROUND(LOOKUP(0,D$125:D$144,B$125:B$144)+G$129*D144^G$125,0)</f>
        <v>#VALUE!</v>
      </c>
      <c r="C145" s="257"/>
      <c r="D145" s="77">
        <f t="shared" si="17"/>
        <v>20</v>
      </c>
      <c r="E145" s="77">
        <f t="shared" si="18"/>
        <v>2.9957322735539909</v>
      </c>
      <c r="F145" s="122"/>
      <c r="G145" s="78"/>
      <c r="H145" s="258"/>
      <c r="I145" s="133" t="e">
        <f t="shared" si="15"/>
        <v>#VALUE!</v>
      </c>
    </row>
    <row r="146" spans="1:9" ht="15" customHeight="1">
      <c r="A146" s="80">
        <v>2009</v>
      </c>
      <c r="B146" s="81" t="e">
        <f>ROUND(LOOKUP(0,D$125:D$144,B$125:B$144)+G$129*D145^G$125,0)</f>
        <v>#VALUE!</v>
      </c>
      <c r="C146" s="134"/>
      <c r="D146" s="67">
        <f t="shared" si="17"/>
        <v>21</v>
      </c>
      <c r="E146" s="67"/>
      <c r="F146" s="83"/>
      <c r="G146" s="69"/>
      <c r="H146" s="84"/>
      <c r="I146" s="128" t="e">
        <f t="shared" si="15"/>
        <v>#VALUE!</v>
      </c>
    </row>
    <row r="147" spans="1:9" ht="15" customHeight="1">
      <c r="A147" s="80">
        <v>2010</v>
      </c>
      <c r="B147" s="81" t="e">
        <f t="shared" ref="B147:B162" si="20">ROUND(LOOKUP(0,D$125:D$144,B$125:B$144)+G$129*D146^G$125,0)</f>
        <v>#VALUE!</v>
      </c>
      <c r="C147" s="134"/>
      <c r="D147" s="67">
        <f t="shared" si="17"/>
        <v>22</v>
      </c>
      <c r="E147" s="67"/>
      <c r="F147" s="83"/>
      <c r="G147" s="69"/>
      <c r="H147" s="84"/>
      <c r="I147" s="128" t="e">
        <f t="shared" si="15"/>
        <v>#VALUE!</v>
      </c>
    </row>
    <row r="148" spans="1:9" ht="15" customHeight="1">
      <c r="A148" s="80">
        <v>2011</v>
      </c>
      <c r="B148" s="81" t="e">
        <f t="shared" si="20"/>
        <v>#VALUE!</v>
      </c>
      <c r="C148" s="134"/>
      <c r="D148" s="67">
        <f t="shared" si="17"/>
        <v>23</v>
      </c>
      <c r="E148" s="67"/>
      <c r="F148" s="83"/>
      <c r="G148" s="69"/>
      <c r="H148" s="84"/>
      <c r="I148" s="128" t="e">
        <f t="shared" si="15"/>
        <v>#VALUE!</v>
      </c>
    </row>
    <row r="149" spans="1:9" ht="15" customHeight="1">
      <c r="A149" s="80">
        <v>2012</v>
      </c>
      <c r="B149" s="81" t="e">
        <f t="shared" si="20"/>
        <v>#VALUE!</v>
      </c>
      <c r="C149" s="134"/>
      <c r="D149" s="67">
        <f t="shared" si="17"/>
        <v>24</v>
      </c>
      <c r="E149" s="67"/>
      <c r="F149" s="83"/>
      <c r="G149" s="69"/>
      <c r="H149" s="84"/>
      <c r="I149" s="128" t="e">
        <f t="shared" si="15"/>
        <v>#VALUE!</v>
      </c>
    </row>
    <row r="150" spans="1:9" ht="15" customHeight="1">
      <c r="A150" s="80">
        <v>2013</v>
      </c>
      <c r="B150" s="81" t="e">
        <f t="shared" si="20"/>
        <v>#VALUE!</v>
      </c>
      <c r="C150" s="134"/>
      <c r="D150" s="67">
        <f t="shared" si="17"/>
        <v>25</v>
      </c>
      <c r="E150" s="67"/>
      <c r="F150" s="83"/>
      <c r="G150" s="69"/>
      <c r="H150" s="84"/>
      <c r="I150" s="128" t="e">
        <f t="shared" si="15"/>
        <v>#VALUE!</v>
      </c>
    </row>
    <row r="151" spans="1:9" ht="15" customHeight="1">
      <c r="A151" s="80">
        <v>2014</v>
      </c>
      <c r="B151" s="81" t="e">
        <f t="shared" si="20"/>
        <v>#VALUE!</v>
      </c>
      <c r="C151" s="134"/>
      <c r="D151" s="67">
        <f t="shared" si="17"/>
        <v>26</v>
      </c>
      <c r="E151" s="67"/>
      <c r="F151" s="83"/>
      <c r="G151" s="69"/>
      <c r="H151" s="84"/>
      <c r="I151" s="128" t="e">
        <f t="shared" si="15"/>
        <v>#VALUE!</v>
      </c>
    </row>
    <row r="152" spans="1:9" ht="15" customHeight="1">
      <c r="A152" s="80">
        <v>2015</v>
      </c>
      <c r="B152" s="81" t="e">
        <f t="shared" si="20"/>
        <v>#VALUE!</v>
      </c>
      <c r="C152" s="134"/>
      <c r="D152" s="67">
        <f t="shared" si="17"/>
        <v>27</v>
      </c>
      <c r="E152" s="67"/>
      <c r="F152" s="83"/>
      <c r="G152" s="69"/>
      <c r="H152" s="84"/>
      <c r="I152" s="128" t="e">
        <f t="shared" si="15"/>
        <v>#VALUE!</v>
      </c>
    </row>
    <row r="153" spans="1:9" ht="15" customHeight="1">
      <c r="A153" s="80">
        <v>2016</v>
      </c>
      <c r="B153" s="81" t="e">
        <f t="shared" si="20"/>
        <v>#VALUE!</v>
      </c>
      <c r="C153" s="134"/>
      <c r="D153" s="67">
        <f t="shared" si="17"/>
        <v>28</v>
      </c>
      <c r="E153" s="67"/>
      <c r="F153" s="83"/>
      <c r="G153" s="69"/>
      <c r="H153" s="84"/>
      <c r="I153" s="128" t="e">
        <f t="shared" si="15"/>
        <v>#VALUE!</v>
      </c>
    </row>
    <row r="154" spans="1:9" ht="15" customHeight="1">
      <c r="A154" s="80">
        <v>2017</v>
      </c>
      <c r="B154" s="81" t="e">
        <f t="shared" si="20"/>
        <v>#VALUE!</v>
      </c>
      <c r="C154" s="134"/>
      <c r="D154" s="67">
        <f t="shared" si="17"/>
        <v>29</v>
      </c>
      <c r="E154" s="67"/>
      <c r="F154" s="83"/>
      <c r="G154" s="69"/>
      <c r="H154" s="84"/>
      <c r="I154" s="128" t="e">
        <f t="shared" si="15"/>
        <v>#VALUE!</v>
      </c>
    </row>
    <row r="155" spans="1:9" ht="15" customHeight="1">
      <c r="A155" s="80">
        <v>2018</v>
      </c>
      <c r="B155" s="81" t="e">
        <f t="shared" si="20"/>
        <v>#VALUE!</v>
      </c>
      <c r="C155" s="134"/>
      <c r="D155" s="67">
        <f t="shared" si="17"/>
        <v>30</v>
      </c>
      <c r="E155" s="67"/>
      <c r="F155" s="83"/>
      <c r="G155" s="69"/>
      <c r="H155" s="84"/>
      <c r="I155" s="128" t="e">
        <f t="shared" si="15"/>
        <v>#VALUE!</v>
      </c>
    </row>
    <row r="156" spans="1:9" ht="15" customHeight="1">
      <c r="A156" s="80">
        <v>2019</v>
      </c>
      <c r="B156" s="81" t="e">
        <f t="shared" si="20"/>
        <v>#VALUE!</v>
      </c>
      <c r="C156" s="134"/>
      <c r="D156" s="67">
        <f t="shared" si="17"/>
        <v>31</v>
      </c>
      <c r="E156" s="67"/>
      <c r="F156" s="83"/>
      <c r="G156" s="69"/>
      <c r="H156" s="84"/>
      <c r="I156" s="128" t="e">
        <f t="shared" si="15"/>
        <v>#VALUE!</v>
      </c>
    </row>
    <row r="157" spans="1:9" ht="15" customHeight="1">
      <c r="A157" s="80">
        <v>2020</v>
      </c>
      <c r="B157" s="81" t="e">
        <f t="shared" si="20"/>
        <v>#VALUE!</v>
      </c>
      <c r="C157" s="134"/>
      <c r="D157" s="67">
        <f t="shared" si="17"/>
        <v>32</v>
      </c>
      <c r="E157" s="67"/>
      <c r="F157" s="83"/>
      <c r="G157" s="69"/>
      <c r="H157" s="84"/>
      <c r="I157" s="128" t="e">
        <f t="shared" si="15"/>
        <v>#VALUE!</v>
      </c>
    </row>
    <row r="158" spans="1:9" ht="15" customHeight="1">
      <c r="A158" s="80">
        <v>2021</v>
      </c>
      <c r="B158" s="81" t="e">
        <f t="shared" si="20"/>
        <v>#VALUE!</v>
      </c>
      <c r="C158" s="134"/>
      <c r="D158" s="67">
        <f t="shared" si="17"/>
        <v>33</v>
      </c>
      <c r="E158" s="67"/>
      <c r="F158" s="83"/>
      <c r="G158" s="69"/>
      <c r="H158" s="84"/>
      <c r="I158" s="128" t="e">
        <f t="shared" si="15"/>
        <v>#VALUE!</v>
      </c>
    </row>
    <row r="159" spans="1:9" ht="15" customHeight="1">
      <c r="A159" s="80">
        <v>2022</v>
      </c>
      <c r="B159" s="81" t="e">
        <f t="shared" si="20"/>
        <v>#VALUE!</v>
      </c>
      <c r="C159" s="134"/>
      <c r="D159" s="67">
        <f t="shared" si="17"/>
        <v>34</v>
      </c>
      <c r="E159" s="67"/>
      <c r="F159" s="83"/>
      <c r="G159" s="69"/>
      <c r="H159" s="84"/>
      <c r="I159" s="128" t="e">
        <f t="shared" si="15"/>
        <v>#VALUE!</v>
      </c>
    </row>
    <row r="160" spans="1:9" ht="15" customHeight="1">
      <c r="A160" s="80">
        <v>2023</v>
      </c>
      <c r="B160" s="81" t="e">
        <f t="shared" si="20"/>
        <v>#VALUE!</v>
      </c>
      <c r="C160" s="134"/>
      <c r="D160" s="67">
        <f t="shared" si="17"/>
        <v>35</v>
      </c>
      <c r="E160" s="67"/>
      <c r="F160" s="83"/>
      <c r="G160" s="69"/>
      <c r="H160" s="84"/>
      <c r="I160" s="128" t="e">
        <f t="shared" si="15"/>
        <v>#VALUE!</v>
      </c>
    </row>
    <row r="161" spans="1:9" ht="15" customHeight="1">
      <c r="A161" s="80">
        <v>2024</v>
      </c>
      <c r="B161" s="81" t="e">
        <f t="shared" si="20"/>
        <v>#VALUE!</v>
      </c>
      <c r="C161" s="135"/>
      <c r="D161" s="67">
        <f t="shared" si="17"/>
        <v>36</v>
      </c>
      <c r="E161" s="67"/>
      <c r="F161" s="69"/>
      <c r="G161" s="69"/>
      <c r="H161" s="69"/>
      <c r="I161" s="136" t="e">
        <f t="shared" si="15"/>
        <v>#VALUE!</v>
      </c>
    </row>
    <row r="162" spans="1:9" ht="15" customHeight="1">
      <c r="A162" s="85">
        <v>2025</v>
      </c>
      <c r="B162" s="81" t="e">
        <f t="shared" si="20"/>
        <v>#VALUE!</v>
      </c>
      <c r="C162" s="137"/>
      <c r="D162" s="87">
        <f t="shared" si="17"/>
        <v>37</v>
      </c>
      <c r="E162" s="87"/>
      <c r="F162" s="89"/>
      <c r="G162" s="89"/>
      <c r="H162" s="89"/>
      <c r="I162" s="138" t="e">
        <f t="shared" si="15"/>
        <v>#VALUE!</v>
      </c>
    </row>
    <row r="163" spans="1:9" ht="15" customHeight="1">
      <c r="A163" s="56" t="s">
        <v>87</v>
      </c>
      <c r="B163" s="57"/>
    </row>
    <row r="164" spans="1:9" ht="15" customHeight="1">
      <c r="A164" s="58" t="s">
        <v>32</v>
      </c>
      <c r="B164" s="59" t="s">
        <v>40</v>
      </c>
      <c r="C164" s="59" t="s">
        <v>36</v>
      </c>
      <c r="D164" s="59" t="s">
        <v>33</v>
      </c>
      <c r="E164" s="103"/>
      <c r="F164" s="60"/>
      <c r="G164" s="61"/>
      <c r="H164" s="63" t="s">
        <v>104</v>
      </c>
      <c r="I164" s="64">
        <f>RSQ(I165:I185,B165:B185)</f>
        <v>0.96924343382043454</v>
      </c>
    </row>
    <row r="165" spans="1:9" ht="15" customHeight="1">
      <c r="A165" s="65">
        <f t="shared" ref="A165:A185" si="21">A5</f>
        <v>1988</v>
      </c>
      <c r="B165" s="104">
        <f t="shared" ref="B165:B184" si="22">+B5</f>
        <v>12750</v>
      </c>
      <c r="C165" s="126">
        <f t="shared" ref="C165:C184" si="23">LN(F$168/B165-1)</f>
        <v>0</v>
      </c>
      <c r="D165" s="67">
        <v>0</v>
      </c>
      <c r="E165" s="106" t="s">
        <v>75</v>
      </c>
      <c r="F165" s="139">
        <f>INDEX(LINEST(C165:C184,D165:D184),1)</f>
        <v>5.9976962755237027E-2</v>
      </c>
      <c r="G165" s="140" t="s">
        <v>88</v>
      </c>
      <c r="H165" s="127"/>
      <c r="I165" s="128">
        <f t="shared" ref="I165:I202" si="24">$F$168/(1+EXP($F$166+$F$165*D165))</f>
        <v>11814.41996348322</v>
      </c>
    </row>
    <row r="166" spans="1:9" ht="15" customHeight="1">
      <c r="A166" s="65">
        <f t="shared" si="21"/>
        <v>1989</v>
      </c>
      <c r="B166" s="104">
        <f t="shared" si="22"/>
        <v>11929</v>
      </c>
      <c r="C166" s="126">
        <f t="shared" si="23"/>
        <v>0.12896275279942498</v>
      </c>
      <c r="D166" s="67">
        <f t="shared" ref="D166:D202" si="25">D165+1</f>
        <v>1</v>
      </c>
      <c r="E166" s="106" t="s">
        <v>76</v>
      </c>
      <c r="F166" s="139">
        <f>INDEX(LINEST(C165:C184,D165:D184),2)</f>
        <v>0.14702191022967748</v>
      </c>
      <c r="G166" s="69"/>
      <c r="H166" s="127"/>
      <c r="I166" s="128">
        <f t="shared" si="24"/>
        <v>11435.074055771478</v>
      </c>
    </row>
    <row r="167" spans="1:9" ht="15" customHeight="1">
      <c r="A167" s="65">
        <f t="shared" si="21"/>
        <v>1990</v>
      </c>
      <c r="B167" s="104">
        <f t="shared" si="22"/>
        <v>10828</v>
      </c>
      <c r="C167" s="126">
        <f t="shared" si="23"/>
        <v>0.30380554376205421</v>
      </c>
      <c r="D167" s="67">
        <f t="shared" si="25"/>
        <v>2</v>
      </c>
      <c r="E167" s="106" t="s">
        <v>77</v>
      </c>
      <c r="F167" s="73">
        <f>I164</f>
        <v>0.96924343382043454</v>
      </c>
      <c r="G167" s="69"/>
      <c r="H167" s="127"/>
      <c r="I167" s="128">
        <f t="shared" si="24"/>
        <v>11058.066662890573</v>
      </c>
    </row>
    <row r="168" spans="1:9" ht="15" customHeight="1">
      <c r="A168" s="65">
        <f t="shared" si="21"/>
        <v>1991</v>
      </c>
      <c r="B168" s="104">
        <f t="shared" si="22"/>
        <v>10840</v>
      </c>
      <c r="C168" s="126">
        <f t="shared" si="23"/>
        <v>0.30187970044700513</v>
      </c>
      <c r="D168" s="67">
        <f t="shared" si="25"/>
        <v>3</v>
      </c>
      <c r="E168" s="106" t="s">
        <v>39</v>
      </c>
      <c r="F168" s="110">
        <f>MAX(B165:B184)*2</f>
        <v>25500</v>
      </c>
      <c r="G168" s="69"/>
      <c r="H168" s="127"/>
      <c r="I168" s="128">
        <f t="shared" si="24"/>
        <v>10684.04707956733</v>
      </c>
    </row>
    <row r="169" spans="1:9" ht="15" customHeight="1">
      <c r="A169" s="65">
        <f t="shared" si="21"/>
        <v>1992</v>
      </c>
      <c r="B169" s="104">
        <f t="shared" si="22"/>
        <v>10430</v>
      </c>
      <c r="C169" s="126">
        <f t="shared" si="23"/>
        <v>0.36801974362572304</v>
      </c>
      <c r="D169" s="67">
        <f t="shared" si="25"/>
        <v>4</v>
      </c>
      <c r="E169" s="106"/>
      <c r="F169" s="53"/>
      <c r="G169" s="69"/>
      <c r="H169" s="127"/>
      <c r="I169" s="128">
        <f t="shared" si="24"/>
        <v>10313.643711737506</v>
      </c>
    </row>
    <row r="170" spans="1:9" ht="15" customHeight="1">
      <c r="A170" s="65">
        <f t="shared" si="21"/>
        <v>1993</v>
      </c>
      <c r="B170" s="104">
        <f t="shared" si="22"/>
        <v>10044</v>
      </c>
      <c r="C170" s="126">
        <f t="shared" si="23"/>
        <v>0.43102183617482359</v>
      </c>
      <c r="D170" s="67">
        <f t="shared" si="25"/>
        <v>5</v>
      </c>
      <c r="E170" s="106"/>
      <c r="F170" s="53"/>
      <c r="G170" s="69"/>
      <c r="H170" s="127"/>
      <c r="I170" s="128">
        <f t="shared" si="24"/>
        <v>9947.4600189994508</v>
      </c>
    </row>
    <row r="171" spans="1:9" ht="15" customHeight="1">
      <c r="A171" s="65">
        <f t="shared" si="21"/>
        <v>1994</v>
      </c>
      <c r="B171" s="104">
        <f t="shared" si="22"/>
        <v>9477</v>
      </c>
      <c r="C171" s="126">
        <f t="shared" si="23"/>
        <v>0.52515737953768504</v>
      </c>
      <c r="D171" s="67">
        <f t="shared" si="25"/>
        <v>6</v>
      </c>
      <c r="E171" s="132" t="s">
        <v>89</v>
      </c>
      <c r="F171" s="53"/>
      <c r="G171" s="69"/>
      <c r="H171" s="127"/>
      <c r="I171" s="128">
        <f t="shared" si="24"/>
        <v>9586.0708166931399</v>
      </c>
    </row>
    <row r="172" spans="1:9" ht="15" customHeight="1">
      <c r="A172" s="65">
        <f t="shared" si="21"/>
        <v>1995</v>
      </c>
      <c r="B172" s="104">
        <f t="shared" si="22"/>
        <v>8906</v>
      </c>
      <c r="C172" s="126">
        <f t="shared" si="23"/>
        <v>0.62231597734258282</v>
      </c>
      <c r="D172" s="67">
        <f t="shared" si="25"/>
        <v>7</v>
      </c>
      <c r="E172" s="132" t="s">
        <v>90</v>
      </c>
      <c r="F172" s="53"/>
      <c r="G172" s="69"/>
      <c r="H172" s="127"/>
      <c r="I172" s="128">
        <f t="shared" si="24"/>
        <v>9230.0189817609953</v>
      </c>
    </row>
    <row r="173" spans="1:9" ht="15" customHeight="1">
      <c r="A173" s="65">
        <f t="shared" si="21"/>
        <v>1996</v>
      </c>
      <c r="B173" s="104">
        <f t="shared" si="22"/>
        <v>8278</v>
      </c>
      <c r="C173" s="126">
        <f t="shared" si="23"/>
        <v>0.73258624294743291</v>
      </c>
      <c r="D173" s="67">
        <f t="shared" si="25"/>
        <v>8</v>
      </c>
      <c r="E173" s="132"/>
      <c r="F173" s="53"/>
      <c r="G173" s="69"/>
      <c r="H173" s="127"/>
      <c r="I173" s="128">
        <f t="shared" si="24"/>
        <v>8879.8125970249894</v>
      </c>
    </row>
    <row r="174" spans="1:9" ht="15" customHeight="1">
      <c r="A174" s="65">
        <f t="shared" si="21"/>
        <v>1997</v>
      </c>
      <c r="B174" s="104">
        <f t="shared" si="22"/>
        <v>7979</v>
      </c>
      <c r="C174" s="126">
        <f t="shared" si="23"/>
        <v>0.78658707117880655</v>
      </c>
      <c r="D174" s="67">
        <f t="shared" si="25"/>
        <v>9</v>
      </c>
      <c r="E174" s="132"/>
      <c r="F174" s="53"/>
      <c r="G174" s="69"/>
      <c r="H174" s="127"/>
      <c r="I174" s="128">
        <f t="shared" si="24"/>
        <v>8535.922558539789</v>
      </c>
    </row>
    <row r="175" spans="1:9" ht="15" customHeight="1">
      <c r="A175" s="65">
        <f t="shared" si="21"/>
        <v>1998</v>
      </c>
      <c r="B175" s="104">
        <f t="shared" si="22"/>
        <v>7754</v>
      </c>
      <c r="C175" s="126">
        <f t="shared" si="23"/>
        <v>0.82795129916440857</v>
      </c>
      <c r="D175" s="67">
        <f t="shared" si="25"/>
        <v>10</v>
      </c>
      <c r="E175" s="132"/>
      <c r="F175" s="53"/>
      <c r="G175" s="69"/>
      <c r="H175" s="127"/>
      <c r="I175" s="128">
        <f t="shared" si="24"/>
        <v>8198.7806605874139</v>
      </c>
    </row>
    <row r="176" spans="1:9" ht="15" customHeight="1">
      <c r="A176" s="65">
        <f t="shared" si="21"/>
        <v>1999</v>
      </c>
      <c r="B176" s="104">
        <f t="shared" si="22"/>
        <v>7491</v>
      </c>
      <c r="C176" s="126">
        <f t="shared" si="23"/>
        <v>0.87716933297206989</v>
      </c>
      <c r="D176" s="67">
        <f t="shared" si="25"/>
        <v>11</v>
      </c>
      <c r="E176" s="132"/>
      <c r="F176" s="53"/>
      <c r="G176" s="69"/>
      <c r="H176" s="127"/>
      <c r="I176" s="128">
        <f t="shared" si="24"/>
        <v>7868.778162982022</v>
      </c>
    </row>
    <row r="177" spans="1:9" ht="15" customHeight="1">
      <c r="A177" s="65">
        <f t="shared" si="21"/>
        <v>2000</v>
      </c>
      <c r="B177" s="104">
        <f t="shared" si="22"/>
        <v>7200</v>
      </c>
      <c r="C177" s="126">
        <f t="shared" si="23"/>
        <v>0.9328200338253656</v>
      </c>
      <c r="D177" s="67">
        <f t="shared" si="25"/>
        <v>12</v>
      </c>
      <c r="E177" s="132"/>
      <c r="F177" s="53"/>
      <c r="G177" s="69"/>
      <c r="H177" s="127"/>
      <c r="I177" s="128">
        <f t="shared" si="24"/>
        <v>7546.2648359436153</v>
      </c>
    </row>
    <row r="178" spans="1:9" ht="15" customHeight="1">
      <c r="A178" s="65">
        <f t="shared" si="21"/>
        <v>2001</v>
      </c>
      <c r="B178" s="104">
        <f t="shared" si="22"/>
        <v>7096</v>
      </c>
      <c r="C178" s="126">
        <f t="shared" si="23"/>
        <v>0.95303678728594388</v>
      </c>
      <c r="D178" s="67">
        <f t="shared" si="25"/>
        <v>13</v>
      </c>
      <c r="E178" s="132"/>
      <c r="F178" s="53"/>
      <c r="G178" s="69"/>
      <c r="H178" s="127"/>
      <c r="I178" s="128">
        <f t="shared" si="24"/>
        <v>7231.548469126149</v>
      </c>
    </row>
    <row r="179" spans="1:9" ht="15" customHeight="1">
      <c r="A179" s="65">
        <f t="shared" si="21"/>
        <v>2002</v>
      </c>
      <c r="B179" s="104">
        <f t="shared" si="22"/>
        <v>6966</v>
      </c>
      <c r="C179" s="126">
        <f t="shared" si="23"/>
        <v>0.97856571122069025</v>
      </c>
      <c r="D179" s="67">
        <f t="shared" si="25"/>
        <v>14</v>
      </c>
      <c r="E179" s="132"/>
      <c r="F179" s="53"/>
      <c r="G179" s="69"/>
      <c r="H179" s="127"/>
      <c r="I179" s="128">
        <f t="shared" si="24"/>
        <v>6924.8948236517035</v>
      </c>
    </row>
    <row r="180" spans="1:9" ht="15" customHeight="1">
      <c r="A180" s="65">
        <f t="shared" si="21"/>
        <v>2003</v>
      </c>
      <c r="B180" s="104">
        <f t="shared" si="22"/>
        <v>6795</v>
      </c>
      <c r="C180" s="126">
        <f t="shared" si="23"/>
        <v>1.0126038201970025</v>
      </c>
      <c r="D180" s="67">
        <f t="shared" si="25"/>
        <v>15</v>
      </c>
      <c r="E180" s="132"/>
      <c r="F180" s="53"/>
      <c r="G180" s="69"/>
      <c r="H180" s="127"/>
      <c r="I180" s="128">
        <f t="shared" si="24"/>
        <v>6626.5279993599215</v>
      </c>
    </row>
    <row r="181" spans="1:9" ht="15" customHeight="1">
      <c r="A181" s="65">
        <f t="shared" si="21"/>
        <v>2004</v>
      </c>
      <c r="B181" s="104">
        <f t="shared" si="22"/>
        <v>6582</v>
      </c>
      <c r="C181" s="126">
        <f t="shared" si="23"/>
        <v>1.0557751992698305</v>
      </c>
      <c r="D181" s="67">
        <f t="shared" si="25"/>
        <v>16</v>
      </c>
      <c r="E181" s="106"/>
      <c r="F181" s="53"/>
      <c r="G181" s="69"/>
      <c r="H181" s="127"/>
      <c r="I181" s="128">
        <f t="shared" si="24"/>
        <v>6336.6311840290728</v>
      </c>
    </row>
    <row r="182" spans="1:9" ht="15" customHeight="1">
      <c r="A182" s="65">
        <f t="shared" si="21"/>
        <v>2005</v>
      </c>
      <c r="B182" s="104">
        <f t="shared" si="22"/>
        <v>6343</v>
      </c>
      <c r="C182" s="126">
        <f t="shared" si="23"/>
        <v>1.1053163414312039</v>
      </c>
      <c r="D182" s="67">
        <f t="shared" si="25"/>
        <v>17</v>
      </c>
      <c r="E182" s="83"/>
      <c r="F182" s="69"/>
      <c r="G182" s="69"/>
      <c r="H182" s="127"/>
      <c r="I182" s="128">
        <f t="shared" si="24"/>
        <v>6055.3477471092438</v>
      </c>
    </row>
    <row r="183" spans="1:9" ht="15" customHeight="1">
      <c r="A183" s="65">
        <f t="shared" si="21"/>
        <v>2006</v>
      </c>
      <c r="B183" s="104">
        <f t="shared" si="22"/>
        <v>5994</v>
      </c>
      <c r="C183" s="126">
        <f t="shared" si="23"/>
        <v>1.179963141655352</v>
      </c>
      <c r="D183" s="67">
        <f t="shared" si="25"/>
        <v>18</v>
      </c>
      <c r="E183" s="83"/>
      <c r="F183" s="69"/>
      <c r="G183" s="69"/>
      <c r="H183" s="127"/>
      <c r="I183" s="128">
        <f t="shared" si="24"/>
        <v>5782.7826375281184</v>
      </c>
    </row>
    <row r="184" spans="1:9" ht="15" customHeight="1" thickBot="1">
      <c r="A184" s="97">
        <f t="shared" si="21"/>
        <v>2007</v>
      </c>
      <c r="B184" s="116">
        <f t="shared" si="22"/>
        <v>5846</v>
      </c>
      <c r="C184" s="141">
        <f t="shared" si="23"/>
        <v>1.212523213251181</v>
      </c>
      <c r="D184" s="99">
        <f t="shared" si="25"/>
        <v>19</v>
      </c>
      <c r="E184" s="142"/>
      <c r="F184" s="100"/>
      <c r="G184" s="100"/>
      <c r="H184" s="143"/>
      <c r="I184" s="144">
        <f t="shared" si="24"/>
        <v>5519.0040433426175</v>
      </c>
    </row>
    <row r="185" spans="1:9" ht="15" customHeight="1" thickTop="1">
      <c r="A185" s="255">
        <f t="shared" si="21"/>
        <v>2008</v>
      </c>
      <c r="B185" s="81">
        <f t="shared" ref="B185:B202" si="26">ROUND(F$168/(1+EXP(F$166+F$165*D185)),0)</f>
        <v>5264</v>
      </c>
      <c r="C185" s="257"/>
      <c r="D185" s="77">
        <f t="shared" si="25"/>
        <v>20</v>
      </c>
      <c r="E185" s="122"/>
      <c r="F185" s="78"/>
      <c r="G185" s="78"/>
      <c r="H185" s="258"/>
      <c r="I185" s="133">
        <f t="shared" si="24"/>
        <v>5264.0452703363871</v>
      </c>
    </row>
    <row r="186" spans="1:9" ht="15" customHeight="1">
      <c r="A186" s="80">
        <v>2009</v>
      </c>
      <c r="B186" s="81">
        <f t="shared" si="26"/>
        <v>5018</v>
      </c>
      <c r="C186" s="134"/>
      <c r="D186" s="67">
        <f t="shared" si="25"/>
        <v>21</v>
      </c>
      <c r="E186" s="83"/>
      <c r="F186" s="69"/>
      <c r="G186" s="69"/>
      <c r="H186" s="84"/>
      <c r="I186" s="128">
        <f t="shared" si="24"/>
        <v>5017.9067969976122</v>
      </c>
    </row>
    <row r="187" spans="1:9" ht="15" customHeight="1">
      <c r="A187" s="80">
        <v>2010</v>
      </c>
      <c r="B187" s="81">
        <f t="shared" si="26"/>
        <v>4781</v>
      </c>
      <c r="C187" s="134"/>
      <c r="D187" s="67">
        <f t="shared" si="25"/>
        <v>22</v>
      </c>
      <c r="E187" s="83"/>
      <c r="F187" s="69"/>
      <c r="G187" s="69"/>
      <c r="H187" s="84"/>
      <c r="I187" s="128">
        <f t="shared" si="24"/>
        <v>4780.5584645272293</v>
      </c>
    </row>
    <row r="188" spans="1:9" ht="15" customHeight="1">
      <c r="A188" s="80">
        <v>2011</v>
      </c>
      <c r="B188" s="81">
        <f t="shared" si="26"/>
        <v>4552</v>
      </c>
      <c r="C188" s="134"/>
      <c r="D188" s="67">
        <f t="shared" si="25"/>
        <v>23</v>
      </c>
      <c r="E188" s="83"/>
      <c r="F188" s="69"/>
      <c r="G188" s="69"/>
      <c r="H188" s="84"/>
      <c r="I188" s="128">
        <f t="shared" si="24"/>
        <v>4551.9417624861171</v>
      </c>
    </row>
    <row r="189" spans="1:9" ht="15" customHeight="1">
      <c r="A189" s="80">
        <v>2012</v>
      </c>
      <c r="B189" s="81">
        <f t="shared" si="26"/>
        <v>4332</v>
      </c>
      <c r="C189" s="134"/>
      <c r="D189" s="67">
        <f t="shared" si="25"/>
        <v>24</v>
      </c>
      <c r="E189" s="83"/>
      <c r="F189" s="69"/>
      <c r="G189" s="69"/>
      <c r="H189" s="84"/>
      <c r="I189" s="128">
        <f t="shared" si="24"/>
        <v>4331.9721732471944</v>
      </c>
    </row>
    <row r="190" spans="1:9" ht="15" customHeight="1">
      <c r="A190" s="80">
        <v>2013</v>
      </c>
      <c r="B190" s="81">
        <f t="shared" si="26"/>
        <v>4121</v>
      </c>
      <c r="C190" s="134"/>
      <c r="D190" s="67">
        <f t="shared" si="25"/>
        <v>25</v>
      </c>
      <c r="E190" s="83"/>
      <c r="F190" s="69"/>
      <c r="G190" s="69"/>
      <c r="H190" s="84"/>
      <c r="I190" s="128">
        <f t="shared" si="24"/>
        <v>4120.5415414319941</v>
      </c>
    </row>
    <row r="191" spans="1:9" ht="15" customHeight="1">
      <c r="A191" s="80">
        <v>2014</v>
      </c>
      <c r="B191" s="81">
        <f t="shared" si="26"/>
        <v>3918</v>
      </c>
      <c r="C191" s="134"/>
      <c r="D191" s="67">
        <f t="shared" si="25"/>
        <v>26</v>
      </c>
      <c r="E191" s="83"/>
      <c r="F191" s="69"/>
      <c r="G191" s="69"/>
      <c r="H191" s="84"/>
      <c r="I191" s="128">
        <f t="shared" si="24"/>
        <v>3917.5204378446701</v>
      </c>
    </row>
    <row r="192" spans="1:9" ht="15" customHeight="1">
      <c r="A192" s="80">
        <v>2015</v>
      </c>
      <c r="B192" s="81">
        <f t="shared" si="26"/>
        <v>3723</v>
      </c>
      <c r="C192" s="134"/>
      <c r="D192" s="67">
        <f t="shared" si="25"/>
        <v>27</v>
      </c>
      <c r="E192" s="83"/>
      <c r="F192" s="69"/>
      <c r="G192" s="69"/>
      <c r="H192" s="84"/>
      <c r="I192" s="128">
        <f t="shared" si="24"/>
        <v>3722.7604909429479</v>
      </c>
    </row>
    <row r="193" spans="1:10" ht="15" customHeight="1">
      <c r="A193" s="80">
        <v>2016</v>
      </c>
      <c r="B193" s="81">
        <f t="shared" si="26"/>
        <v>3536</v>
      </c>
      <c r="C193" s="134"/>
      <c r="D193" s="67">
        <f t="shared" si="25"/>
        <v>28</v>
      </c>
      <c r="E193" s="83"/>
      <c r="F193" s="69"/>
      <c r="G193" s="69"/>
      <c r="H193" s="84"/>
      <c r="I193" s="128">
        <f t="shared" si="24"/>
        <v>3536.0966624922316</v>
      </c>
    </row>
    <row r="194" spans="1:10" ht="15" customHeight="1">
      <c r="A194" s="80">
        <v>2017</v>
      </c>
      <c r="B194" s="81">
        <f t="shared" si="26"/>
        <v>3357</v>
      </c>
      <c r="C194" s="134"/>
      <c r="D194" s="67">
        <f t="shared" si="25"/>
        <v>29</v>
      </c>
      <c r="E194" s="83"/>
      <c r="F194" s="69"/>
      <c r="G194" s="69"/>
      <c r="H194" s="84"/>
      <c r="I194" s="128">
        <f t="shared" si="24"/>
        <v>3357.3494476373921</v>
      </c>
    </row>
    <row r="195" spans="1:10" ht="15" customHeight="1">
      <c r="A195" s="80">
        <v>2018</v>
      </c>
      <c r="B195" s="81">
        <f t="shared" si="26"/>
        <v>3186</v>
      </c>
      <c r="C195" s="134"/>
      <c r="D195" s="67">
        <f t="shared" si="25"/>
        <v>30</v>
      </c>
      <c r="E195" s="83"/>
      <c r="F195" s="69"/>
      <c r="G195" s="69"/>
      <c r="H195" s="84"/>
      <c r="I195" s="128">
        <f t="shared" si="24"/>
        <v>3186.3269831144421</v>
      </c>
    </row>
    <row r="196" spans="1:10" ht="15" customHeight="1">
      <c r="A196" s="80">
        <v>2019</v>
      </c>
      <c r="B196" s="81">
        <f t="shared" si="26"/>
        <v>3023</v>
      </c>
      <c r="C196" s="134"/>
      <c r="D196" s="67">
        <f t="shared" si="25"/>
        <v>31</v>
      </c>
      <c r="E196" s="83"/>
      <c r="F196" s="69"/>
      <c r="G196" s="69"/>
      <c r="H196" s="84"/>
      <c r="I196" s="128">
        <f t="shared" si="24"/>
        <v>3022.8270506447748</v>
      </c>
    </row>
    <row r="197" spans="1:10" ht="15" customHeight="1">
      <c r="A197" s="80">
        <v>2020</v>
      </c>
      <c r="B197" s="81">
        <f t="shared" si="26"/>
        <v>2867</v>
      </c>
      <c r="C197" s="134"/>
      <c r="D197" s="67">
        <f t="shared" si="25"/>
        <v>32</v>
      </c>
      <c r="E197" s="83"/>
      <c r="F197" s="69"/>
      <c r="G197" s="69"/>
      <c r="H197" s="84"/>
      <c r="I197" s="128">
        <f t="shared" si="24"/>
        <v>2866.6389656569954</v>
      </c>
    </row>
    <row r="198" spans="1:10" ht="15" customHeight="1">
      <c r="A198" s="80">
        <v>2021</v>
      </c>
      <c r="B198" s="81">
        <f t="shared" si="26"/>
        <v>2718</v>
      </c>
      <c r="C198" s="134"/>
      <c r="D198" s="67">
        <f t="shared" si="25"/>
        <v>33</v>
      </c>
      <c r="E198" s="83"/>
      <c r="F198" s="69"/>
      <c r="G198" s="69"/>
      <c r="H198" s="84"/>
      <c r="I198" s="128">
        <f t="shared" si="24"/>
        <v>2717.5453443290116</v>
      </c>
    </row>
    <row r="199" spans="1:10" ht="15" customHeight="1">
      <c r="A199" s="80">
        <v>2022</v>
      </c>
      <c r="B199" s="81">
        <f t="shared" si="26"/>
        <v>2575</v>
      </c>
      <c r="C199" s="134"/>
      <c r="D199" s="67">
        <f t="shared" si="25"/>
        <v>34</v>
      </c>
      <c r="E199" s="83"/>
      <c r="F199" s="69"/>
      <c r="G199" s="69"/>
      <c r="H199" s="84"/>
      <c r="I199" s="128">
        <f t="shared" si="24"/>
        <v>2575.3237445123218</v>
      </c>
    </row>
    <row r="200" spans="1:10" ht="15" customHeight="1">
      <c r="A200" s="80">
        <v>2023</v>
      </c>
      <c r="B200" s="81">
        <f t="shared" si="26"/>
        <v>2440</v>
      </c>
      <c r="C200" s="134"/>
      <c r="D200" s="67">
        <f t="shared" si="25"/>
        <v>35</v>
      </c>
      <c r="E200" s="83"/>
      <c r="F200" s="69"/>
      <c r="G200" s="69"/>
      <c r="H200" s="84"/>
      <c r="I200" s="128">
        <f t="shared" si="24"/>
        <v>2439.7481783791991</v>
      </c>
    </row>
    <row r="201" spans="1:10" ht="15" customHeight="1">
      <c r="A201" s="80">
        <v>2024</v>
      </c>
      <c r="B201" s="81">
        <f t="shared" si="26"/>
        <v>2311</v>
      </c>
      <c r="C201" s="135"/>
      <c r="D201" s="67">
        <f t="shared" si="25"/>
        <v>36</v>
      </c>
      <c r="E201" s="69"/>
      <c r="F201" s="69"/>
      <c r="G201" s="69"/>
      <c r="H201" s="69"/>
      <c r="I201" s="136">
        <f t="shared" si="24"/>
        <v>2310.5904966191561</v>
      </c>
    </row>
    <row r="202" spans="1:10" ht="15" customHeight="1">
      <c r="A202" s="85">
        <v>2025</v>
      </c>
      <c r="B202" s="86">
        <f t="shared" si="26"/>
        <v>2188</v>
      </c>
      <c r="C202" s="137"/>
      <c r="D202" s="87">
        <f t="shared" si="25"/>
        <v>37</v>
      </c>
      <c r="E202" s="89"/>
      <c r="F202" s="89"/>
      <c r="G202" s="89"/>
      <c r="H202" s="89"/>
      <c r="I202" s="138">
        <f t="shared" si="24"/>
        <v>2187.6216457090391</v>
      </c>
    </row>
    <row r="203" spans="1:10" ht="15" customHeight="1">
      <c r="A203" s="56" t="s">
        <v>105</v>
      </c>
      <c r="B203" s="57"/>
    </row>
    <row r="204" spans="1:10" ht="15" customHeight="1">
      <c r="A204" s="56"/>
      <c r="B204" s="57"/>
    </row>
    <row r="205" spans="1:10" ht="24">
      <c r="A205" s="145" t="s">
        <v>32</v>
      </c>
      <c r="B205" s="146" t="s">
        <v>91</v>
      </c>
      <c r="C205" s="147" t="s">
        <v>72</v>
      </c>
      <c r="D205" s="147" t="s">
        <v>92</v>
      </c>
      <c r="E205" s="147" t="s">
        <v>93</v>
      </c>
      <c r="F205" s="147" t="s">
        <v>94</v>
      </c>
      <c r="G205" s="147" t="s">
        <v>95</v>
      </c>
      <c r="H205" s="148" t="s">
        <v>96</v>
      </c>
      <c r="I205" s="149" t="s">
        <v>106</v>
      </c>
      <c r="J205" s="150" t="s">
        <v>107</v>
      </c>
    </row>
    <row r="206" spans="1:10" ht="20.100000000000001" customHeight="1">
      <c r="A206" s="65">
        <v>2008</v>
      </c>
      <c r="B206" s="151">
        <f t="shared" ref="B206:B223" si="27">B25</f>
        <v>5483</v>
      </c>
      <c r="C206" s="152">
        <f t="shared" ref="C206:C223" si="28">B65</f>
        <v>4922</v>
      </c>
      <c r="D206" s="152">
        <f t="shared" ref="D206:D223" si="29">B105</f>
        <v>5611</v>
      </c>
      <c r="E206" s="152"/>
      <c r="F206" s="152">
        <f t="shared" ref="F206:F223" si="30">B185</f>
        <v>5264</v>
      </c>
      <c r="G206" s="152">
        <f t="shared" ref="G206:G223" si="31">ROUND(AVERAGE(B206:F206),1)</f>
        <v>5320</v>
      </c>
      <c r="H206" s="152">
        <f t="shared" ref="H206:H223" si="32">ROUND((SUM(B206:F206)-MAX(B206:F206)-MIN(B206:F206))/(COUNT(B206:F206)-2),1)</f>
        <v>5373.5</v>
      </c>
      <c r="I206" s="153">
        <f t="shared" ref="I206:I223" si="33">ROUND(SUMIF(B$224:H$224,"○",B206:H206),0)</f>
        <v>5320</v>
      </c>
      <c r="J206" s="261"/>
    </row>
    <row r="207" spans="1:10" ht="20.100000000000001" customHeight="1">
      <c r="A207" s="80">
        <v>2009</v>
      </c>
      <c r="B207" s="151">
        <f t="shared" si="27"/>
        <v>5119</v>
      </c>
      <c r="C207" s="152">
        <f t="shared" si="28"/>
        <v>4584</v>
      </c>
      <c r="D207" s="152">
        <f t="shared" si="29"/>
        <v>5385</v>
      </c>
      <c r="E207" s="152"/>
      <c r="F207" s="152">
        <f t="shared" si="30"/>
        <v>5018</v>
      </c>
      <c r="G207" s="152">
        <f t="shared" si="31"/>
        <v>5026.5</v>
      </c>
      <c r="H207" s="152">
        <f t="shared" si="32"/>
        <v>5068.5</v>
      </c>
      <c r="I207" s="153">
        <f t="shared" si="33"/>
        <v>5027</v>
      </c>
      <c r="J207" s="154"/>
    </row>
    <row r="208" spans="1:10" ht="20.100000000000001" customHeight="1">
      <c r="A208" s="80">
        <v>2010</v>
      </c>
      <c r="B208" s="151">
        <f t="shared" si="27"/>
        <v>4756</v>
      </c>
      <c r="C208" s="152">
        <f t="shared" si="28"/>
        <v>4245</v>
      </c>
      <c r="D208" s="152">
        <f t="shared" si="29"/>
        <v>5169</v>
      </c>
      <c r="E208" s="152"/>
      <c r="F208" s="152">
        <f t="shared" si="30"/>
        <v>4781</v>
      </c>
      <c r="G208" s="152">
        <f t="shared" si="31"/>
        <v>4737.8</v>
      </c>
      <c r="H208" s="152">
        <f t="shared" si="32"/>
        <v>4768.5</v>
      </c>
      <c r="I208" s="153">
        <f t="shared" si="33"/>
        <v>4738</v>
      </c>
      <c r="J208" s="154"/>
    </row>
    <row r="209" spans="1:49" ht="20.100000000000001" customHeight="1">
      <c r="A209" s="80">
        <v>2011</v>
      </c>
      <c r="B209" s="151">
        <f t="shared" si="27"/>
        <v>4393</v>
      </c>
      <c r="C209" s="152">
        <f t="shared" si="28"/>
        <v>3907</v>
      </c>
      <c r="D209" s="152">
        <f t="shared" si="29"/>
        <v>4961</v>
      </c>
      <c r="E209" s="152"/>
      <c r="F209" s="152">
        <f t="shared" si="30"/>
        <v>4552</v>
      </c>
      <c r="G209" s="152">
        <f t="shared" si="31"/>
        <v>4453.3</v>
      </c>
      <c r="H209" s="152">
        <f t="shared" si="32"/>
        <v>4472.5</v>
      </c>
      <c r="I209" s="153">
        <f t="shared" si="33"/>
        <v>4453</v>
      </c>
      <c r="J209" s="154"/>
    </row>
    <row r="210" spans="1:49" ht="20.100000000000001" customHeight="1">
      <c r="A210" s="80">
        <v>2012</v>
      </c>
      <c r="B210" s="151">
        <f t="shared" si="27"/>
        <v>4029</v>
      </c>
      <c r="C210" s="152">
        <f t="shared" si="28"/>
        <v>3569</v>
      </c>
      <c r="D210" s="152">
        <f t="shared" si="29"/>
        <v>4761</v>
      </c>
      <c r="E210" s="152"/>
      <c r="F210" s="152">
        <f t="shared" si="30"/>
        <v>4332</v>
      </c>
      <c r="G210" s="152">
        <f t="shared" si="31"/>
        <v>4172.8</v>
      </c>
      <c r="H210" s="152">
        <f t="shared" si="32"/>
        <v>4180.5</v>
      </c>
      <c r="I210" s="153">
        <f t="shared" si="33"/>
        <v>4173</v>
      </c>
      <c r="J210" s="154"/>
    </row>
    <row r="211" spans="1:49" ht="20.100000000000001" customHeight="1">
      <c r="A211" s="80">
        <v>2013</v>
      </c>
      <c r="B211" s="151">
        <f t="shared" si="27"/>
        <v>3666</v>
      </c>
      <c r="C211" s="152">
        <f t="shared" si="28"/>
        <v>3230</v>
      </c>
      <c r="D211" s="152">
        <f t="shared" si="29"/>
        <v>4570</v>
      </c>
      <c r="E211" s="152"/>
      <c r="F211" s="152">
        <f t="shared" si="30"/>
        <v>4121</v>
      </c>
      <c r="G211" s="152">
        <f t="shared" si="31"/>
        <v>3896.8</v>
      </c>
      <c r="H211" s="152">
        <f t="shared" si="32"/>
        <v>3893.5</v>
      </c>
      <c r="I211" s="153">
        <f t="shared" si="33"/>
        <v>3897</v>
      </c>
      <c r="J211" s="154"/>
    </row>
    <row r="212" spans="1:49" ht="20.100000000000001" customHeight="1">
      <c r="A212" s="80">
        <v>2014</v>
      </c>
      <c r="B212" s="151">
        <f t="shared" si="27"/>
        <v>3302</v>
      </c>
      <c r="C212" s="152">
        <f t="shared" si="28"/>
        <v>2892</v>
      </c>
      <c r="D212" s="152">
        <f t="shared" si="29"/>
        <v>4386</v>
      </c>
      <c r="E212" s="152"/>
      <c r="F212" s="152">
        <f t="shared" si="30"/>
        <v>3918</v>
      </c>
      <c r="G212" s="152">
        <f t="shared" si="31"/>
        <v>3624.5</v>
      </c>
      <c r="H212" s="152">
        <f t="shared" si="32"/>
        <v>3610</v>
      </c>
      <c r="I212" s="153">
        <f t="shared" si="33"/>
        <v>3625</v>
      </c>
      <c r="J212" s="154"/>
    </row>
    <row r="213" spans="1:49" ht="20.100000000000001" customHeight="1">
      <c r="A213" s="80">
        <v>2015</v>
      </c>
      <c r="B213" s="151">
        <f t="shared" si="27"/>
        <v>2939</v>
      </c>
      <c r="C213" s="152">
        <f t="shared" si="28"/>
        <v>2553</v>
      </c>
      <c r="D213" s="152">
        <f t="shared" si="29"/>
        <v>4210</v>
      </c>
      <c r="E213" s="152"/>
      <c r="F213" s="152">
        <f t="shared" si="30"/>
        <v>3723</v>
      </c>
      <c r="G213" s="152">
        <f t="shared" si="31"/>
        <v>3356.3</v>
      </c>
      <c r="H213" s="152">
        <f t="shared" si="32"/>
        <v>3331</v>
      </c>
      <c r="I213" s="153">
        <f t="shared" si="33"/>
        <v>3356</v>
      </c>
      <c r="J213" s="154"/>
    </row>
    <row r="214" spans="1:49" ht="20.100000000000001" customHeight="1">
      <c r="A214" s="80">
        <v>2016</v>
      </c>
      <c r="B214" s="151">
        <f t="shared" si="27"/>
        <v>2576</v>
      </c>
      <c r="C214" s="152">
        <f t="shared" si="28"/>
        <v>2215</v>
      </c>
      <c r="D214" s="152">
        <f t="shared" si="29"/>
        <v>4041</v>
      </c>
      <c r="E214" s="152"/>
      <c r="F214" s="152">
        <f t="shared" si="30"/>
        <v>3536</v>
      </c>
      <c r="G214" s="152">
        <f t="shared" si="31"/>
        <v>3092</v>
      </c>
      <c r="H214" s="152">
        <f t="shared" si="32"/>
        <v>3056</v>
      </c>
      <c r="I214" s="153">
        <f t="shared" si="33"/>
        <v>3092</v>
      </c>
      <c r="J214" s="154"/>
    </row>
    <row r="215" spans="1:49" ht="20.100000000000001" customHeight="1">
      <c r="A215" s="80">
        <v>2017</v>
      </c>
      <c r="B215" s="151">
        <f t="shared" si="27"/>
        <v>2212</v>
      </c>
      <c r="C215" s="152">
        <f t="shared" si="28"/>
        <v>1876</v>
      </c>
      <c r="D215" s="152">
        <f t="shared" si="29"/>
        <v>3878</v>
      </c>
      <c r="E215" s="152"/>
      <c r="F215" s="152">
        <f t="shared" si="30"/>
        <v>3357</v>
      </c>
      <c r="G215" s="152">
        <f t="shared" si="31"/>
        <v>2830.8</v>
      </c>
      <c r="H215" s="152">
        <f t="shared" si="32"/>
        <v>2784.5</v>
      </c>
      <c r="I215" s="153">
        <f t="shared" si="33"/>
        <v>2831</v>
      </c>
      <c r="J215" s="154"/>
    </row>
    <row r="216" spans="1:49" ht="20.100000000000001" customHeight="1">
      <c r="A216" s="80">
        <v>2018</v>
      </c>
      <c r="B216" s="151">
        <f t="shared" si="27"/>
        <v>1849</v>
      </c>
      <c r="C216" s="152">
        <f t="shared" si="28"/>
        <v>1538</v>
      </c>
      <c r="D216" s="152">
        <f t="shared" si="29"/>
        <v>3722</v>
      </c>
      <c r="E216" s="152"/>
      <c r="F216" s="152">
        <f t="shared" si="30"/>
        <v>3186</v>
      </c>
      <c r="G216" s="152">
        <f t="shared" si="31"/>
        <v>2573.8000000000002</v>
      </c>
      <c r="H216" s="152">
        <f t="shared" si="32"/>
        <v>2517.5</v>
      </c>
      <c r="I216" s="153">
        <f t="shared" si="33"/>
        <v>2574</v>
      </c>
      <c r="J216" s="154"/>
    </row>
    <row r="217" spans="1:49" ht="20.100000000000001" customHeight="1">
      <c r="A217" s="80">
        <v>2019</v>
      </c>
      <c r="B217" s="151">
        <f t="shared" si="27"/>
        <v>1486</v>
      </c>
      <c r="C217" s="152">
        <f t="shared" si="28"/>
        <v>1199</v>
      </c>
      <c r="D217" s="152">
        <f t="shared" si="29"/>
        <v>3573</v>
      </c>
      <c r="E217" s="152"/>
      <c r="F217" s="152">
        <f t="shared" si="30"/>
        <v>3023</v>
      </c>
      <c r="G217" s="152">
        <f t="shared" si="31"/>
        <v>2320.3000000000002</v>
      </c>
      <c r="H217" s="152">
        <f t="shared" si="32"/>
        <v>2254.5</v>
      </c>
      <c r="I217" s="153">
        <f t="shared" si="33"/>
        <v>2320</v>
      </c>
      <c r="J217" s="154"/>
    </row>
    <row r="218" spans="1:49" ht="20.100000000000001" customHeight="1">
      <c r="A218" s="80">
        <v>2020</v>
      </c>
      <c r="B218" s="151">
        <f t="shared" si="27"/>
        <v>1122</v>
      </c>
      <c r="C218" s="152">
        <f t="shared" si="28"/>
        <v>861</v>
      </c>
      <c r="D218" s="152">
        <f t="shared" si="29"/>
        <v>3429</v>
      </c>
      <c r="E218" s="152"/>
      <c r="F218" s="152">
        <f t="shared" si="30"/>
        <v>2867</v>
      </c>
      <c r="G218" s="152">
        <f t="shared" si="31"/>
        <v>2069.8000000000002</v>
      </c>
      <c r="H218" s="152">
        <f t="shared" si="32"/>
        <v>1994.5</v>
      </c>
      <c r="I218" s="153">
        <f t="shared" si="33"/>
        <v>2070</v>
      </c>
      <c r="J218" s="154"/>
    </row>
    <row r="219" spans="1:49" ht="20.100000000000001" customHeight="1">
      <c r="A219" s="80">
        <v>2021</v>
      </c>
      <c r="B219" s="151">
        <f t="shared" si="27"/>
        <v>759</v>
      </c>
      <c r="C219" s="152">
        <f t="shared" si="28"/>
        <v>522</v>
      </c>
      <c r="D219" s="152">
        <f t="shared" si="29"/>
        <v>3291</v>
      </c>
      <c r="E219" s="152"/>
      <c r="F219" s="152">
        <f t="shared" si="30"/>
        <v>2718</v>
      </c>
      <c r="G219" s="152">
        <f t="shared" si="31"/>
        <v>1822.5</v>
      </c>
      <c r="H219" s="152">
        <f t="shared" si="32"/>
        <v>1738.5</v>
      </c>
      <c r="I219" s="153">
        <f t="shared" si="33"/>
        <v>1823</v>
      </c>
      <c r="J219" s="154"/>
    </row>
    <row r="220" spans="1:49" ht="20.100000000000001" customHeight="1">
      <c r="A220" s="80">
        <v>2022</v>
      </c>
      <c r="B220" s="151">
        <f t="shared" si="27"/>
        <v>395</v>
      </c>
      <c r="C220" s="152">
        <f t="shared" si="28"/>
        <v>184</v>
      </c>
      <c r="D220" s="152">
        <f t="shared" si="29"/>
        <v>3159</v>
      </c>
      <c r="E220" s="152"/>
      <c r="F220" s="152">
        <f t="shared" si="30"/>
        <v>2575</v>
      </c>
      <c r="G220" s="152">
        <f t="shared" si="31"/>
        <v>1578.3</v>
      </c>
      <c r="H220" s="152">
        <f t="shared" si="32"/>
        <v>1485</v>
      </c>
      <c r="I220" s="153">
        <f t="shared" si="33"/>
        <v>1578</v>
      </c>
      <c r="J220" s="154"/>
      <c r="L220" s="55">
        <v>806200</v>
      </c>
    </row>
    <row r="221" spans="1:49" ht="20.100000000000001" customHeight="1">
      <c r="A221" s="80">
        <v>2023</v>
      </c>
      <c r="B221" s="151">
        <f t="shared" si="27"/>
        <v>32</v>
      </c>
      <c r="C221" s="152">
        <f t="shared" si="28"/>
        <v>-155</v>
      </c>
      <c r="D221" s="152">
        <f t="shared" si="29"/>
        <v>3032</v>
      </c>
      <c r="E221" s="152"/>
      <c r="F221" s="152">
        <f t="shared" si="30"/>
        <v>2440</v>
      </c>
      <c r="G221" s="152">
        <f t="shared" si="31"/>
        <v>1337.3</v>
      </c>
      <c r="H221" s="152">
        <f t="shared" si="32"/>
        <v>1236</v>
      </c>
      <c r="I221" s="153">
        <f t="shared" si="33"/>
        <v>1337</v>
      </c>
      <c r="J221" s="154"/>
      <c r="K221" s="55">
        <v>51000</v>
      </c>
      <c r="L221" s="75">
        <f>+K221+E221</f>
        <v>51000</v>
      </c>
    </row>
    <row r="222" spans="1:49" ht="20.100000000000001" customHeight="1">
      <c r="A222" s="80">
        <v>2024</v>
      </c>
      <c r="B222" s="151">
        <f t="shared" si="27"/>
        <v>-331</v>
      </c>
      <c r="C222" s="152">
        <f t="shared" si="28"/>
        <v>-493</v>
      </c>
      <c r="D222" s="152">
        <f t="shared" si="29"/>
        <v>2910</v>
      </c>
      <c r="E222" s="152"/>
      <c r="F222" s="152">
        <f t="shared" si="30"/>
        <v>2311</v>
      </c>
      <c r="G222" s="152">
        <f t="shared" si="31"/>
        <v>1099.3</v>
      </c>
      <c r="H222" s="152">
        <f t="shared" si="32"/>
        <v>990</v>
      </c>
      <c r="I222" s="153">
        <f t="shared" si="33"/>
        <v>1099</v>
      </c>
      <c r="J222" s="154"/>
      <c r="L222" s="75">
        <f>+L220-L221</f>
        <v>755200</v>
      </c>
    </row>
    <row r="223" spans="1:49" ht="19.5" customHeight="1">
      <c r="A223" s="80">
        <v>2025</v>
      </c>
      <c r="B223" s="151">
        <f t="shared" si="27"/>
        <v>-695</v>
      </c>
      <c r="C223" s="152">
        <f t="shared" si="28"/>
        <v>-832</v>
      </c>
      <c r="D223" s="152">
        <f t="shared" si="29"/>
        <v>2793</v>
      </c>
      <c r="E223" s="152"/>
      <c r="F223" s="152">
        <f t="shared" si="30"/>
        <v>2188</v>
      </c>
      <c r="G223" s="152">
        <f t="shared" si="31"/>
        <v>863.5</v>
      </c>
      <c r="H223" s="152">
        <f t="shared" si="32"/>
        <v>746.5</v>
      </c>
      <c r="I223" s="153">
        <f t="shared" si="33"/>
        <v>864</v>
      </c>
      <c r="J223" s="154"/>
      <c r="K223" s="161"/>
      <c r="L223" s="161">
        <f>B165</f>
        <v>12750</v>
      </c>
      <c r="M223" s="162">
        <f>B166</f>
        <v>11929</v>
      </c>
      <c r="N223" s="161">
        <f>B167</f>
        <v>10828</v>
      </c>
      <c r="O223" s="162">
        <f>B168</f>
        <v>10840</v>
      </c>
      <c r="P223" s="161">
        <f>B169</f>
        <v>10430</v>
      </c>
      <c r="Q223" s="162">
        <f>B170</f>
        <v>10044</v>
      </c>
      <c r="R223" s="162">
        <f>B171</f>
        <v>9477</v>
      </c>
      <c r="S223" s="162">
        <f>B172</f>
        <v>8906</v>
      </c>
      <c r="T223" s="162">
        <f>B173</f>
        <v>8278</v>
      </c>
      <c r="U223" s="162">
        <f>B174</f>
        <v>7979</v>
      </c>
      <c r="V223" s="162">
        <f>B175</f>
        <v>7754</v>
      </c>
      <c r="W223" s="162">
        <f>B176</f>
        <v>7491</v>
      </c>
      <c r="X223" s="162">
        <f>B177</f>
        <v>7200</v>
      </c>
      <c r="Y223" s="162">
        <f>B178</f>
        <v>7096</v>
      </c>
      <c r="Z223" s="162">
        <f>B179</f>
        <v>6966</v>
      </c>
      <c r="AA223" s="162">
        <f>B180</f>
        <v>6795</v>
      </c>
      <c r="AB223" s="162">
        <f>B181</f>
        <v>6582</v>
      </c>
      <c r="AC223" s="162">
        <f>B182</f>
        <v>6343</v>
      </c>
      <c r="AD223" s="162">
        <f>B183</f>
        <v>5994</v>
      </c>
      <c r="AE223" s="162">
        <f>B184</f>
        <v>5846</v>
      </c>
      <c r="AF223" s="162">
        <f>$B185</f>
        <v>5264</v>
      </c>
      <c r="AG223" s="162"/>
      <c r="AH223" s="161"/>
      <c r="AI223" s="161"/>
      <c r="AJ223" s="161"/>
      <c r="AK223" s="161"/>
      <c r="AL223" s="161"/>
      <c r="AM223" s="161"/>
      <c r="AN223" s="161"/>
      <c r="AO223" s="161"/>
      <c r="AP223" s="161"/>
      <c r="AQ223" s="161"/>
      <c r="AR223" s="161"/>
      <c r="AS223" s="161"/>
      <c r="AT223" s="161"/>
      <c r="AU223" s="161"/>
      <c r="AV223" s="161"/>
      <c r="AW223" s="161"/>
    </row>
    <row r="224" spans="1:49" ht="20.100000000000001" customHeight="1">
      <c r="A224" s="155" t="s">
        <v>97</v>
      </c>
      <c r="B224" s="156"/>
      <c r="C224" s="157"/>
      <c r="D224" s="157"/>
      <c r="E224" s="157"/>
      <c r="F224" s="156"/>
      <c r="G224" s="158" t="s">
        <v>243</v>
      </c>
      <c r="H224" s="157"/>
      <c r="I224" s="159"/>
      <c r="J224" s="160"/>
      <c r="K224" s="161"/>
      <c r="L224" s="161"/>
      <c r="M224" s="161"/>
      <c r="N224" s="161"/>
      <c r="O224" s="161"/>
      <c r="P224" s="161"/>
      <c r="Q224" s="161"/>
      <c r="R224" s="161"/>
      <c r="S224" s="161"/>
      <c r="T224" s="161"/>
      <c r="U224" s="161"/>
      <c r="V224" s="161"/>
      <c r="W224" s="161"/>
      <c r="X224" s="161"/>
      <c r="Y224" s="161"/>
      <c r="Z224" s="161"/>
      <c r="AA224" s="161"/>
      <c r="AB224" s="161"/>
      <c r="AC224" s="161"/>
      <c r="AD224" s="161"/>
      <c r="AE224" s="161"/>
      <c r="AF224" s="161"/>
      <c r="AG224" s="161"/>
      <c r="AH224" s="161"/>
      <c r="AI224" s="161"/>
      <c r="AJ224" s="161"/>
      <c r="AK224" s="161"/>
      <c r="AL224" s="161"/>
      <c r="AM224" s="161"/>
      <c r="AN224" s="161"/>
      <c r="AO224" s="161"/>
      <c r="AP224" s="161"/>
      <c r="AQ224" s="161"/>
      <c r="AR224" s="161"/>
      <c r="AS224" s="161"/>
      <c r="AT224" s="161"/>
      <c r="AU224" s="161"/>
      <c r="AV224" s="161"/>
      <c r="AW224" s="161"/>
    </row>
    <row r="225" spans="1:50" s="161" customFormat="1" ht="20.100000000000001" customHeight="1">
      <c r="A225" s="85"/>
      <c r="B225" s="163"/>
      <c r="C225" s="164"/>
      <c r="D225" s="164"/>
      <c r="E225" s="164"/>
      <c r="F225" s="164"/>
      <c r="G225" s="164"/>
      <c r="H225" s="164"/>
      <c r="I225" s="165"/>
      <c r="J225" s="166"/>
      <c r="K225" s="174">
        <f>MAX(B225:I225,F225)</f>
        <v>0</v>
      </c>
      <c r="L225" s="161">
        <f>A165</f>
        <v>1988</v>
      </c>
      <c r="M225" s="161">
        <f t="shared" ref="M225:AX225" si="34">+L225+1</f>
        <v>1989</v>
      </c>
      <c r="N225" s="161">
        <f t="shared" si="34"/>
        <v>1990</v>
      </c>
      <c r="O225" s="161">
        <f t="shared" si="34"/>
        <v>1991</v>
      </c>
      <c r="P225" s="161">
        <f t="shared" si="34"/>
        <v>1992</v>
      </c>
      <c r="Q225" s="161">
        <f t="shared" si="34"/>
        <v>1993</v>
      </c>
      <c r="R225" s="161">
        <f t="shared" si="34"/>
        <v>1994</v>
      </c>
      <c r="S225" s="161">
        <f t="shared" si="34"/>
        <v>1995</v>
      </c>
      <c r="T225" s="161">
        <f t="shared" si="34"/>
        <v>1996</v>
      </c>
      <c r="U225" s="161">
        <f t="shared" si="34"/>
        <v>1997</v>
      </c>
      <c r="V225" s="161">
        <f t="shared" si="34"/>
        <v>1998</v>
      </c>
      <c r="W225" s="161">
        <f t="shared" si="34"/>
        <v>1999</v>
      </c>
      <c r="X225" s="161">
        <f t="shared" si="34"/>
        <v>2000</v>
      </c>
      <c r="Y225" s="161">
        <f t="shared" si="34"/>
        <v>2001</v>
      </c>
      <c r="Z225" s="161">
        <f t="shared" si="34"/>
        <v>2002</v>
      </c>
      <c r="AA225" s="161">
        <f t="shared" si="34"/>
        <v>2003</v>
      </c>
      <c r="AB225" s="161">
        <f t="shared" si="34"/>
        <v>2004</v>
      </c>
      <c r="AC225" s="161">
        <f t="shared" si="34"/>
        <v>2005</v>
      </c>
      <c r="AD225" s="161">
        <f t="shared" si="34"/>
        <v>2006</v>
      </c>
      <c r="AE225" s="161">
        <f t="shared" si="34"/>
        <v>2007</v>
      </c>
      <c r="AF225" s="161">
        <f t="shared" si="34"/>
        <v>2008</v>
      </c>
      <c r="AG225" s="161">
        <f t="shared" si="34"/>
        <v>2009</v>
      </c>
      <c r="AH225" s="161">
        <f t="shared" si="34"/>
        <v>2010</v>
      </c>
      <c r="AI225" s="161">
        <f t="shared" si="34"/>
        <v>2011</v>
      </c>
      <c r="AJ225" s="161">
        <f t="shared" si="34"/>
        <v>2012</v>
      </c>
      <c r="AK225" s="161">
        <f t="shared" si="34"/>
        <v>2013</v>
      </c>
      <c r="AL225" s="161">
        <f t="shared" si="34"/>
        <v>2014</v>
      </c>
      <c r="AM225" s="161">
        <f t="shared" si="34"/>
        <v>2015</v>
      </c>
      <c r="AN225" s="161">
        <f t="shared" si="34"/>
        <v>2016</v>
      </c>
      <c r="AO225" s="161">
        <f t="shared" si="34"/>
        <v>2017</v>
      </c>
      <c r="AP225" s="161">
        <f t="shared" si="34"/>
        <v>2018</v>
      </c>
      <c r="AQ225" s="161">
        <f t="shared" si="34"/>
        <v>2019</v>
      </c>
      <c r="AR225" s="161">
        <f t="shared" si="34"/>
        <v>2020</v>
      </c>
      <c r="AS225" s="161">
        <f t="shared" si="34"/>
        <v>2021</v>
      </c>
      <c r="AT225" s="161">
        <f t="shared" si="34"/>
        <v>2022</v>
      </c>
      <c r="AU225" s="161">
        <f t="shared" si="34"/>
        <v>2023</v>
      </c>
      <c r="AV225" s="161">
        <f t="shared" si="34"/>
        <v>2024</v>
      </c>
      <c r="AW225" s="161">
        <f t="shared" si="34"/>
        <v>2025</v>
      </c>
      <c r="AX225" s="161">
        <f t="shared" si="34"/>
        <v>2026</v>
      </c>
    </row>
    <row r="226" spans="1:50" ht="20.100000000000001" customHeight="1">
      <c r="A226" s="167" t="s">
        <v>98</v>
      </c>
      <c r="B226" s="168">
        <f>I4</f>
        <v>0.94752439570341673</v>
      </c>
      <c r="C226" s="169">
        <f>I44</f>
        <v>0.95435494808897525</v>
      </c>
      <c r="D226" s="169">
        <f>I84</f>
        <v>0.98133435557057491</v>
      </c>
      <c r="E226" s="169"/>
      <c r="F226" s="169">
        <f>I164</f>
        <v>0.96924343382043454</v>
      </c>
      <c r="G226" s="170"/>
      <c r="H226" s="171"/>
      <c r="I226" s="172"/>
      <c r="J226" s="173"/>
      <c r="K226" s="161" t="s">
        <v>99</v>
      </c>
      <c r="L226" s="161"/>
      <c r="M226" s="161"/>
      <c r="N226" s="161"/>
      <c r="O226" s="161"/>
      <c r="P226" s="161"/>
      <c r="Q226" s="161"/>
      <c r="R226" s="161"/>
      <c r="S226" s="161"/>
      <c r="T226" s="161"/>
      <c r="U226" s="161"/>
      <c r="V226" s="161"/>
      <c r="W226" s="161"/>
      <c r="X226" s="161"/>
      <c r="Y226" s="161"/>
      <c r="Z226" s="161"/>
      <c r="AA226" s="161"/>
      <c r="AB226" s="161"/>
      <c r="AC226" s="161"/>
      <c r="AD226" s="161"/>
      <c r="AE226" s="162">
        <f>+AE223</f>
        <v>5846</v>
      </c>
      <c r="AF226" s="210">
        <f>+B25</f>
        <v>5483</v>
      </c>
      <c r="AG226" s="162">
        <f>B26</f>
        <v>5119</v>
      </c>
      <c r="AH226" s="162">
        <f>B27</f>
        <v>4756</v>
      </c>
      <c r="AI226" s="162">
        <f>B28</f>
        <v>4393</v>
      </c>
      <c r="AJ226" s="162">
        <f>B29</f>
        <v>4029</v>
      </c>
      <c r="AK226" s="162">
        <f>B30</f>
        <v>3666</v>
      </c>
      <c r="AL226" s="162">
        <f>B31</f>
        <v>3302</v>
      </c>
      <c r="AM226" s="162">
        <f>B32</f>
        <v>2939</v>
      </c>
      <c r="AN226" s="162">
        <f>B33</f>
        <v>2576</v>
      </c>
      <c r="AO226" s="162">
        <f>B34</f>
        <v>2212</v>
      </c>
      <c r="AP226" s="162">
        <f>B35</f>
        <v>1849</v>
      </c>
      <c r="AQ226" s="162">
        <f>B36</f>
        <v>1486</v>
      </c>
      <c r="AR226" s="162">
        <f>B37</f>
        <v>1122</v>
      </c>
      <c r="AS226" s="162">
        <f>B38</f>
        <v>759</v>
      </c>
      <c r="AT226" s="162">
        <f>B39</f>
        <v>395</v>
      </c>
      <c r="AU226" s="162">
        <f>B40</f>
        <v>32</v>
      </c>
      <c r="AV226" s="162">
        <f>B41</f>
        <v>-331</v>
      </c>
      <c r="AW226" s="162">
        <f>B42</f>
        <v>-695</v>
      </c>
      <c r="AX226" s="161" t="s">
        <v>99</v>
      </c>
    </row>
    <row r="227" spans="1:50" ht="20.100000000000001" customHeight="1">
      <c r="K227" s="161" t="s">
        <v>100</v>
      </c>
      <c r="L227" s="161"/>
      <c r="M227" s="161"/>
      <c r="N227" s="161"/>
      <c r="O227" s="161"/>
      <c r="P227" s="161"/>
      <c r="Q227" s="161"/>
      <c r="R227" s="161"/>
      <c r="S227" s="161"/>
      <c r="T227" s="161"/>
      <c r="U227" s="161"/>
      <c r="V227" s="161"/>
      <c r="W227" s="161"/>
      <c r="X227" s="161"/>
      <c r="Y227" s="161"/>
      <c r="Z227" s="161"/>
      <c r="AA227" s="161"/>
      <c r="AB227" s="161"/>
      <c r="AC227" s="161"/>
      <c r="AD227" s="161"/>
      <c r="AE227" s="162">
        <f>+AE226</f>
        <v>5846</v>
      </c>
      <c r="AF227" s="210">
        <f>+B65</f>
        <v>4922</v>
      </c>
      <c r="AG227" s="162">
        <f>B66</f>
        <v>4584</v>
      </c>
      <c r="AH227" s="162">
        <f>B67</f>
        <v>4245</v>
      </c>
      <c r="AI227" s="162">
        <f>B68</f>
        <v>3907</v>
      </c>
      <c r="AJ227" s="162">
        <f>B69</f>
        <v>3569</v>
      </c>
      <c r="AK227" s="162">
        <f>B70</f>
        <v>3230</v>
      </c>
      <c r="AL227" s="162">
        <f>B71</f>
        <v>2892</v>
      </c>
      <c r="AM227" s="162">
        <f>B72</f>
        <v>2553</v>
      </c>
      <c r="AN227" s="162">
        <f>B73</f>
        <v>2215</v>
      </c>
      <c r="AO227" s="162">
        <f>B74</f>
        <v>1876</v>
      </c>
      <c r="AP227" s="162">
        <f>B75</f>
        <v>1538</v>
      </c>
      <c r="AQ227" s="162">
        <f>B76</f>
        <v>1199</v>
      </c>
      <c r="AR227" s="162">
        <f>B77</f>
        <v>861</v>
      </c>
      <c r="AS227" s="162">
        <f>B78</f>
        <v>522</v>
      </c>
      <c r="AT227" s="162">
        <f>B79</f>
        <v>184</v>
      </c>
      <c r="AU227" s="162">
        <f>B80</f>
        <v>-155</v>
      </c>
      <c r="AV227" s="162">
        <f>B81</f>
        <v>-493</v>
      </c>
      <c r="AW227" s="162">
        <f>B82</f>
        <v>-832</v>
      </c>
      <c r="AX227" s="161" t="s">
        <v>100</v>
      </c>
    </row>
    <row r="228" spans="1:50" ht="20.100000000000001" customHeight="1">
      <c r="K228" s="161" t="s">
        <v>101</v>
      </c>
      <c r="L228" s="161"/>
      <c r="M228" s="161"/>
      <c r="N228" s="161"/>
      <c r="O228" s="161"/>
      <c r="P228" s="161"/>
      <c r="Q228" s="161"/>
      <c r="R228" s="161"/>
      <c r="S228" s="161"/>
      <c r="T228" s="161"/>
      <c r="U228" s="161"/>
      <c r="V228" s="161"/>
      <c r="W228" s="161"/>
      <c r="X228" s="161"/>
      <c r="Y228" s="161"/>
      <c r="Z228" s="161"/>
      <c r="AA228" s="161"/>
      <c r="AB228" s="161"/>
      <c r="AC228" s="161"/>
      <c r="AD228" s="161"/>
      <c r="AE228" s="162">
        <f>+AE227</f>
        <v>5846</v>
      </c>
      <c r="AF228" s="210">
        <f>+B105</f>
        <v>5611</v>
      </c>
      <c r="AG228" s="162">
        <f>B106</f>
        <v>5385</v>
      </c>
      <c r="AH228" s="162">
        <f>B107</f>
        <v>5169</v>
      </c>
      <c r="AI228" s="162">
        <f>B108</f>
        <v>4961</v>
      </c>
      <c r="AJ228" s="162">
        <f>B109</f>
        <v>4761</v>
      </c>
      <c r="AK228" s="162">
        <f>B110</f>
        <v>4570</v>
      </c>
      <c r="AL228" s="162">
        <f>B111</f>
        <v>4386</v>
      </c>
      <c r="AM228" s="162">
        <f>B112</f>
        <v>4210</v>
      </c>
      <c r="AN228" s="162">
        <f>B113</f>
        <v>4041</v>
      </c>
      <c r="AO228" s="162">
        <f>B114</f>
        <v>3878</v>
      </c>
      <c r="AP228" s="162">
        <f>B115</f>
        <v>3722</v>
      </c>
      <c r="AQ228" s="162">
        <f>B116</f>
        <v>3573</v>
      </c>
      <c r="AR228" s="162">
        <f>B117</f>
        <v>3429</v>
      </c>
      <c r="AS228" s="162">
        <f>B118</f>
        <v>3291</v>
      </c>
      <c r="AT228" s="162">
        <f>B119</f>
        <v>3159</v>
      </c>
      <c r="AU228" s="162">
        <f>B120</f>
        <v>3032</v>
      </c>
      <c r="AV228" s="162">
        <f>B121</f>
        <v>2910</v>
      </c>
      <c r="AW228" s="162">
        <f>B122</f>
        <v>2793</v>
      </c>
      <c r="AX228" s="161" t="s">
        <v>101</v>
      </c>
    </row>
    <row r="229" spans="1:50" ht="20.100000000000001" customHeight="1">
      <c r="K229" s="161" t="s">
        <v>102</v>
      </c>
      <c r="L229" s="161"/>
      <c r="M229" s="161"/>
      <c r="N229" s="161"/>
      <c r="O229" s="161"/>
      <c r="P229" s="161"/>
      <c r="Q229" s="161"/>
      <c r="R229" s="161"/>
      <c r="S229" s="161"/>
      <c r="T229" s="161"/>
      <c r="U229" s="161"/>
      <c r="V229" s="161"/>
      <c r="W229" s="161"/>
      <c r="X229" s="161"/>
      <c r="Y229" s="161"/>
      <c r="Z229" s="161"/>
      <c r="AA229" s="161"/>
      <c r="AB229" s="161"/>
      <c r="AC229" s="161"/>
      <c r="AD229" s="161"/>
      <c r="AE229" s="162">
        <f>+AE228</f>
        <v>5846</v>
      </c>
      <c r="AF229" s="210" t="e">
        <f>+B145</f>
        <v>#VALUE!</v>
      </c>
      <c r="AG229" s="161"/>
      <c r="AH229" s="161"/>
      <c r="AI229" s="161"/>
      <c r="AJ229" s="161"/>
      <c r="AK229" s="161"/>
      <c r="AL229" s="161"/>
      <c r="AM229" s="161"/>
      <c r="AN229" s="161"/>
      <c r="AO229" s="161"/>
      <c r="AP229" s="161"/>
      <c r="AQ229" s="161"/>
      <c r="AR229" s="161"/>
      <c r="AS229" s="161"/>
      <c r="AT229" s="161"/>
      <c r="AU229" s="161"/>
      <c r="AV229" s="161"/>
      <c r="AW229" s="161"/>
      <c r="AX229" s="161" t="s">
        <v>102</v>
      </c>
    </row>
    <row r="230" spans="1:50" ht="20.100000000000001" customHeight="1">
      <c r="K230" s="161" t="s">
        <v>103</v>
      </c>
      <c r="L230" s="161"/>
      <c r="M230" s="161"/>
      <c r="N230" s="161"/>
      <c r="O230" s="161"/>
      <c r="P230" s="161"/>
      <c r="Q230" s="161"/>
      <c r="R230" s="161"/>
      <c r="S230" s="161"/>
      <c r="T230" s="161"/>
      <c r="U230" s="161"/>
      <c r="V230" s="161"/>
      <c r="W230" s="161"/>
      <c r="X230" s="161"/>
      <c r="Y230" s="161"/>
      <c r="Z230" s="161"/>
      <c r="AA230" s="161"/>
      <c r="AB230" s="161"/>
      <c r="AC230" s="161"/>
      <c r="AD230" s="161"/>
      <c r="AE230" s="162">
        <f>+AE229</f>
        <v>5846</v>
      </c>
      <c r="AF230" s="210">
        <f>+B185</f>
        <v>5264</v>
      </c>
      <c r="AG230" s="162">
        <f>B186</f>
        <v>5018</v>
      </c>
      <c r="AH230" s="162">
        <f>B187</f>
        <v>4781</v>
      </c>
      <c r="AI230" s="162">
        <f>B188</f>
        <v>4552</v>
      </c>
      <c r="AJ230" s="162">
        <f>B189</f>
        <v>4332</v>
      </c>
      <c r="AK230" s="162">
        <f>B190</f>
        <v>4121</v>
      </c>
      <c r="AL230" s="162">
        <f>B191</f>
        <v>3918</v>
      </c>
      <c r="AM230" s="162">
        <f>B192</f>
        <v>3723</v>
      </c>
      <c r="AN230" s="162">
        <f>B193</f>
        <v>3536</v>
      </c>
      <c r="AO230" s="162">
        <f>B194</f>
        <v>3357</v>
      </c>
      <c r="AP230" s="162">
        <f>B195</f>
        <v>3186</v>
      </c>
      <c r="AQ230" s="162">
        <f>B196</f>
        <v>3023</v>
      </c>
      <c r="AR230" s="162">
        <f>B197</f>
        <v>2867</v>
      </c>
      <c r="AS230" s="162">
        <f>B198</f>
        <v>2718</v>
      </c>
      <c r="AT230" s="162">
        <f>B199</f>
        <v>2575</v>
      </c>
      <c r="AU230" s="162">
        <f>B200</f>
        <v>2440</v>
      </c>
      <c r="AV230" s="162">
        <f>B201</f>
        <v>2311</v>
      </c>
      <c r="AW230" s="162">
        <f>B202</f>
        <v>2188</v>
      </c>
      <c r="AX230" s="161" t="s">
        <v>103</v>
      </c>
    </row>
    <row r="231" spans="1:50" ht="20.100000000000001" customHeight="1">
      <c r="K231" s="161" t="s">
        <v>95</v>
      </c>
      <c r="L231" s="161"/>
      <c r="M231" s="161"/>
      <c r="N231" s="161"/>
      <c r="O231" s="161"/>
      <c r="P231" s="161"/>
      <c r="Q231" s="161"/>
      <c r="R231" s="161"/>
      <c r="S231" s="161"/>
      <c r="T231" s="161"/>
      <c r="U231" s="161"/>
      <c r="V231" s="161"/>
      <c r="W231" s="161"/>
      <c r="X231" s="161"/>
      <c r="Y231" s="161"/>
      <c r="Z231" s="161"/>
      <c r="AA231" s="161"/>
      <c r="AB231" s="161"/>
      <c r="AC231" s="161"/>
      <c r="AD231" s="161"/>
      <c r="AE231" s="162">
        <f>+AE230</f>
        <v>5846</v>
      </c>
      <c r="AF231" s="211">
        <f>+H206</f>
        <v>5373.5</v>
      </c>
      <c r="AG231" s="211">
        <f>+H207</f>
        <v>5068.5</v>
      </c>
      <c r="AH231" s="211">
        <f>+H208</f>
        <v>4768.5</v>
      </c>
      <c r="AI231" s="211">
        <f>+H209</f>
        <v>4472.5</v>
      </c>
      <c r="AJ231" s="211">
        <f>+H210</f>
        <v>4180.5</v>
      </c>
      <c r="AK231" s="211">
        <f>+H211</f>
        <v>3893.5</v>
      </c>
      <c r="AL231" s="211">
        <f>+H212</f>
        <v>3610</v>
      </c>
      <c r="AM231" s="211">
        <f>+H213</f>
        <v>3331</v>
      </c>
      <c r="AN231" s="211">
        <f>+H214</f>
        <v>3056</v>
      </c>
      <c r="AO231" s="211">
        <f>+H215</f>
        <v>2784.5</v>
      </c>
      <c r="AP231" s="211">
        <f>+H216</f>
        <v>2517.5</v>
      </c>
      <c r="AQ231" s="211">
        <f>+H217</f>
        <v>2254.5</v>
      </c>
      <c r="AR231" s="211">
        <f>+H218</f>
        <v>1994.5</v>
      </c>
      <c r="AS231" s="211">
        <f>+H219</f>
        <v>1738.5</v>
      </c>
      <c r="AT231" s="211">
        <f>+H220</f>
        <v>1485</v>
      </c>
      <c r="AU231" s="211">
        <f>+H221</f>
        <v>1236</v>
      </c>
      <c r="AV231" s="211">
        <f>+H222</f>
        <v>990</v>
      </c>
      <c r="AW231" s="75">
        <f>+H223</f>
        <v>746.5</v>
      </c>
      <c r="AX231" s="161" t="s">
        <v>95</v>
      </c>
    </row>
    <row r="232" spans="1:50" ht="20.100000000000001" customHeight="1"/>
    <row r="233" spans="1:50" ht="20.100000000000001" customHeight="1"/>
    <row r="234" spans="1:50" ht="20.100000000000001" customHeight="1"/>
    <row r="235" spans="1:50" ht="20.100000000000001" customHeight="1"/>
    <row r="236" spans="1:50" ht="20.100000000000001" customHeight="1"/>
    <row r="237" spans="1:50" ht="20.100000000000001" customHeight="1"/>
    <row r="238" spans="1:50" ht="20.100000000000001" customHeight="1">
      <c r="L238" s="207"/>
    </row>
    <row r="239" spans="1:50" ht="20.100000000000001" customHeight="1"/>
    <row r="240" spans="1:50" ht="20.100000000000001" customHeight="1"/>
    <row r="241" ht="20.100000000000001" customHeight="1"/>
    <row r="242" ht="20.100000000000001" customHeight="1"/>
    <row r="243" ht="20.100000000000001" customHeight="1"/>
    <row r="244" ht="20.100000000000001" customHeight="1"/>
    <row r="245" ht="20.100000000000001" customHeight="1"/>
    <row r="246" ht="20.100000000000001" customHeight="1"/>
    <row r="247" ht="20.100000000000001" customHeight="1"/>
    <row r="248" ht="20.100000000000001" customHeight="1"/>
  </sheetData>
  <phoneticPr fontId="50" type="noConversion"/>
  <pageMargins left="0.74803149606299213" right="0.74803149606299213" top="0.78740157480314965" bottom="0.78740157480314965" header="0.51181102362204722" footer="0.51181102362204722"/>
  <pageSetup paperSize="9" scale="70" fitToHeight="3" orientation="portrait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>
  <sheetPr codeName="Sheet44">
    <tabColor indexed="44"/>
  </sheetPr>
  <dimension ref="A1:AO204"/>
  <sheetViews>
    <sheetView workbookViewId="0"/>
  </sheetViews>
  <sheetFormatPr defaultRowHeight="15" customHeight="1"/>
  <cols>
    <col min="1" max="1" width="8.88671875" style="55"/>
    <col min="2" max="2" width="9.21875" style="55" customWidth="1"/>
    <col min="3" max="3" width="9.5546875" style="55" customWidth="1"/>
    <col min="4" max="4" width="9" style="55" customWidth="1"/>
    <col min="5" max="5" width="11.33203125" style="55" customWidth="1"/>
    <col min="6" max="6" width="9.44140625" style="55" customWidth="1"/>
    <col min="7" max="7" width="15.109375" style="55" bestFit="1" customWidth="1"/>
    <col min="8" max="8" width="12.88671875" style="55" bestFit="1" customWidth="1"/>
    <col min="9" max="9" width="11.5546875" style="55" bestFit="1" customWidth="1"/>
    <col min="10" max="11" width="8.88671875" style="55"/>
    <col min="12" max="41" width="6.77734375" style="55" customWidth="1"/>
    <col min="42" max="16384" width="8.88671875" style="55"/>
  </cols>
  <sheetData>
    <row r="1" spans="1:13" ht="15" customHeight="1">
      <c r="A1" s="54" t="s">
        <v>282</v>
      </c>
    </row>
    <row r="2" spans="1:13" ht="15" customHeight="1">
      <c r="A2" s="54"/>
    </row>
    <row r="3" spans="1:13" ht="15" customHeight="1">
      <c r="A3" s="56" t="s">
        <v>74</v>
      </c>
      <c r="B3" s="57"/>
    </row>
    <row r="4" spans="1:13" ht="15" customHeight="1">
      <c r="A4" s="58" t="s">
        <v>32</v>
      </c>
      <c r="B4" s="59" t="s">
        <v>40</v>
      </c>
      <c r="C4" s="59" t="s">
        <v>33</v>
      </c>
      <c r="D4" s="60"/>
      <c r="E4" s="60"/>
      <c r="F4" s="61"/>
      <c r="G4" s="62"/>
      <c r="H4" s="63" t="s">
        <v>261</v>
      </c>
      <c r="I4" s="64">
        <f>RSQ(I5:I15,B5:B15)</f>
        <v>0.9896053543315082</v>
      </c>
    </row>
    <row r="5" spans="1:13" ht="15" customHeight="1">
      <c r="A5" s="176">
        <v>1997</v>
      </c>
      <c r="B5" s="180">
        <f>+발한동20년!B14</f>
        <v>7979</v>
      </c>
      <c r="C5" s="177">
        <v>0</v>
      </c>
      <c r="D5" s="178"/>
      <c r="E5" s="178"/>
      <c r="F5" s="179"/>
      <c r="G5" s="262"/>
      <c r="H5" s="263"/>
      <c r="I5" s="70">
        <f t="shared" ref="I5:I33" si="0">$E$6*C5+$E$7</f>
        <v>7979</v>
      </c>
    </row>
    <row r="6" spans="1:13" ht="15" customHeight="1">
      <c r="A6" s="65" t="e">
        <f>#REF!</f>
        <v>#REF!</v>
      </c>
      <c r="B6" s="180">
        <f>+발한동20년!B15</f>
        <v>7754</v>
      </c>
      <c r="C6" s="67">
        <f>+C5+1</f>
        <v>1</v>
      </c>
      <c r="D6" s="53" t="s">
        <v>75</v>
      </c>
      <c r="E6" s="68">
        <f>(B15-B5)/C15</f>
        <v>-213.3</v>
      </c>
      <c r="F6" s="69"/>
      <c r="G6" s="53"/>
      <c r="H6" s="69"/>
      <c r="I6" s="70">
        <f t="shared" si="0"/>
        <v>7765.7</v>
      </c>
      <c r="J6" s="71">
        <v>570570</v>
      </c>
      <c r="K6" s="55">
        <v>570570</v>
      </c>
      <c r="L6" s="55">
        <v>766</v>
      </c>
    </row>
    <row r="7" spans="1:13" ht="15" customHeight="1">
      <c r="A7" s="65" t="e">
        <f>#REF!</f>
        <v>#REF!</v>
      </c>
      <c r="B7" s="180">
        <f>+발한동20년!B16</f>
        <v>7491</v>
      </c>
      <c r="C7" s="67">
        <f t="shared" ref="C7:C33" si="1">C6+1</f>
        <v>2</v>
      </c>
      <c r="D7" s="53" t="s">
        <v>76</v>
      </c>
      <c r="E7" s="72">
        <f>B5</f>
        <v>7979</v>
      </c>
      <c r="F7" s="69"/>
      <c r="G7" s="53"/>
      <c r="H7" s="69"/>
      <c r="I7" s="70">
        <f t="shared" si="0"/>
        <v>7552.4</v>
      </c>
      <c r="J7" s="71">
        <v>583230</v>
      </c>
      <c r="K7" s="55">
        <v>583230</v>
      </c>
      <c r="L7" s="55">
        <v>1094</v>
      </c>
    </row>
    <row r="8" spans="1:13" ht="15" customHeight="1">
      <c r="A8" s="65" t="e">
        <f>#REF!</f>
        <v>#REF!</v>
      </c>
      <c r="B8" s="180">
        <f>+발한동20년!B17</f>
        <v>7200</v>
      </c>
      <c r="C8" s="67">
        <f t="shared" si="1"/>
        <v>3</v>
      </c>
      <c r="D8" s="53" t="s">
        <v>77</v>
      </c>
      <c r="E8" s="73">
        <f>I4</f>
        <v>0.9896053543315082</v>
      </c>
      <c r="F8" s="69"/>
      <c r="G8" s="53"/>
      <c r="H8" s="69"/>
      <c r="I8" s="70">
        <f t="shared" si="0"/>
        <v>7339.1</v>
      </c>
      <c r="J8" s="71">
        <v>590162</v>
      </c>
      <c r="K8" s="55">
        <v>590162</v>
      </c>
      <c r="L8" s="55">
        <v>1277</v>
      </c>
    </row>
    <row r="9" spans="1:13" ht="15" customHeight="1">
      <c r="A9" s="65" t="e">
        <f>#REF!</f>
        <v>#REF!</v>
      </c>
      <c r="B9" s="180">
        <f>+발한동20년!B18</f>
        <v>7096</v>
      </c>
      <c r="C9" s="67">
        <f t="shared" si="1"/>
        <v>4</v>
      </c>
      <c r="D9" s="53"/>
      <c r="E9" s="53"/>
      <c r="F9" s="69"/>
      <c r="G9" s="53"/>
      <c r="H9" s="69"/>
      <c r="I9" s="70">
        <f t="shared" si="0"/>
        <v>7125.8</v>
      </c>
      <c r="J9" s="71">
        <v>600343</v>
      </c>
      <c r="K9" s="55">
        <v>600343</v>
      </c>
      <c r="L9" s="55">
        <v>1147</v>
      </c>
    </row>
    <row r="10" spans="1:13" ht="15" customHeight="1">
      <c r="A10" s="65" t="e">
        <f>#REF!</f>
        <v>#REF!</v>
      </c>
      <c r="B10" s="180">
        <f>+발한동20년!B19</f>
        <v>6966</v>
      </c>
      <c r="C10" s="67">
        <f t="shared" si="1"/>
        <v>5</v>
      </c>
      <c r="D10" s="53"/>
      <c r="E10" s="53"/>
      <c r="F10" s="69"/>
      <c r="G10" s="53"/>
      <c r="H10" s="69"/>
      <c r="I10" s="70">
        <f t="shared" si="0"/>
        <v>6912.5</v>
      </c>
      <c r="J10" s="71">
        <v>611921</v>
      </c>
      <c r="K10" s="55">
        <v>611921</v>
      </c>
      <c r="L10" s="55">
        <v>1355</v>
      </c>
    </row>
    <row r="11" spans="1:13" ht="15" customHeight="1">
      <c r="A11" s="65" t="e">
        <f>#REF!</f>
        <v>#REF!</v>
      </c>
      <c r="B11" s="180">
        <f>+발한동20년!B20</f>
        <v>6795</v>
      </c>
      <c r="C11" s="67">
        <f t="shared" si="1"/>
        <v>6</v>
      </c>
      <c r="D11" s="53"/>
      <c r="E11" s="53"/>
      <c r="F11" s="69"/>
      <c r="G11" s="53"/>
      <c r="H11" s="69"/>
      <c r="I11" s="70">
        <f t="shared" si="0"/>
        <v>6699.2</v>
      </c>
      <c r="J11" s="74">
        <v>622238</v>
      </c>
      <c r="K11" s="55">
        <v>622238</v>
      </c>
      <c r="L11" s="55">
        <v>1717</v>
      </c>
    </row>
    <row r="12" spans="1:13" ht="15" customHeight="1">
      <c r="A12" s="65" t="e">
        <f>#REF!</f>
        <v>#REF!</v>
      </c>
      <c r="B12" s="180">
        <f>+발한동20년!B21</f>
        <v>6582</v>
      </c>
      <c r="C12" s="67">
        <f t="shared" si="1"/>
        <v>7</v>
      </c>
      <c r="D12" s="53" t="s">
        <v>73</v>
      </c>
      <c r="E12" s="53"/>
      <c r="F12" s="69"/>
      <c r="G12" s="53"/>
      <c r="H12" s="69"/>
      <c r="I12" s="70">
        <f t="shared" si="0"/>
        <v>6485.9</v>
      </c>
      <c r="J12" s="74">
        <v>623897</v>
      </c>
      <c r="K12" s="55">
        <v>623897</v>
      </c>
      <c r="L12" s="55">
        <v>1614</v>
      </c>
    </row>
    <row r="13" spans="1:13" ht="15" customHeight="1">
      <c r="A13" s="65" t="e">
        <f>#REF!</f>
        <v>#REF!</v>
      </c>
      <c r="B13" s="180">
        <f>+발한동20년!B22</f>
        <v>6343</v>
      </c>
      <c r="C13" s="67">
        <f t="shared" si="1"/>
        <v>8</v>
      </c>
      <c r="D13" s="53"/>
      <c r="E13" s="53"/>
      <c r="F13" s="69"/>
      <c r="G13" s="53"/>
      <c r="H13" s="69"/>
      <c r="I13" s="70">
        <f t="shared" si="0"/>
        <v>6272.6</v>
      </c>
      <c r="J13" s="74">
        <v>626069</v>
      </c>
      <c r="K13" s="55">
        <v>626069</v>
      </c>
      <c r="L13" s="55">
        <v>1584</v>
      </c>
    </row>
    <row r="14" spans="1:13" ht="15" customHeight="1">
      <c r="A14" s="65" t="e">
        <f>#REF!</f>
        <v>#REF!</v>
      </c>
      <c r="B14" s="180">
        <f>+발한동20년!B23</f>
        <v>5994</v>
      </c>
      <c r="C14" s="67">
        <f t="shared" si="1"/>
        <v>9</v>
      </c>
      <c r="D14" s="53"/>
      <c r="E14" s="53"/>
      <c r="F14" s="69"/>
      <c r="G14" s="53"/>
      <c r="H14" s="69"/>
      <c r="I14" s="70">
        <f t="shared" si="0"/>
        <v>6059.3</v>
      </c>
      <c r="J14" s="74">
        <v>618816</v>
      </c>
      <c r="K14" s="55">
        <v>620374</v>
      </c>
      <c r="L14" s="75">
        <v>1555</v>
      </c>
      <c r="M14" s="75"/>
    </row>
    <row r="15" spans="1:13" ht="15" customHeight="1" thickBot="1">
      <c r="A15" s="97" t="e">
        <f>#REF!</f>
        <v>#REF!</v>
      </c>
      <c r="B15" s="181">
        <f>+발한동20년!B24</f>
        <v>5846</v>
      </c>
      <c r="C15" s="99">
        <f t="shared" si="1"/>
        <v>10</v>
      </c>
      <c r="D15" s="101"/>
      <c r="E15" s="101"/>
      <c r="F15" s="100"/>
      <c r="G15" s="101"/>
      <c r="H15" s="100"/>
      <c r="I15" s="102">
        <f t="shared" si="0"/>
        <v>5846</v>
      </c>
      <c r="J15" s="74">
        <v>622472</v>
      </c>
      <c r="K15" s="55">
        <v>624260</v>
      </c>
      <c r="L15" s="75">
        <v>1788</v>
      </c>
      <c r="M15" s="75"/>
    </row>
    <row r="16" spans="1:13" ht="15" customHeight="1" thickTop="1">
      <c r="A16" s="80">
        <v>2008</v>
      </c>
      <c r="B16" s="81">
        <f t="shared" ref="B16:B33" si="2">ROUND($E$6*C16+$E$7,0)</f>
        <v>5633</v>
      </c>
      <c r="C16" s="77">
        <f t="shared" si="1"/>
        <v>11</v>
      </c>
      <c r="D16" s="256"/>
      <c r="E16" s="256"/>
      <c r="F16" s="78"/>
      <c r="G16" s="256"/>
      <c r="H16" s="78"/>
      <c r="I16" s="79">
        <f t="shared" si="0"/>
        <v>5632.7</v>
      </c>
      <c r="K16" s="55">
        <v>623804</v>
      </c>
      <c r="L16" s="75">
        <f>+J16-K16</f>
        <v>-623804</v>
      </c>
      <c r="M16" s="75"/>
    </row>
    <row r="17" spans="1:9" ht="15" customHeight="1">
      <c r="A17" s="80">
        <v>2009</v>
      </c>
      <c r="B17" s="81">
        <f t="shared" si="2"/>
        <v>5419</v>
      </c>
      <c r="C17" s="67">
        <f t="shared" si="1"/>
        <v>12</v>
      </c>
      <c r="D17" s="69"/>
      <c r="E17" s="69"/>
      <c r="F17" s="69"/>
      <c r="G17" s="69"/>
      <c r="H17" s="69"/>
      <c r="I17" s="70">
        <f t="shared" si="0"/>
        <v>5419.4</v>
      </c>
    </row>
    <row r="18" spans="1:9" ht="15" customHeight="1">
      <c r="A18" s="80">
        <v>2010</v>
      </c>
      <c r="B18" s="81">
        <f t="shared" si="2"/>
        <v>5206</v>
      </c>
      <c r="C18" s="82">
        <f t="shared" si="1"/>
        <v>13</v>
      </c>
      <c r="D18" s="69"/>
      <c r="E18" s="69"/>
      <c r="F18" s="69"/>
      <c r="G18" s="69"/>
      <c r="H18" s="69"/>
      <c r="I18" s="70">
        <f t="shared" si="0"/>
        <v>5206.1000000000004</v>
      </c>
    </row>
    <row r="19" spans="1:9" ht="15" customHeight="1">
      <c r="A19" s="80">
        <v>2011</v>
      </c>
      <c r="B19" s="81">
        <f t="shared" si="2"/>
        <v>4993</v>
      </c>
      <c r="C19" s="82">
        <f t="shared" si="1"/>
        <v>14</v>
      </c>
      <c r="D19" s="69"/>
      <c r="E19" s="69"/>
      <c r="F19" s="69"/>
      <c r="G19" s="69"/>
      <c r="H19" s="69"/>
      <c r="I19" s="70">
        <f t="shared" si="0"/>
        <v>4992.7999999999993</v>
      </c>
    </row>
    <row r="20" spans="1:9" ht="15" customHeight="1">
      <c r="A20" s="80">
        <v>2012</v>
      </c>
      <c r="B20" s="81">
        <f t="shared" si="2"/>
        <v>4780</v>
      </c>
      <c r="C20" s="82">
        <f t="shared" si="1"/>
        <v>15</v>
      </c>
      <c r="D20" s="69"/>
      <c r="E20" s="69"/>
      <c r="F20" s="69"/>
      <c r="G20" s="69"/>
      <c r="H20" s="69"/>
      <c r="I20" s="70">
        <f t="shared" si="0"/>
        <v>4779.5</v>
      </c>
    </row>
    <row r="21" spans="1:9" ht="15" customHeight="1">
      <c r="A21" s="80">
        <v>2013</v>
      </c>
      <c r="B21" s="81">
        <f t="shared" si="2"/>
        <v>4566</v>
      </c>
      <c r="C21" s="82">
        <f t="shared" si="1"/>
        <v>16</v>
      </c>
      <c r="D21" s="69"/>
      <c r="E21" s="69"/>
      <c r="F21" s="69"/>
      <c r="G21" s="69"/>
      <c r="H21" s="69"/>
      <c r="I21" s="70">
        <f t="shared" si="0"/>
        <v>4566.2</v>
      </c>
    </row>
    <row r="22" spans="1:9" ht="15" customHeight="1">
      <c r="A22" s="80">
        <v>2014</v>
      </c>
      <c r="B22" s="81">
        <f t="shared" si="2"/>
        <v>4353</v>
      </c>
      <c r="C22" s="82">
        <f t="shared" si="1"/>
        <v>17</v>
      </c>
      <c r="D22" s="69"/>
      <c r="E22" s="69"/>
      <c r="F22" s="69"/>
      <c r="G22" s="69"/>
      <c r="H22" s="69"/>
      <c r="I22" s="70">
        <f t="shared" si="0"/>
        <v>4352.8999999999996</v>
      </c>
    </row>
    <row r="23" spans="1:9" ht="15" customHeight="1">
      <c r="A23" s="80">
        <v>2015</v>
      </c>
      <c r="B23" s="81">
        <f t="shared" si="2"/>
        <v>4140</v>
      </c>
      <c r="C23" s="82">
        <f t="shared" si="1"/>
        <v>18</v>
      </c>
      <c r="D23" s="69"/>
      <c r="E23" s="69"/>
      <c r="F23" s="69"/>
      <c r="G23" s="69"/>
      <c r="H23" s="69"/>
      <c r="I23" s="70">
        <f t="shared" si="0"/>
        <v>4139.6000000000004</v>
      </c>
    </row>
    <row r="24" spans="1:9" ht="15" customHeight="1">
      <c r="A24" s="80">
        <v>2016</v>
      </c>
      <c r="B24" s="81">
        <f t="shared" si="2"/>
        <v>3926</v>
      </c>
      <c r="C24" s="82">
        <f t="shared" si="1"/>
        <v>19</v>
      </c>
      <c r="D24" s="69"/>
      <c r="E24" s="69"/>
      <c r="F24" s="69"/>
      <c r="G24" s="69"/>
      <c r="H24" s="69"/>
      <c r="I24" s="70">
        <f t="shared" si="0"/>
        <v>3926.2999999999997</v>
      </c>
    </row>
    <row r="25" spans="1:9" ht="15" customHeight="1">
      <c r="A25" s="80">
        <v>2017</v>
      </c>
      <c r="B25" s="81">
        <f t="shared" si="2"/>
        <v>3713</v>
      </c>
      <c r="C25" s="82">
        <f t="shared" si="1"/>
        <v>20</v>
      </c>
      <c r="D25" s="69"/>
      <c r="E25" s="69"/>
      <c r="F25" s="69"/>
      <c r="G25" s="69"/>
      <c r="H25" s="69"/>
      <c r="I25" s="70">
        <f t="shared" si="0"/>
        <v>3713</v>
      </c>
    </row>
    <row r="26" spans="1:9" ht="15" customHeight="1">
      <c r="A26" s="80">
        <v>2018</v>
      </c>
      <c r="B26" s="81">
        <f t="shared" si="2"/>
        <v>3500</v>
      </c>
      <c r="C26" s="82">
        <f t="shared" si="1"/>
        <v>21</v>
      </c>
      <c r="D26" s="69"/>
      <c r="E26" s="69"/>
      <c r="F26" s="69"/>
      <c r="G26" s="69"/>
      <c r="H26" s="69"/>
      <c r="I26" s="70">
        <f t="shared" si="0"/>
        <v>3499.7</v>
      </c>
    </row>
    <row r="27" spans="1:9" ht="15" customHeight="1">
      <c r="A27" s="80">
        <v>2019</v>
      </c>
      <c r="B27" s="81">
        <f t="shared" si="2"/>
        <v>3286</v>
      </c>
      <c r="C27" s="82">
        <f t="shared" si="1"/>
        <v>22</v>
      </c>
      <c r="D27" s="69"/>
      <c r="E27" s="69"/>
      <c r="F27" s="69"/>
      <c r="G27" s="69"/>
      <c r="H27" s="69"/>
      <c r="I27" s="70">
        <f t="shared" si="0"/>
        <v>3286.3999999999996</v>
      </c>
    </row>
    <row r="28" spans="1:9" ht="15" customHeight="1">
      <c r="A28" s="80">
        <v>2020</v>
      </c>
      <c r="B28" s="81">
        <f t="shared" si="2"/>
        <v>3073</v>
      </c>
      <c r="C28" s="82">
        <f t="shared" si="1"/>
        <v>23</v>
      </c>
      <c r="D28" s="69"/>
      <c r="E28" s="69"/>
      <c r="F28" s="69"/>
      <c r="G28" s="69"/>
      <c r="H28" s="69"/>
      <c r="I28" s="70">
        <f t="shared" si="0"/>
        <v>3073.0999999999995</v>
      </c>
    </row>
    <row r="29" spans="1:9" ht="15" customHeight="1">
      <c r="A29" s="80">
        <v>2021</v>
      </c>
      <c r="B29" s="81">
        <f t="shared" si="2"/>
        <v>2860</v>
      </c>
      <c r="C29" s="82">
        <f t="shared" si="1"/>
        <v>24</v>
      </c>
      <c r="D29" s="69"/>
      <c r="E29" s="69"/>
      <c r="F29" s="69"/>
      <c r="G29" s="69"/>
      <c r="H29" s="69"/>
      <c r="I29" s="70">
        <f t="shared" si="0"/>
        <v>2859.7999999999993</v>
      </c>
    </row>
    <row r="30" spans="1:9" ht="15" customHeight="1">
      <c r="A30" s="80">
        <v>2022</v>
      </c>
      <c r="B30" s="81">
        <f t="shared" si="2"/>
        <v>2647</v>
      </c>
      <c r="C30" s="82">
        <f t="shared" si="1"/>
        <v>25</v>
      </c>
      <c r="D30" s="69"/>
      <c r="E30" s="69"/>
      <c r="F30" s="69"/>
      <c r="G30" s="69"/>
      <c r="H30" s="69"/>
      <c r="I30" s="70">
        <f t="shared" si="0"/>
        <v>2646.5</v>
      </c>
    </row>
    <row r="31" spans="1:9" ht="15" customHeight="1">
      <c r="A31" s="80">
        <v>2023</v>
      </c>
      <c r="B31" s="81">
        <f t="shared" si="2"/>
        <v>2433</v>
      </c>
      <c r="C31" s="82">
        <f t="shared" si="1"/>
        <v>26</v>
      </c>
      <c r="D31" s="69"/>
      <c r="E31" s="69"/>
      <c r="F31" s="69"/>
      <c r="G31" s="69"/>
      <c r="H31" s="69"/>
      <c r="I31" s="70">
        <f t="shared" si="0"/>
        <v>2433.1999999999998</v>
      </c>
    </row>
    <row r="32" spans="1:9" ht="15" customHeight="1">
      <c r="A32" s="80">
        <v>2024</v>
      </c>
      <c r="B32" s="81">
        <f t="shared" si="2"/>
        <v>2220</v>
      </c>
      <c r="C32" s="67">
        <f t="shared" si="1"/>
        <v>27</v>
      </c>
      <c r="D32" s="83"/>
      <c r="E32" s="69"/>
      <c r="F32" s="69"/>
      <c r="G32" s="69"/>
      <c r="H32" s="84"/>
      <c r="I32" s="70">
        <f t="shared" si="0"/>
        <v>2219.8999999999996</v>
      </c>
    </row>
    <row r="33" spans="1:9" ht="15" customHeight="1">
      <c r="A33" s="85">
        <v>2025</v>
      </c>
      <c r="B33" s="86">
        <f t="shared" si="2"/>
        <v>2007</v>
      </c>
      <c r="C33" s="87">
        <f t="shared" si="1"/>
        <v>28</v>
      </c>
      <c r="D33" s="88"/>
      <c r="E33" s="89"/>
      <c r="F33" s="89"/>
      <c r="G33" s="89"/>
      <c r="H33" s="90"/>
      <c r="I33" s="91">
        <f t="shared" si="0"/>
        <v>2006.5999999999995</v>
      </c>
    </row>
    <row r="34" spans="1:9" ht="15" customHeight="1">
      <c r="A34" s="56" t="s">
        <v>78</v>
      </c>
      <c r="B34" s="92"/>
      <c r="I34" s="89"/>
    </row>
    <row r="35" spans="1:9" ht="15" customHeight="1">
      <c r="A35" s="58" t="s">
        <v>32</v>
      </c>
      <c r="B35" s="59" t="s">
        <v>40</v>
      </c>
      <c r="C35" s="59" t="s">
        <v>33</v>
      </c>
      <c r="D35" s="60"/>
      <c r="E35" s="60"/>
      <c r="F35" s="61"/>
      <c r="G35" s="62"/>
      <c r="H35" s="63" t="s">
        <v>261</v>
      </c>
      <c r="I35" s="64">
        <f>RSQ(I36:I46,B36:B46)</f>
        <v>0.98960535433150776</v>
      </c>
    </row>
    <row r="36" spans="1:9" ht="15" customHeight="1">
      <c r="A36" s="65">
        <f t="shared" ref="A36:B46" si="3">A5</f>
        <v>1997</v>
      </c>
      <c r="B36" s="93">
        <f t="shared" si="3"/>
        <v>7979</v>
      </c>
      <c r="C36" s="67">
        <v>0</v>
      </c>
      <c r="D36" s="53"/>
      <c r="E36" s="53"/>
      <c r="F36" s="69"/>
      <c r="G36" s="264"/>
      <c r="H36" s="265"/>
      <c r="I36" s="94">
        <f t="shared" ref="I36:I64" si="4">$E$37*C36+$E$38</f>
        <v>7944.454545454545</v>
      </c>
    </row>
    <row r="37" spans="1:9" ht="15" customHeight="1">
      <c r="A37" s="65" t="e">
        <f t="shared" si="3"/>
        <v>#REF!</v>
      </c>
      <c r="B37" s="93">
        <f t="shared" si="3"/>
        <v>7754</v>
      </c>
      <c r="C37" s="67">
        <f>+C36+1</f>
        <v>1</v>
      </c>
      <c r="D37" s="53" t="s">
        <v>75</v>
      </c>
      <c r="E37" s="68">
        <f>INDEX(LINEST(B36:B46,C36:C46),1)</f>
        <v>-206.23636363636359</v>
      </c>
      <c r="F37" s="69"/>
      <c r="G37" s="53"/>
      <c r="H37" s="69"/>
      <c r="I37" s="70">
        <f t="shared" si="4"/>
        <v>7738.2181818181816</v>
      </c>
    </row>
    <row r="38" spans="1:9" ht="15" customHeight="1">
      <c r="A38" s="65" t="e">
        <f t="shared" si="3"/>
        <v>#REF!</v>
      </c>
      <c r="B38" s="93">
        <f t="shared" si="3"/>
        <v>7491</v>
      </c>
      <c r="C38" s="67">
        <f t="shared" ref="C38:C64" si="5">C37+1</f>
        <v>2</v>
      </c>
      <c r="D38" s="53" t="s">
        <v>76</v>
      </c>
      <c r="E38" s="72">
        <f>INDEX(LINEST(B36:B46,C36:C46),2)</f>
        <v>7944.454545454545</v>
      </c>
      <c r="F38" s="69"/>
      <c r="G38" s="53"/>
      <c r="H38" s="69"/>
      <c r="I38" s="70">
        <f t="shared" si="4"/>
        <v>7531.9818181818182</v>
      </c>
    </row>
    <row r="39" spans="1:9" ht="15" customHeight="1">
      <c r="A39" s="65" t="e">
        <f t="shared" si="3"/>
        <v>#REF!</v>
      </c>
      <c r="B39" s="93">
        <f t="shared" si="3"/>
        <v>7200</v>
      </c>
      <c r="C39" s="67">
        <f t="shared" si="5"/>
        <v>3</v>
      </c>
      <c r="D39" s="53" t="s">
        <v>77</v>
      </c>
      <c r="E39" s="73">
        <f>I35</f>
        <v>0.98960535433150776</v>
      </c>
      <c r="F39" s="69"/>
      <c r="G39" s="53"/>
      <c r="H39" s="69"/>
      <c r="I39" s="70">
        <f t="shared" si="4"/>
        <v>7325.7454545454548</v>
      </c>
    </row>
    <row r="40" spans="1:9" ht="15" customHeight="1">
      <c r="A40" s="65" t="e">
        <f t="shared" si="3"/>
        <v>#REF!</v>
      </c>
      <c r="B40" s="93">
        <f t="shared" si="3"/>
        <v>7096</v>
      </c>
      <c r="C40" s="67">
        <f t="shared" si="5"/>
        <v>4</v>
      </c>
      <c r="D40" s="53"/>
      <c r="E40" s="53"/>
      <c r="F40" s="69"/>
      <c r="G40" s="53"/>
      <c r="H40" s="69"/>
      <c r="I40" s="70">
        <f t="shared" si="4"/>
        <v>7119.5090909090904</v>
      </c>
    </row>
    <row r="41" spans="1:9" ht="15" customHeight="1">
      <c r="A41" s="65" t="e">
        <f t="shared" si="3"/>
        <v>#REF!</v>
      </c>
      <c r="B41" s="93">
        <f t="shared" si="3"/>
        <v>6966</v>
      </c>
      <c r="C41" s="67">
        <f t="shared" si="5"/>
        <v>5</v>
      </c>
      <c r="D41" s="53"/>
      <c r="E41" s="53"/>
      <c r="F41" s="69"/>
      <c r="G41" s="95"/>
      <c r="H41" s="69"/>
      <c r="I41" s="70">
        <f t="shared" si="4"/>
        <v>6913.272727272727</v>
      </c>
    </row>
    <row r="42" spans="1:9" ht="15" customHeight="1">
      <c r="A42" s="65" t="e">
        <f t="shared" si="3"/>
        <v>#REF!</v>
      </c>
      <c r="B42" s="93">
        <f t="shared" si="3"/>
        <v>6795</v>
      </c>
      <c r="C42" s="67">
        <f t="shared" si="5"/>
        <v>6</v>
      </c>
      <c r="D42" s="53"/>
      <c r="E42" s="53"/>
      <c r="F42" s="69"/>
      <c r="G42" s="53"/>
      <c r="H42" s="69"/>
      <c r="I42" s="70">
        <f t="shared" si="4"/>
        <v>6707.0363636363636</v>
      </c>
    </row>
    <row r="43" spans="1:9" ht="15" customHeight="1">
      <c r="A43" s="65" t="e">
        <f t="shared" si="3"/>
        <v>#REF!</v>
      </c>
      <c r="B43" s="93">
        <f t="shared" si="3"/>
        <v>6582</v>
      </c>
      <c r="C43" s="67">
        <f t="shared" si="5"/>
        <v>7</v>
      </c>
      <c r="D43" s="53" t="s">
        <v>73</v>
      </c>
      <c r="E43" s="53"/>
      <c r="F43" s="69"/>
      <c r="G43" s="53"/>
      <c r="H43" s="69"/>
      <c r="I43" s="70">
        <f t="shared" si="4"/>
        <v>6500.8</v>
      </c>
    </row>
    <row r="44" spans="1:9" ht="15" customHeight="1">
      <c r="A44" s="65" t="e">
        <f t="shared" si="3"/>
        <v>#REF!</v>
      </c>
      <c r="B44" s="93">
        <f t="shared" si="3"/>
        <v>6343</v>
      </c>
      <c r="C44" s="67">
        <f t="shared" si="5"/>
        <v>8</v>
      </c>
      <c r="D44" s="53"/>
      <c r="E44" s="53"/>
      <c r="F44" s="69"/>
      <c r="G44" s="53"/>
      <c r="H44" s="69"/>
      <c r="I44" s="70">
        <f t="shared" si="4"/>
        <v>6294.5636363636368</v>
      </c>
    </row>
    <row r="45" spans="1:9" ht="15" customHeight="1">
      <c r="A45" s="65" t="e">
        <f t="shared" si="3"/>
        <v>#REF!</v>
      </c>
      <c r="B45" s="93">
        <f t="shared" si="3"/>
        <v>5994</v>
      </c>
      <c r="C45" s="67">
        <f t="shared" si="5"/>
        <v>9</v>
      </c>
      <c r="D45" s="53"/>
      <c r="E45" s="53"/>
      <c r="F45" s="69"/>
      <c r="G45" s="53"/>
      <c r="H45" s="69"/>
      <c r="I45" s="70">
        <f t="shared" si="4"/>
        <v>6088.3272727272724</v>
      </c>
    </row>
    <row r="46" spans="1:9" ht="15" customHeight="1" thickBot="1">
      <c r="A46" s="97" t="e">
        <f t="shared" si="3"/>
        <v>#REF!</v>
      </c>
      <c r="B46" s="98">
        <f t="shared" si="3"/>
        <v>5846</v>
      </c>
      <c r="C46" s="99">
        <f t="shared" si="5"/>
        <v>10</v>
      </c>
      <c r="D46" s="100"/>
      <c r="E46" s="100"/>
      <c r="F46" s="100"/>
      <c r="G46" s="101"/>
      <c r="H46" s="101"/>
      <c r="I46" s="102">
        <f t="shared" si="4"/>
        <v>5882.090909090909</v>
      </c>
    </row>
    <row r="47" spans="1:9" ht="15" customHeight="1" thickTop="1">
      <c r="A47" s="80">
        <v>2008</v>
      </c>
      <c r="B47" s="81">
        <f t="shared" ref="B47:B64" si="6">ROUND(E$37*C47+E$38,0)</f>
        <v>5676</v>
      </c>
      <c r="C47" s="77">
        <f t="shared" si="5"/>
        <v>11</v>
      </c>
      <c r="D47" s="78"/>
      <c r="E47" s="78"/>
      <c r="F47" s="78"/>
      <c r="G47" s="256"/>
      <c r="H47" s="256"/>
      <c r="I47" s="79">
        <f t="shared" si="4"/>
        <v>5675.8545454545456</v>
      </c>
    </row>
    <row r="48" spans="1:9" ht="15" customHeight="1">
      <c r="A48" s="80">
        <v>2009</v>
      </c>
      <c r="B48" s="81">
        <f t="shared" si="6"/>
        <v>5470</v>
      </c>
      <c r="C48" s="67">
        <f t="shared" si="5"/>
        <v>12</v>
      </c>
      <c r="D48" s="69"/>
      <c r="E48" s="69"/>
      <c r="F48" s="69"/>
      <c r="G48" s="69"/>
      <c r="H48" s="69"/>
      <c r="I48" s="70">
        <f t="shared" si="4"/>
        <v>5469.6181818181822</v>
      </c>
    </row>
    <row r="49" spans="1:9" ht="15" customHeight="1">
      <c r="A49" s="80">
        <v>2010</v>
      </c>
      <c r="B49" s="81">
        <f t="shared" si="6"/>
        <v>5263</v>
      </c>
      <c r="C49" s="82">
        <f t="shared" si="5"/>
        <v>13</v>
      </c>
      <c r="D49" s="69"/>
      <c r="E49" s="69"/>
      <c r="F49" s="69"/>
      <c r="G49" s="69"/>
      <c r="H49" s="69"/>
      <c r="I49" s="70">
        <f t="shared" si="4"/>
        <v>5263.3818181818187</v>
      </c>
    </row>
    <row r="50" spans="1:9" ht="15" customHeight="1">
      <c r="A50" s="80">
        <v>2011</v>
      </c>
      <c r="B50" s="81">
        <f t="shared" si="6"/>
        <v>5057</v>
      </c>
      <c r="C50" s="82">
        <f t="shared" si="5"/>
        <v>14</v>
      </c>
      <c r="D50" s="69"/>
      <c r="E50" s="69"/>
      <c r="F50" s="69"/>
      <c r="G50" s="69"/>
      <c r="H50" s="69"/>
      <c r="I50" s="70">
        <f t="shared" si="4"/>
        <v>5057.1454545454544</v>
      </c>
    </row>
    <row r="51" spans="1:9" ht="15" customHeight="1">
      <c r="A51" s="80">
        <v>2012</v>
      </c>
      <c r="B51" s="81">
        <f t="shared" si="6"/>
        <v>4851</v>
      </c>
      <c r="C51" s="82">
        <f t="shared" si="5"/>
        <v>15</v>
      </c>
      <c r="D51" s="69"/>
      <c r="E51" s="69"/>
      <c r="F51" s="69"/>
      <c r="G51" s="69"/>
      <c r="H51" s="69"/>
      <c r="I51" s="70">
        <f t="shared" si="4"/>
        <v>4850.909090909091</v>
      </c>
    </row>
    <row r="52" spans="1:9" ht="15" customHeight="1">
      <c r="A52" s="80">
        <v>2013</v>
      </c>
      <c r="B52" s="81">
        <f t="shared" si="6"/>
        <v>4645</v>
      </c>
      <c r="C52" s="82">
        <f t="shared" si="5"/>
        <v>16</v>
      </c>
      <c r="D52" s="69"/>
      <c r="E52" s="69"/>
      <c r="F52" s="69"/>
      <c r="G52" s="69"/>
      <c r="H52" s="69"/>
      <c r="I52" s="70">
        <f t="shared" si="4"/>
        <v>4644.6727272727276</v>
      </c>
    </row>
    <row r="53" spans="1:9" ht="15" customHeight="1">
      <c r="A53" s="80">
        <v>2014</v>
      </c>
      <c r="B53" s="81">
        <f t="shared" si="6"/>
        <v>4438</v>
      </c>
      <c r="C53" s="82">
        <f t="shared" si="5"/>
        <v>17</v>
      </c>
      <c r="D53" s="69"/>
      <c r="E53" s="69"/>
      <c r="F53" s="69"/>
      <c r="G53" s="69"/>
      <c r="H53" s="69"/>
      <c r="I53" s="70">
        <f t="shared" si="4"/>
        <v>4438.4363636363641</v>
      </c>
    </row>
    <row r="54" spans="1:9" ht="15" customHeight="1">
      <c r="A54" s="80">
        <v>2015</v>
      </c>
      <c r="B54" s="81">
        <f t="shared" si="6"/>
        <v>4232</v>
      </c>
      <c r="C54" s="82">
        <f t="shared" si="5"/>
        <v>18</v>
      </c>
      <c r="D54" s="69"/>
      <c r="E54" s="69"/>
      <c r="F54" s="69"/>
      <c r="G54" s="69"/>
      <c r="H54" s="69"/>
      <c r="I54" s="70">
        <f t="shared" si="4"/>
        <v>4232.2000000000007</v>
      </c>
    </row>
    <row r="55" spans="1:9" ht="15" customHeight="1">
      <c r="A55" s="80">
        <v>2016</v>
      </c>
      <c r="B55" s="81">
        <f t="shared" si="6"/>
        <v>4026</v>
      </c>
      <c r="C55" s="82">
        <f t="shared" si="5"/>
        <v>19</v>
      </c>
      <c r="D55" s="69"/>
      <c r="E55" s="69"/>
      <c r="F55" s="69"/>
      <c r="G55" s="69"/>
      <c r="H55" s="69"/>
      <c r="I55" s="70">
        <f t="shared" si="4"/>
        <v>4025.9636363636369</v>
      </c>
    </row>
    <row r="56" spans="1:9" ht="15" customHeight="1">
      <c r="A56" s="80">
        <v>2017</v>
      </c>
      <c r="B56" s="81">
        <f t="shared" si="6"/>
        <v>3820</v>
      </c>
      <c r="C56" s="82">
        <f t="shared" si="5"/>
        <v>20</v>
      </c>
      <c r="D56" s="69"/>
      <c r="E56" s="69"/>
      <c r="F56" s="69"/>
      <c r="G56" s="69"/>
      <c r="H56" s="69"/>
      <c r="I56" s="70">
        <f t="shared" si="4"/>
        <v>3819.727272727273</v>
      </c>
    </row>
    <row r="57" spans="1:9" ht="15" customHeight="1">
      <c r="A57" s="80">
        <v>2018</v>
      </c>
      <c r="B57" s="81">
        <f t="shared" si="6"/>
        <v>3613</v>
      </c>
      <c r="C57" s="82">
        <f t="shared" si="5"/>
        <v>21</v>
      </c>
      <c r="D57" s="69"/>
      <c r="E57" s="69"/>
      <c r="F57" s="69"/>
      <c r="G57" s="69"/>
      <c r="H57" s="69"/>
      <c r="I57" s="70">
        <f t="shared" si="4"/>
        <v>3613.4909090909096</v>
      </c>
    </row>
    <row r="58" spans="1:9" ht="15" customHeight="1">
      <c r="A58" s="80">
        <v>2019</v>
      </c>
      <c r="B58" s="81">
        <f t="shared" si="6"/>
        <v>3407</v>
      </c>
      <c r="C58" s="82">
        <f t="shared" si="5"/>
        <v>22</v>
      </c>
      <c r="D58" s="69"/>
      <c r="E58" s="69"/>
      <c r="F58" s="69"/>
      <c r="G58" s="69"/>
      <c r="H58" s="69"/>
      <c r="I58" s="70">
        <f t="shared" si="4"/>
        <v>3407.2545454545461</v>
      </c>
    </row>
    <row r="59" spans="1:9" ht="15" customHeight="1">
      <c r="A59" s="80">
        <v>2020</v>
      </c>
      <c r="B59" s="81">
        <f t="shared" si="6"/>
        <v>3201</v>
      </c>
      <c r="C59" s="82">
        <f t="shared" si="5"/>
        <v>23</v>
      </c>
      <c r="D59" s="69"/>
      <c r="E59" s="69"/>
      <c r="F59" s="69"/>
      <c r="G59" s="69"/>
      <c r="H59" s="69"/>
      <c r="I59" s="70">
        <f t="shared" si="4"/>
        <v>3201.0181818181827</v>
      </c>
    </row>
    <row r="60" spans="1:9" ht="15" customHeight="1">
      <c r="A60" s="80">
        <v>2021</v>
      </c>
      <c r="B60" s="81">
        <f t="shared" si="6"/>
        <v>2995</v>
      </c>
      <c r="C60" s="82">
        <f t="shared" si="5"/>
        <v>24</v>
      </c>
      <c r="D60" s="69"/>
      <c r="E60" s="69"/>
      <c r="F60" s="69"/>
      <c r="G60" s="69"/>
      <c r="H60" s="69"/>
      <c r="I60" s="70">
        <f t="shared" si="4"/>
        <v>2994.7818181818193</v>
      </c>
    </row>
    <row r="61" spans="1:9" ht="15" customHeight="1">
      <c r="A61" s="80">
        <v>2022</v>
      </c>
      <c r="B61" s="81">
        <f t="shared" si="6"/>
        <v>2789</v>
      </c>
      <c r="C61" s="82">
        <f t="shared" si="5"/>
        <v>25</v>
      </c>
      <c r="D61" s="69"/>
      <c r="E61" s="69"/>
      <c r="F61" s="69"/>
      <c r="G61" s="69"/>
      <c r="H61" s="69"/>
      <c r="I61" s="70">
        <f t="shared" si="4"/>
        <v>2788.545454545455</v>
      </c>
    </row>
    <row r="62" spans="1:9" ht="15" customHeight="1">
      <c r="A62" s="80">
        <v>2023</v>
      </c>
      <c r="B62" s="81">
        <f t="shared" si="6"/>
        <v>2582</v>
      </c>
      <c r="C62" s="82">
        <f t="shared" si="5"/>
        <v>26</v>
      </c>
      <c r="D62" s="69"/>
      <c r="E62" s="69"/>
      <c r="F62" s="69"/>
      <c r="G62" s="69"/>
      <c r="H62" s="69"/>
      <c r="I62" s="70">
        <f t="shared" si="4"/>
        <v>2582.3090909090915</v>
      </c>
    </row>
    <row r="63" spans="1:9" ht="15" customHeight="1">
      <c r="A63" s="80">
        <v>2024</v>
      </c>
      <c r="B63" s="81">
        <f t="shared" si="6"/>
        <v>2376</v>
      </c>
      <c r="C63" s="67">
        <f t="shared" si="5"/>
        <v>27</v>
      </c>
      <c r="D63" s="69"/>
      <c r="E63" s="69"/>
      <c r="F63" s="69"/>
      <c r="G63" s="69"/>
      <c r="H63" s="69"/>
      <c r="I63" s="70">
        <f t="shared" si="4"/>
        <v>2376.0727272727281</v>
      </c>
    </row>
    <row r="64" spans="1:9" ht="15" customHeight="1">
      <c r="A64" s="85">
        <v>2025</v>
      </c>
      <c r="B64" s="86">
        <f t="shared" si="6"/>
        <v>2170</v>
      </c>
      <c r="C64" s="87">
        <f t="shared" si="5"/>
        <v>28</v>
      </c>
      <c r="D64" s="89"/>
      <c r="E64" s="89"/>
      <c r="F64" s="89"/>
      <c r="G64" s="89"/>
      <c r="H64" s="89"/>
      <c r="I64" s="91">
        <f t="shared" si="4"/>
        <v>2169.8363636363647</v>
      </c>
    </row>
    <row r="65" spans="1:11" ht="15" customHeight="1">
      <c r="A65" s="56" t="s">
        <v>79</v>
      </c>
      <c r="B65" s="57"/>
    </row>
    <row r="66" spans="1:11" ht="15" customHeight="1">
      <c r="A66" s="58" t="s">
        <v>32</v>
      </c>
      <c r="B66" s="59" t="s">
        <v>40</v>
      </c>
      <c r="C66" s="59" t="s">
        <v>34</v>
      </c>
      <c r="D66" s="59" t="s">
        <v>33</v>
      </c>
      <c r="E66" s="103"/>
      <c r="F66" s="60"/>
      <c r="G66" s="61"/>
      <c r="H66" s="63" t="s">
        <v>261</v>
      </c>
      <c r="I66" s="64">
        <f>RSQ(I67:I77,B67:B77)</f>
        <v>0.98609255986465272</v>
      </c>
    </row>
    <row r="67" spans="1:11" ht="15" customHeight="1">
      <c r="A67" s="65">
        <v>1997</v>
      </c>
      <c r="B67" s="104">
        <f t="shared" ref="B67:B77" si="7">B5</f>
        <v>7979</v>
      </c>
      <c r="C67" s="105">
        <f t="shared" ref="C67:C95" si="8">LN(B67)</f>
        <v>8.9845683693082812</v>
      </c>
      <c r="D67" s="67">
        <v>0</v>
      </c>
      <c r="E67" s="106"/>
      <c r="F67" s="53"/>
      <c r="G67" s="69"/>
      <c r="H67" s="265"/>
      <c r="I67" s="109">
        <f t="shared" ref="I67:I95" si="9">ROUND($F$69*(1+$F$68)^(D67),1)</f>
        <v>7979</v>
      </c>
    </row>
    <row r="68" spans="1:11" ht="15" customHeight="1">
      <c r="A68" s="65" t="e">
        <f t="shared" ref="A68:A77" si="10">A6</f>
        <v>#REF!</v>
      </c>
      <c r="B68" s="104">
        <f t="shared" si="7"/>
        <v>7754</v>
      </c>
      <c r="C68" s="105">
        <f t="shared" si="8"/>
        <v>8.9559641182308738</v>
      </c>
      <c r="D68" s="67">
        <f>+D67+1</f>
        <v>1</v>
      </c>
      <c r="E68" s="106" t="s">
        <v>37</v>
      </c>
      <c r="F68" s="73">
        <f>ROUND((B77/B67)^(1/D77)-1,5)</f>
        <v>-3.0630000000000001E-2</v>
      </c>
      <c r="G68" s="107"/>
      <c r="H68" s="108"/>
      <c r="I68" s="109">
        <f t="shared" si="9"/>
        <v>7734.6</v>
      </c>
    </row>
    <row r="69" spans="1:11" ht="15" customHeight="1">
      <c r="A69" s="65" t="e">
        <f t="shared" si="10"/>
        <v>#REF!</v>
      </c>
      <c r="B69" s="104">
        <f t="shared" si="7"/>
        <v>7491</v>
      </c>
      <c r="C69" s="105">
        <f t="shared" si="8"/>
        <v>8.9214575789478836</v>
      </c>
      <c r="D69" s="67">
        <f t="shared" ref="D69:D95" si="11">D68+1</f>
        <v>2</v>
      </c>
      <c r="E69" s="106" t="s">
        <v>80</v>
      </c>
      <c r="F69" s="110">
        <f>B67</f>
        <v>7979</v>
      </c>
      <c r="G69" s="107"/>
      <c r="H69" s="108"/>
      <c r="I69" s="109">
        <f t="shared" si="9"/>
        <v>7497.7</v>
      </c>
      <c r="K69" s="111"/>
    </row>
    <row r="70" spans="1:11" ht="15" customHeight="1">
      <c r="A70" s="65" t="e">
        <f t="shared" si="10"/>
        <v>#REF!</v>
      </c>
      <c r="B70" s="104">
        <f t="shared" si="7"/>
        <v>7200</v>
      </c>
      <c r="C70" s="105">
        <f t="shared" si="8"/>
        <v>8.8818363050041462</v>
      </c>
      <c r="D70" s="67">
        <f t="shared" si="11"/>
        <v>3</v>
      </c>
      <c r="E70" s="106" t="s">
        <v>77</v>
      </c>
      <c r="F70" s="73">
        <f>I66</f>
        <v>0.98609255986465272</v>
      </c>
      <c r="G70" s="108"/>
      <c r="H70" s="108"/>
      <c r="I70" s="109">
        <f t="shared" si="9"/>
        <v>7268</v>
      </c>
    </row>
    <row r="71" spans="1:11" ht="15" customHeight="1">
      <c r="A71" s="65" t="e">
        <f t="shared" si="10"/>
        <v>#REF!</v>
      </c>
      <c r="B71" s="104">
        <f t="shared" si="7"/>
        <v>7096</v>
      </c>
      <c r="C71" s="105">
        <f t="shared" si="8"/>
        <v>8.8672865239894154</v>
      </c>
      <c r="D71" s="67">
        <f t="shared" si="11"/>
        <v>4</v>
      </c>
      <c r="E71" s="106"/>
      <c r="F71" s="73"/>
      <c r="G71" s="108"/>
      <c r="H71" s="108"/>
      <c r="I71" s="109">
        <f t="shared" si="9"/>
        <v>7045.4</v>
      </c>
    </row>
    <row r="72" spans="1:11" ht="15" customHeight="1">
      <c r="A72" s="65" t="e">
        <f t="shared" si="10"/>
        <v>#REF!</v>
      </c>
      <c r="B72" s="104">
        <f t="shared" si="7"/>
        <v>6966</v>
      </c>
      <c r="C72" s="105">
        <f t="shared" si="8"/>
        <v>8.8487964509259474</v>
      </c>
      <c r="D72" s="67">
        <f t="shared" si="11"/>
        <v>5</v>
      </c>
      <c r="E72" s="106" t="s">
        <v>81</v>
      </c>
      <c r="F72" s="72"/>
      <c r="G72" s="108"/>
      <c r="H72" s="108"/>
      <c r="I72" s="109">
        <f t="shared" si="9"/>
        <v>6829.6</v>
      </c>
    </row>
    <row r="73" spans="1:11" ht="15" customHeight="1">
      <c r="A73" s="65" t="e">
        <f t="shared" si="10"/>
        <v>#REF!</v>
      </c>
      <c r="B73" s="104">
        <f t="shared" si="7"/>
        <v>6795</v>
      </c>
      <c r="C73" s="105">
        <f t="shared" si="8"/>
        <v>8.8239423265852448</v>
      </c>
      <c r="D73" s="67">
        <f t="shared" si="11"/>
        <v>6</v>
      </c>
      <c r="E73" s="112"/>
      <c r="F73" s="113"/>
      <c r="G73" s="108"/>
      <c r="H73" s="108"/>
      <c r="I73" s="109">
        <f t="shared" si="9"/>
        <v>6620.4</v>
      </c>
    </row>
    <row r="74" spans="1:11" ht="15" customHeight="1">
      <c r="A74" s="65" t="e">
        <f t="shared" si="10"/>
        <v>#REF!</v>
      </c>
      <c r="B74" s="104">
        <f t="shared" si="7"/>
        <v>6582</v>
      </c>
      <c r="C74" s="105">
        <f t="shared" si="8"/>
        <v>8.7920939295032845</v>
      </c>
      <c r="D74" s="67">
        <f t="shared" si="11"/>
        <v>7</v>
      </c>
      <c r="E74" s="114"/>
      <c r="F74" s="113"/>
      <c r="G74" s="108"/>
      <c r="H74" s="108"/>
      <c r="I74" s="109">
        <f t="shared" si="9"/>
        <v>6417.6</v>
      </c>
    </row>
    <row r="75" spans="1:11" ht="15" customHeight="1">
      <c r="A75" s="65" t="e">
        <f t="shared" si="10"/>
        <v>#REF!</v>
      </c>
      <c r="B75" s="104">
        <f t="shared" si="7"/>
        <v>6343</v>
      </c>
      <c r="C75" s="105">
        <f t="shared" si="8"/>
        <v>8.7551071216338965</v>
      </c>
      <c r="D75" s="67">
        <f t="shared" si="11"/>
        <v>8</v>
      </c>
      <c r="E75" s="114"/>
      <c r="F75" s="113"/>
      <c r="G75" s="108"/>
      <c r="H75" s="108"/>
      <c r="I75" s="109">
        <f t="shared" si="9"/>
        <v>6221.1</v>
      </c>
    </row>
    <row r="76" spans="1:11" ht="15" customHeight="1">
      <c r="A76" s="65" t="e">
        <f t="shared" si="10"/>
        <v>#REF!</v>
      </c>
      <c r="B76" s="104">
        <f t="shared" si="7"/>
        <v>5994</v>
      </c>
      <c r="C76" s="105">
        <f t="shared" si="8"/>
        <v>8.6985142478766093</v>
      </c>
      <c r="D76" s="67">
        <f t="shared" si="11"/>
        <v>9</v>
      </c>
      <c r="E76" s="108"/>
      <c r="F76" s="108"/>
      <c r="G76" s="115"/>
      <c r="H76" s="108"/>
      <c r="I76" s="109">
        <f t="shared" si="9"/>
        <v>6030.5</v>
      </c>
    </row>
    <row r="77" spans="1:11" s="100" customFormat="1" ht="15" customHeight="1" thickBot="1">
      <c r="A77" s="97" t="e">
        <f t="shared" si="10"/>
        <v>#REF!</v>
      </c>
      <c r="B77" s="116">
        <f t="shared" si="7"/>
        <v>5846</v>
      </c>
      <c r="C77" s="117">
        <f t="shared" si="8"/>
        <v>8.6735129456711917</v>
      </c>
      <c r="D77" s="99">
        <f t="shared" si="11"/>
        <v>10</v>
      </c>
      <c r="E77" s="118"/>
      <c r="F77" s="118"/>
      <c r="G77" s="119"/>
      <c r="H77" s="118"/>
      <c r="I77" s="120">
        <f t="shared" si="9"/>
        <v>5845.8</v>
      </c>
    </row>
    <row r="78" spans="1:11" s="78" customFormat="1" ht="15" customHeight="1" thickTop="1">
      <c r="A78" s="80">
        <v>2008</v>
      </c>
      <c r="B78" s="81">
        <f t="shared" ref="B78:B95" si="12">ROUND(F$69*(1+F$68)^D78,0)</f>
        <v>5667</v>
      </c>
      <c r="C78" s="121">
        <f t="shared" si="8"/>
        <v>8.6424151561696192</v>
      </c>
      <c r="D78" s="77">
        <f t="shared" si="11"/>
        <v>11</v>
      </c>
      <c r="E78" s="259"/>
      <c r="F78" s="259"/>
      <c r="G78" s="260"/>
      <c r="H78" s="259"/>
      <c r="I78" s="123">
        <f t="shared" si="9"/>
        <v>5666.7</v>
      </c>
    </row>
    <row r="79" spans="1:11" ht="15" customHeight="1">
      <c r="A79" s="80">
        <v>2009</v>
      </c>
      <c r="B79" s="81">
        <f t="shared" si="12"/>
        <v>5493</v>
      </c>
      <c r="C79" s="105">
        <f t="shared" si="8"/>
        <v>8.6112298333426196</v>
      </c>
      <c r="D79" s="67">
        <f t="shared" si="11"/>
        <v>12</v>
      </c>
      <c r="E79" s="83"/>
      <c r="F79" s="69"/>
      <c r="G79" s="69"/>
      <c r="H79" s="69"/>
      <c r="I79" s="109">
        <f t="shared" si="9"/>
        <v>5493.2</v>
      </c>
    </row>
    <row r="80" spans="1:11" ht="15" customHeight="1">
      <c r="A80" s="80">
        <v>2010</v>
      </c>
      <c r="B80" s="81">
        <f t="shared" si="12"/>
        <v>5325</v>
      </c>
      <c r="C80" s="105">
        <f t="shared" si="8"/>
        <v>8.5801679905776265</v>
      </c>
      <c r="D80" s="67">
        <f t="shared" si="11"/>
        <v>13</v>
      </c>
      <c r="E80" s="83"/>
      <c r="F80" s="69"/>
      <c r="G80" s="69"/>
      <c r="H80" s="69"/>
      <c r="I80" s="109">
        <f t="shared" si="9"/>
        <v>5324.9</v>
      </c>
    </row>
    <row r="81" spans="1:9" ht="15" customHeight="1">
      <c r="A81" s="80">
        <v>2011</v>
      </c>
      <c r="B81" s="81">
        <f t="shared" si="12"/>
        <v>5162</v>
      </c>
      <c r="C81" s="105">
        <f t="shared" si="8"/>
        <v>8.5490793802785596</v>
      </c>
      <c r="D81" s="67">
        <f t="shared" si="11"/>
        <v>14</v>
      </c>
      <c r="E81" s="83"/>
      <c r="F81" s="69"/>
      <c r="G81" s="69"/>
      <c r="H81" s="69"/>
      <c r="I81" s="109">
        <f t="shared" si="9"/>
        <v>5161.8</v>
      </c>
    </row>
    <row r="82" spans="1:9" ht="15" customHeight="1">
      <c r="A82" s="80">
        <v>2012</v>
      </c>
      <c r="B82" s="81">
        <f t="shared" si="12"/>
        <v>5004</v>
      </c>
      <c r="C82" s="105">
        <f t="shared" si="8"/>
        <v>8.5179928715868023</v>
      </c>
      <c r="D82" s="67">
        <f t="shared" si="11"/>
        <v>15</v>
      </c>
      <c r="E82" s="83"/>
      <c r="F82" s="69"/>
      <c r="G82" s="69"/>
      <c r="H82" s="69"/>
      <c r="I82" s="109">
        <f t="shared" si="9"/>
        <v>5003.7</v>
      </c>
    </row>
    <row r="83" spans="1:9" ht="15" customHeight="1">
      <c r="A83" s="80">
        <v>2013</v>
      </c>
      <c r="B83" s="81">
        <f t="shared" si="12"/>
        <v>4850</v>
      </c>
      <c r="C83" s="105">
        <f t="shared" si="8"/>
        <v>8.4867339839315292</v>
      </c>
      <c r="D83" s="67">
        <f t="shared" si="11"/>
        <v>16</v>
      </c>
      <c r="E83" s="83"/>
      <c r="F83" s="69"/>
      <c r="G83" s="69"/>
      <c r="H83" s="69"/>
      <c r="I83" s="109">
        <f t="shared" si="9"/>
        <v>4850.3999999999996</v>
      </c>
    </row>
    <row r="84" spans="1:9" ht="15" customHeight="1">
      <c r="A84" s="80">
        <v>2014</v>
      </c>
      <c r="B84" s="81">
        <f t="shared" si="12"/>
        <v>4702</v>
      </c>
      <c r="C84" s="105">
        <f t="shared" si="8"/>
        <v>8.4557432291000154</v>
      </c>
      <c r="D84" s="67">
        <f t="shared" si="11"/>
        <v>17</v>
      </c>
      <c r="E84" s="83"/>
      <c r="F84" s="69"/>
      <c r="G84" s="69"/>
      <c r="H84" s="69"/>
      <c r="I84" s="109">
        <f t="shared" si="9"/>
        <v>4701.8999999999996</v>
      </c>
    </row>
    <row r="85" spans="1:9" ht="15" customHeight="1">
      <c r="A85" s="80">
        <v>2015</v>
      </c>
      <c r="B85" s="81">
        <f t="shared" si="12"/>
        <v>4558</v>
      </c>
      <c r="C85" s="105">
        <f t="shared" si="8"/>
        <v>8.4246392098056297</v>
      </c>
      <c r="D85" s="67">
        <f t="shared" si="11"/>
        <v>18</v>
      </c>
      <c r="E85" s="83"/>
      <c r="F85" s="69"/>
      <c r="G85" s="69"/>
      <c r="H85" s="69"/>
      <c r="I85" s="109">
        <f t="shared" si="9"/>
        <v>4557.8999999999996</v>
      </c>
    </row>
    <row r="86" spans="1:9" ht="15" customHeight="1">
      <c r="A86" s="80">
        <v>2016</v>
      </c>
      <c r="B86" s="81">
        <f t="shared" si="12"/>
        <v>4418</v>
      </c>
      <c r="C86" s="105">
        <f t="shared" si="8"/>
        <v>8.3934423839800623</v>
      </c>
      <c r="D86" s="67">
        <f t="shared" si="11"/>
        <v>19</v>
      </c>
      <c r="E86" s="83"/>
      <c r="F86" s="69"/>
      <c r="G86" s="69"/>
      <c r="H86" s="69"/>
      <c r="I86" s="109">
        <f t="shared" si="9"/>
        <v>4418.3</v>
      </c>
    </row>
    <row r="87" spans="1:9" ht="15" customHeight="1">
      <c r="A87" s="80">
        <v>2017</v>
      </c>
      <c r="B87" s="81">
        <f t="shared" si="12"/>
        <v>4283</v>
      </c>
      <c r="C87" s="105">
        <f t="shared" si="8"/>
        <v>8.3624089776153703</v>
      </c>
      <c r="D87" s="67">
        <f t="shared" si="11"/>
        <v>20</v>
      </c>
      <c r="E87" s="83"/>
      <c r="F87" s="69"/>
      <c r="G87" s="69"/>
      <c r="H87" s="69"/>
      <c r="I87" s="109">
        <f t="shared" si="9"/>
        <v>4282.8999999999996</v>
      </c>
    </row>
    <row r="88" spans="1:9" ht="15" customHeight="1">
      <c r="A88" s="80">
        <v>2018</v>
      </c>
      <c r="B88" s="81">
        <f t="shared" si="12"/>
        <v>4152</v>
      </c>
      <c r="C88" s="105">
        <f t="shared" si="8"/>
        <v>8.3313454248457237</v>
      </c>
      <c r="D88" s="67">
        <f t="shared" si="11"/>
        <v>21</v>
      </c>
      <c r="E88" s="83"/>
      <c r="F88" s="69"/>
      <c r="G88" s="69"/>
      <c r="H88" s="69"/>
      <c r="I88" s="109">
        <f t="shared" si="9"/>
        <v>4151.7</v>
      </c>
    </row>
    <row r="89" spans="1:9" ht="15" customHeight="1">
      <c r="A89" s="80">
        <v>2019</v>
      </c>
      <c r="B89" s="81">
        <f t="shared" si="12"/>
        <v>4025</v>
      </c>
      <c r="C89" s="105">
        <f t="shared" si="8"/>
        <v>8.3002801898526641</v>
      </c>
      <c r="D89" s="67">
        <f t="shared" si="11"/>
        <v>22</v>
      </c>
      <c r="E89" s="83"/>
      <c r="F89" s="69"/>
      <c r="G89" s="69"/>
      <c r="H89" s="69"/>
      <c r="I89" s="109">
        <f t="shared" si="9"/>
        <v>4024.6</v>
      </c>
    </row>
    <row r="90" spans="1:9" ht="15" customHeight="1">
      <c r="A90" s="80">
        <v>2020</v>
      </c>
      <c r="B90" s="81">
        <f t="shared" si="12"/>
        <v>3901</v>
      </c>
      <c r="C90" s="105">
        <f t="shared" si="8"/>
        <v>8.2689882095066558</v>
      </c>
      <c r="D90" s="67">
        <f t="shared" si="11"/>
        <v>23</v>
      </c>
      <c r="E90" s="83"/>
      <c r="F90" s="69"/>
      <c r="G90" s="69"/>
      <c r="H90" s="69"/>
      <c r="I90" s="109">
        <f t="shared" si="9"/>
        <v>3901.3</v>
      </c>
    </row>
    <row r="91" spans="1:9" ht="15" customHeight="1">
      <c r="A91" s="80">
        <v>2021</v>
      </c>
      <c r="B91" s="81">
        <f t="shared" si="12"/>
        <v>3782</v>
      </c>
      <c r="C91" s="105">
        <f t="shared" si="8"/>
        <v>8.238008249218403</v>
      </c>
      <c r="D91" s="67">
        <f t="shared" si="11"/>
        <v>24</v>
      </c>
      <c r="E91" s="83"/>
      <c r="F91" s="69"/>
      <c r="G91" s="69"/>
      <c r="H91" s="69"/>
      <c r="I91" s="109">
        <f t="shared" si="9"/>
        <v>3781.8</v>
      </c>
    </row>
    <row r="92" spans="1:9" ht="15" customHeight="1">
      <c r="A92" s="80">
        <v>2022</v>
      </c>
      <c r="B92" s="81">
        <f t="shared" si="12"/>
        <v>3666</v>
      </c>
      <c r="C92" s="105">
        <f t="shared" si="8"/>
        <v>8.2068564283996501</v>
      </c>
      <c r="D92" s="67">
        <f t="shared" si="11"/>
        <v>25</v>
      </c>
      <c r="E92" s="83"/>
      <c r="F92" s="69"/>
      <c r="G92" s="69"/>
      <c r="H92" s="69"/>
      <c r="I92" s="109">
        <f t="shared" si="9"/>
        <v>3666</v>
      </c>
    </row>
    <row r="93" spans="1:9" ht="15" customHeight="1">
      <c r="A93" s="80">
        <v>2023</v>
      </c>
      <c r="B93" s="81">
        <f t="shared" si="12"/>
        <v>3554</v>
      </c>
      <c r="C93" s="105">
        <f t="shared" si="8"/>
        <v>8.1758290087145973</v>
      </c>
      <c r="D93" s="67">
        <f t="shared" si="11"/>
        <v>26</v>
      </c>
      <c r="E93" s="83"/>
      <c r="F93" s="69"/>
      <c r="G93" s="69"/>
      <c r="H93" s="69"/>
      <c r="I93" s="109">
        <f t="shared" si="9"/>
        <v>3553.7</v>
      </c>
    </row>
    <row r="94" spans="1:9" ht="15" customHeight="1">
      <c r="A94" s="80">
        <v>2024</v>
      </c>
      <c r="B94" s="81">
        <f t="shared" si="12"/>
        <v>3445</v>
      </c>
      <c r="C94" s="105">
        <f t="shared" si="8"/>
        <v>8.1446791834477583</v>
      </c>
      <c r="D94" s="67">
        <f t="shared" si="11"/>
        <v>27</v>
      </c>
      <c r="E94" s="69"/>
      <c r="F94" s="69"/>
      <c r="G94" s="69"/>
      <c r="H94" s="69"/>
      <c r="I94" s="109">
        <f t="shared" si="9"/>
        <v>3444.8</v>
      </c>
    </row>
    <row r="95" spans="1:9" ht="15" customHeight="1">
      <c r="A95" s="85">
        <v>2025</v>
      </c>
      <c r="B95" s="86">
        <f t="shared" si="12"/>
        <v>3339</v>
      </c>
      <c r="C95" s="124">
        <f t="shared" si="8"/>
        <v>8.1134266399436541</v>
      </c>
      <c r="D95" s="87">
        <f t="shared" si="11"/>
        <v>28</v>
      </c>
      <c r="E95" s="89"/>
      <c r="F95" s="89"/>
      <c r="G95" s="89"/>
      <c r="H95" s="89"/>
      <c r="I95" s="125">
        <f t="shared" si="9"/>
        <v>3339.3</v>
      </c>
    </row>
    <row r="96" spans="1:9" ht="15" customHeight="1">
      <c r="A96" s="56" t="s">
        <v>82</v>
      </c>
      <c r="B96" s="57"/>
    </row>
    <row r="97" spans="1:9" ht="15" customHeight="1">
      <c r="A97" s="58" t="s">
        <v>32</v>
      </c>
      <c r="B97" s="59" t="s">
        <v>40</v>
      </c>
      <c r="C97" s="59" t="s">
        <v>83</v>
      </c>
      <c r="D97" s="59" t="s">
        <v>33</v>
      </c>
      <c r="E97" s="59" t="s">
        <v>35</v>
      </c>
      <c r="F97" s="103"/>
      <c r="G97" s="60"/>
      <c r="H97" s="63" t="s">
        <v>261</v>
      </c>
      <c r="I97" s="64" t="e">
        <f>RSQ(I98:I108,B98:B108)</f>
        <v>#VALUE!</v>
      </c>
    </row>
    <row r="98" spans="1:9" ht="15" customHeight="1">
      <c r="A98" s="65">
        <v>1997</v>
      </c>
      <c r="B98" s="104">
        <f t="shared" ref="B98:B108" si="13">B5</f>
        <v>7979</v>
      </c>
      <c r="C98" s="126"/>
      <c r="D98" s="67">
        <v>0</v>
      </c>
      <c r="E98" s="67"/>
      <c r="F98" s="106"/>
      <c r="G98" s="53"/>
      <c r="H98" s="265"/>
      <c r="I98" s="276" t="e">
        <f>$B$98+$G$103*D98^$G$99</f>
        <v>#VALUE!</v>
      </c>
    </row>
    <row r="99" spans="1:9" ht="15" customHeight="1">
      <c r="A99" s="65" t="e">
        <f t="shared" ref="A99:A108" si="14">A6</f>
        <v>#REF!</v>
      </c>
      <c r="B99" s="104">
        <f t="shared" si="13"/>
        <v>7754</v>
      </c>
      <c r="C99" s="126" t="e">
        <f t="shared" ref="C99:C108" si="15">LN(-B$98+B99)</f>
        <v>#NUM!</v>
      </c>
      <c r="D99" s="67">
        <f>+D98+1</f>
        <v>1</v>
      </c>
      <c r="E99" s="67">
        <f t="shared" ref="E99:E108" si="16">LN(D99)</f>
        <v>0</v>
      </c>
      <c r="F99" s="106" t="s">
        <v>75</v>
      </c>
      <c r="G99" s="73" t="e">
        <f>INDEX(LINEST(C99:C108,E99:E108),1)</f>
        <v>#VALUE!</v>
      </c>
      <c r="H99" s="127"/>
      <c r="I99" s="128" t="e">
        <f t="shared" ref="I99:I126" si="17">$B$98+$G$103*D99^$G$99</f>
        <v>#VALUE!</v>
      </c>
    </row>
    <row r="100" spans="1:9" ht="15" customHeight="1">
      <c r="A100" s="65" t="e">
        <f t="shared" si="14"/>
        <v>#REF!</v>
      </c>
      <c r="B100" s="104">
        <f t="shared" si="13"/>
        <v>7491</v>
      </c>
      <c r="C100" s="126" t="e">
        <f t="shared" si="15"/>
        <v>#NUM!</v>
      </c>
      <c r="D100" s="67">
        <f t="shared" ref="D100:D126" si="18">D99+1</f>
        <v>2</v>
      </c>
      <c r="E100" s="67">
        <f t="shared" si="16"/>
        <v>0.69314718055994529</v>
      </c>
      <c r="F100" s="106" t="s">
        <v>76</v>
      </c>
      <c r="G100" s="73" t="e">
        <f>INDEX(LINEST(C99:C108,E99:E108),2)</f>
        <v>#VALUE!</v>
      </c>
      <c r="H100" s="129" t="s">
        <v>84</v>
      </c>
      <c r="I100" s="128" t="e">
        <f t="shared" si="17"/>
        <v>#VALUE!</v>
      </c>
    </row>
    <row r="101" spans="1:9" ht="15" customHeight="1">
      <c r="A101" s="65" t="e">
        <f t="shared" si="14"/>
        <v>#REF!</v>
      </c>
      <c r="B101" s="104">
        <f t="shared" si="13"/>
        <v>7200</v>
      </c>
      <c r="C101" s="126" t="e">
        <f t="shared" si="15"/>
        <v>#NUM!</v>
      </c>
      <c r="D101" s="67">
        <f t="shared" si="18"/>
        <v>3</v>
      </c>
      <c r="E101" s="67">
        <f t="shared" si="16"/>
        <v>1.0986122886681098</v>
      </c>
      <c r="F101" s="69"/>
      <c r="G101" s="130"/>
      <c r="H101" s="127"/>
      <c r="I101" s="128" t="e">
        <f t="shared" si="17"/>
        <v>#VALUE!</v>
      </c>
    </row>
    <row r="102" spans="1:9" ht="15" customHeight="1">
      <c r="A102" s="65" t="e">
        <f t="shared" si="14"/>
        <v>#REF!</v>
      </c>
      <c r="B102" s="104">
        <f t="shared" si="13"/>
        <v>7096</v>
      </c>
      <c r="C102" s="126" t="e">
        <f t="shared" si="15"/>
        <v>#NUM!</v>
      </c>
      <c r="D102" s="67">
        <f t="shared" si="18"/>
        <v>4</v>
      </c>
      <c r="E102" s="67">
        <f t="shared" si="16"/>
        <v>1.3862943611198906</v>
      </c>
      <c r="F102" s="106" t="s">
        <v>77</v>
      </c>
      <c r="G102" s="73" t="e">
        <f>I97</f>
        <v>#VALUE!</v>
      </c>
      <c r="H102" s="127"/>
      <c r="I102" s="128" t="e">
        <f t="shared" si="17"/>
        <v>#VALUE!</v>
      </c>
    </row>
    <row r="103" spans="1:9" ht="15" customHeight="1">
      <c r="A103" s="65" t="e">
        <f t="shared" si="14"/>
        <v>#REF!</v>
      </c>
      <c r="B103" s="104">
        <f t="shared" si="13"/>
        <v>6966</v>
      </c>
      <c r="C103" s="126" t="e">
        <f t="shared" si="15"/>
        <v>#NUM!</v>
      </c>
      <c r="D103" s="67">
        <f t="shared" si="18"/>
        <v>5</v>
      </c>
      <c r="E103" s="67">
        <f t="shared" si="16"/>
        <v>1.6094379124341003</v>
      </c>
      <c r="F103" s="106" t="s">
        <v>38</v>
      </c>
      <c r="G103" s="131" t="e">
        <f>EXP(G100)</f>
        <v>#VALUE!</v>
      </c>
      <c r="H103" s="127"/>
      <c r="I103" s="128" t="e">
        <f t="shared" si="17"/>
        <v>#VALUE!</v>
      </c>
    </row>
    <row r="104" spans="1:9" ht="15" customHeight="1">
      <c r="A104" s="65" t="e">
        <f t="shared" si="14"/>
        <v>#REF!</v>
      </c>
      <c r="B104" s="104">
        <f t="shared" si="13"/>
        <v>6795</v>
      </c>
      <c r="C104" s="126" t="e">
        <f t="shared" si="15"/>
        <v>#NUM!</v>
      </c>
      <c r="D104" s="67">
        <f t="shared" si="18"/>
        <v>6</v>
      </c>
      <c r="E104" s="67">
        <f t="shared" si="16"/>
        <v>1.791759469228055</v>
      </c>
      <c r="F104" s="106"/>
      <c r="G104" s="53"/>
      <c r="H104" s="127"/>
      <c r="I104" s="128" t="e">
        <f t="shared" si="17"/>
        <v>#VALUE!</v>
      </c>
    </row>
    <row r="105" spans="1:9" ht="15" customHeight="1">
      <c r="A105" s="65" t="e">
        <f t="shared" si="14"/>
        <v>#REF!</v>
      </c>
      <c r="B105" s="104">
        <f t="shared" si="13"/>
        <v>6582</v>
      </c>
      <c r="C105" s="126" t="e">
        <f t="shared" si="15"/>
        <v>#NUM!</v>
      </c>
      <c r="D105" s="67">
        <f t="shared" si="18"/>
        <v>7</v>
      </c>
      <c r="E105" s="67">
        <f t="shared" si="16"/>
        <v>1.9459101490553132</v>
      </c>
      <c r="F105" s="106"/>
      <c r="G105" s="53"/>
      <c r="H105" s="127"/>
      <c r="I105" s="128" t="e">
        <f t="shared" si="17"/>
        <v>#VALUE!</v>
      </c>
    </row>
    <row r="106" spans="1:9" ht="15" customHeight="1">
      <c r="A106" s="65" t="e">
        <f t="shared" si="14"/>
        <v>#REF!</v>
      </c>
      <c r="B106" s="104">
        <f t="shared" si="13"/>
        <v>6343</v>
      </c>
      <c r="C106" s="126" t="e">
        <f t="shared" si="15"/>
        <v>#NUM!</v>
      </c>
      <c r="D106" s="67">
        <f t="shared" si="18"/>
        <v>8</v>
      </c>
      <c r="E106" s="67">
        <f t="shared" si="16"/>
        <v>2.0794415416798357</v>
      </c>
      <c r="F106" s="132" t="s">
        <v>85</v>
      </c>
      <c r="G106" s="53"/>
      <c r="H106" s="127"/>
      <c r="I106" s="128" t="e">
        <f t="shared" si="17"/>
        <v>#VALUE!</v>
      </c>
    </row>
    <row r="107" spans="1:9" ht="15" customHeight="1">
      <c r="A107" s="65" t="e">
        <f t="shared" si="14"/>
        <v>#REF!</v>
      </c>
      <c r="B107" s="104">
        <f t="shared" si="13"/>
        <v>5994</v>
      </c>
      <c r="C107" s="126" t="e">
        <f t="shared" si="15"/>
        <v>#NUM!</v>
      </c>
      <c r="D107" s="67">
        <f t="shared" si="18"/>
        <v>9</v>
      </c>
      <c r="E107" s="67">
        <f t="shared" si="16"/>
        <v>2.1972245773362196</v>
      </c>
      <c r="F107" s="132" t="s">
        <v>86</v>
      </c>
      <c r="G107" s="53"/>
      <c r="H107" s="127"/>
      <c r="I107" s="128" t="e">
        <f t="shared" si="17"/>
        <v>#VALUE!</v>
      </c>
    </row>
    <row r="108" spans="1:9" s="100" customFormat="1" ht="15" customHeight="1" thickBot="1">
      <c r="A108" s="97" t="e">
        <f t="shared" si="14"/>
        <v>#REF!</v>
      </c>
      <c r="B108" s="116">
        <f t="shared" si="13"/>
        <v>5846</v>
      </c>
      <c r="C108" s="126" t="e">
        <f t="shared" si="15"/>
        <v>#NUM!</v>
      </c>
      <c r="D108" s="99">
        <f t="shared" si="18"/>
        <v>10</v>
      </c>
      <c r="E108" s="99">
        <f t="shared" si="16"/>
        <v>2.3025850929940459</v>
      </c>
      <c r="F108" s="182"/>
      <c r="G108" s="101"/>
      <c r="H108" s="143"/>
      <c r="I108" s="144" t="e">
        <f t="shared" si="17"/>
        <v>#VALUE!</v>
      </c>
    </row>
    <row r="109" spans="1:9" s="78" customFormat="1" ht="15" customHeight="1" thickTop="1">
      <c r="A109" s="80">
        <v>2008</v>
      </c>
      <c r="B109" s="81" t="e">
        <f>ROUND(LOOKUP(0,D$98:D$108,B$98:B$108)+G$103*D109^G$99,0)</f>
        <v>#VALUE!</v>
      </c>
      <c r="C109" s="257"/>
      <c r="D109" s="77">
        <f t="shared" si="18"/>
        <v>11</v>
      </c>
      <c r="E109" s="77"/>
      <c r="F109" s="266"/>
      <c r="G109" s="256"/>
      <c r="H109" s="258"/>
      <c r="I109" s="133" t="e">
        <f t="shared" si="17"/>
        <v>#VALUE!</v>
      </c>
    </row>
    <row r="110" spans="1:9" ht="15" customHeight="1">
      <c r="A110" s="80">
        <v>2009</v>
      </c>
      <c r="B110" s="81" t="e">
        <f t="shared" ref="B110:B126" si="19">ROUND(LOOKUP(0,D$98:D$108,B$98:B$108)+G$103*D110^G$99,0)</f>
        <v>#VALUE!</v>
      </c>
      <c r="C110" s="134"/>
      <c r="D110" s="67">
        <f t="shared" si="18"/>
        <v>12</v>
      </c>
      <c r="E110" s="67"/>
      <c r="F110" s="83"/>
      <c r="G110" s="69"/>
      <c r="H110" s="84"/>
      <c r="I110" s="128" t="e">
        <f t="shared" si="17"/>
        <v>#VALUE!</v>
      </c>
    </row>
    <row r="111" spans="1:9" ht="15" customHeight="1">
      <c r="A111" s="80">
        <v>2010</v>
      </c>
      <c r="B111" s="81" t="e">
        <f t="shared" si="19"/>
        <v>#VALUE!</v>
      </c>
      <c r="C111" s="134"/>
      <c r="D111" s="67">
        <f t="shared" si="18"/>
        <v>13</v>
      </c>
      <c r="E111" s="67"/>
      <c r="F111" s="83"/>
      <c r="G111" s="69"/>
      <c r="H111" s="84"/>
      <c r="I111" s="128" t="e">
        <f t="shared" si="17"/>
        <v>#VALUE!</v>
      </c>
    </row>
    <row r="112" spans="1:9" ht="15" customHeight="1">
      <c r="A112" s="80">
        <v>2011</v>
      </c>
      <c r="B112" s="81" t="e">
        <f t="shared" si="19"/>
        <v>#VALUE!</v>
      </c>
      <c r="C112" s="134"/>
      <c r="D112" s="67">
        <f t="shared" si="18"/>
        <v>14</v>
      </c>
      <c r="E112" s="67"/>
      <c r="F112" s="83"/>
      <c r="G112" s="69"/>
      <c r="H112" s="84"/>
      <c r="I112" s="128" t="e">
        <f t="shared" si="17"/>
        <v>#VALUE!</v>
      </c>
    </row>
    <row r="113" spans="1:9" ht="15" customHeight="1">
      <c r="A113" s="80">
        <v>2012</v>
      </c>
      <c r="B113" s="81" t="e">
        <f t="shared" si="19"/>
        <v>#VALUE!</v>
      </c>
      <c r="C113" s="134"/>
      <c r="D113" s="67">
        <f t="shared" si="18"/>
        <v>15</v>
      </c>
      <c r="E113" s="67"/>
      <c r="F113" s="83"/>
      <c r="G113" s="69"/>
      <c r="H113" s="84"/>
      <c r="I113" s="128" t="e">
        <f t="shared" si="17"/>
        <v>#VALUE!</v>
      </c>
    </row>
    <row r="114" spans="1:9" ht="15" customHeight="1">
      <c r="A114" s="80">
        <v>2013</v>
      </c>
      <c r="B114" s="81" t="e">
        <f t="shared" si="19"/>
        <v>#VALUE!</v>
      </c>
      <c r="C114" s="134"/>
      <c r="D114" s="67">
        <f t="shared" si="18"/>
        <v>16</v>
      </c>
      <c r="E114" s="67"/>
      <c r="F114" s="83"/>
      <c r="G114" s="69"/>
      <c r="H114" s="84"/>
      <c r="I114" s="128" t="e">
        <f t="shared" si="17"/>
        <v>#VALUE!</v>
      </c>
    </row>
    <row r="115" spans="1:9" ht="15" customHeight="1">
      <c r="A115" s="80">
        <v>2014</v>
      </c>
      <c r="B115" s="81" t="e">
        <f t="shared" si="19"/>
        <v>#VALUE!</v>
      </c>
      <c r="C115" s="134"/>
      <c r="D115" s="67">
        <f t="shared" si="18"/>
        <v>17</v>
      </c>
      <c r="E115" s="67"/>
      <c r="F115" s="83"/>
      <c r="G115" s="69"/>
      <c r="H115" s="84"/>
      <c r="I115" s="128" t="e">
        <f t="shared" si="17"/>
        <v>#VALUE!</v>
      </c>
    </row>
    <row r="116" spans="1:9" ht="15" customHeight="1">
      <c r="A116" s="80">
        <v>2015</v>
      </c>
      <c r="B116" s="81" t="e">
        <f t="shared" si="19"/>
        <v>#VALUE!</v>
      </c>
      <c r="C116" s="134"/>
      <c r="D116" s="67">
        <f t="shared" si="18"/>
        <v>18</v>
      </c>
      <c r="E116" s="67"/>
      <c r="F116" s="83"/>
      <c r="G116" s="69"/>
      <c r="H116" s="84"/>
      <c r="I116" s="128" t="e">
        <f t="shared" si="17"/>
        <v>#VALUE!</v>
      </c>
    </row>
    <row r="117" spans="1:9" ht="15" customHeight="1">
      <c r="A117" s="80">
        <v>2016</v>
      </c>
      <c r="B117" s="81" t="e">
        <f t="shared" si="19"/>
        <v>#VALUE!</v>
      </c>
      <c r="C117" s="134"/>
      <c r="D117" s="67">
        <f t="shared" si="18"/>
        <v>19</v>
      </c>
      <c r="E117" s="67"/>
      <c r="F117" s="83"/>
      <c r="G117" s="69"/>
      <c r="H117" s="84"/>
      <c r="I117" s="128" t="e">
        <f t="shared" si="17"/>
        <v>#VALUE!</v>
      </c>
    </row>
    <row r="118" spans="1:9" ht="15" customHeight="1">
      <c r="A118" s="80">
        <v>2017</v>
      </c>
      <c r="B118" s="81" t="e">
        <f t="shared" si="19"/>
        <v>#VALUE!</v>
      </c>
      <c r="C118" s="134"/>
      <c r="D118" s="67">
        <f t="shared" si="18"/>
        <v>20</v>
      </c>
      <c r="E118" s="67"/>
      <c r="F118" s="83"/>
      <c r="G118" s="69"/>
      <c r="H118" s="84"/>
      <c r="I118" s="128" t="e">
        <f t="shared" si="17"/>
        <v>#VALUE!</v>
      </c>
    </row>
    <row r="119" spans="1:9" ht="15" customHeight="1">
      <c r="A119" s="80">
        <v>2018</v>
      </c>
      <c r="B119" s="81" t="e">
        <f t="shared" si="19"/>
        <v>#VALUE!</v>
      </c>
      <c r="C119" s="134"/>
      <c r="D119" s="67">
        <f t="shared" si="18"/>
        <v>21</v>
      </c>
      <c r="E119" s="67"/>
      <c r="F119" s="83"/>
      <c r="G119" s="69"/>
      <c r="H119" s="84"/>
      <c r="I119" s="128" t="e">
        <f t="shared" si="17"/>
        <v>#VALUE!</v>
      </c>
    </row>
    <row r="120" spans="1:9" ht="15" customHeight="1">
      <c r="A120" s="80">
        <v>2019</v>
      </c>
      <c r="B120" s="81" t="e">
        <f t="shared" si="19"/>
        <v>#VALUE!</v>
      </c>
      <c r="C120" s="134"/>
      <c r="D120" s="67">
        <f t="shared" si="18"/>
        <v>22</v>
      </c>
      <c r="E120" s="67"/>
      <c r="F120" s="83"/>
      <c r="G120" s="69"/>
      <c r="H120" s="84"/>
      <c r="I120" s="128" t="e">
        <f t="shared" si="17"/>
        <v>#VALUE!</v>
      </c>
    </row>
    <row r="121" spans="1:9" ht="15" customHeight="1">
      <c r="A121" s="80">
        <v>2020</v>
      </c>
      <c r="B121" s="81" t="e">
        <f t="shared" si="19"/>
        <v>#VALUE!</v>
      </c>
      <c r="C121" s="134"/>
      <c r="D121" s="67">
        <f t="shared" si="18"/>
        <v>23</v>
      </c>
      <c r="E121" s="67"/>
      <c r="F121" s="83"/>
      <c r="G121" s="69"/>
      <c r="H121" s="84"/>
      <c r="I121" s="128" t="e">
        <f t="shared" si="17"/>
        <v>#VALUE!</v>
      </c>
    </row>
    <row r="122" spans="1:9" ht="15" customHeight="1">
      <c r="A122" s="80">
        <v>2021</v>
      </c>
      <c r="B122" s="81" t="e">
        <f t="shared" si="19"/>
        <v>#VALUE!</v>
      </c>
      <c r="C122" s="134"/>
      <c r="D122" s="67">
        <f t="shared" si="18"/>
        <v>24</v>
      </c>
      <c r="E122" s="67"/>
      <c r="F122" s="83"/>
      <c r="G122" s="69"/>
      <c r="H122" s="84"/>
      <c r="I122" s="128" t="e">
        <f t="shared" si="17"/>
        <v>#VALUE!</v>
      </c>
    </row>
    <row r="123" spans="1:9" ht="15" customHeight="1">
      <c r="A123" s="80">
        <v>2022</v>
      </c>
      <c r="B123" s="81" t="e">
        <f t="shared" si="19"/>
        <v>#VALUE!</v>
      </c>
      <c r="C123" s="134"/>
      <c r="D123" s="67">
        <f t="shared" si="18"/>
        <v>25</v>
      </c>
      <c r="E123" s="67"/>
      <c r="F123" s="83"/>
      <c r="G123" s="69"/>
      <c r="H123" s="84"/>
      <c r="I123" s="128" t="e">
        <f t="shared" si="17"/>
        <v>#VALUE!</v>
      </c>
    </row>
    <row r="124" spans="1:9" ht="15" customHeight="1">
      <c r="A124" s="80">
        <v>2023</v>
      </c>
      <c r="B124" s="81" t="e">
        <f t="shared" si="19"/>
        <v>#VALUE!</v>
      </c>
      <c r="C124" s="134"/>
      <c r="D124" s="67">
        <f t="shared" si="18"/>
        <v>26</v>
      </c>
      <c r="E124" s="67"/>
      <c r="F124" s="83"/>
      <c r="G124" s="69"/>
      <c r="H124" s="84"/>
      <c r="I124" s="128" t="e">
        <f t="shared" si="17"/>
        <v>#VALUE!</v>
      </c>
    </row>
    <row r="125" spans="1:9" ht="15" customHeight="1">
      <c r="A125" s="80">
        <v>2024</v>
      </c>
      <c r="B125" s="81" t="e">
        <f t="shared" si="19"/>
        <v>#VALUE!</v>
      </c>
      <c r="C125" s="135"/>
      <c r="D125" s="67">
        <f t="shared" si="18"/>
        <v>27</v>
      </c>
      <c r="E125" s="67"/>
      <c r="F125" s="69"/>
      <c r="G125" s="69"/>
      <c r="H125" s="69"/>
      <c r="I125" s="136" t="e">
        <f t="shared" si="17"/>
        <v>#VALUE!</v>
      </c>
    </row>
    <row r="126" spans="1:9" ht="15" customHeight="1">
      <c r="A126" s="85">
        <v>2025</v>
      </c>
      <c r="B126" s="86" t="e">
        <f t="shared" si="19"/>
        <v>#VALUE!</v>
      </c>
      <c r="C126" s="137"/>
      <c r="D126" s="87">
        <f t="shared" si="18"/>
        <v>28</v>
      </c>
      <c r="E126" s="87"/>
      <c r="F126" s="89"/>
      <c r="G126" s="89"/>
      <c r="H126" s="89"/>
      <c r="I126" s="138" t="e">
        <f t="shared" si="17"/>
        <v>#VALUE!</v>
      </c>
    </row>
    <row r="127" spans="1:9" ht="15" customHeight="1">
      <c r="A127" s="56" t="s">
        <v>87</v>
      </c>
      <c r="B127" s="57"/>
    </row>
    <row r="128" spans="1:9" ht="15" customHeight="1">
      <c r="A128" s="58" t="s">
        <v>32</v>
      </c>
      <c r="B128" s="59" t="s">
        <v>40</v>
      </c>
      <c r="C128" s="59" t="s">
        <v>36</v>
      </c>
      <c r="D128" s="59" t="s">
        <v>33</v>
      </c>
      <c r="E128" s="103"/>
      <c r="F128" s="60"/>
      <c r="G128" s="61"/>
      <c r="H128" s="63" t="s">
        <v>261</v>
      </c>
      <c r="I128" s="64">
        <f>RSQ(I129:I139,B129:B139)</f>
        <v>0.9888667464597759</v>
      </c>
    </row>
    <row r="129" spans="1:9" ht="15" customHeight="1">
      <c r="A129" s="65">
        <v>1997</v>
      </c>
      <c r="B129" s="104">
        <f t="shared" ref="B129:B139" si="20">+B5</f>
        <v>7979</v>
      </c>
      <c r="C129" s="126">
        <f t="shared" ref="C129:C139" si="21">LN(F$133/B129-1)</f>
        <v>0</v>
      </c>
      <c r="D129" s="67">
        <v>0</v>
      </c>
      <c r="E129" s="106"/>
      <c r="F129" s="53"/>
      <c r="G129" s="69"/>
      <c r="H129" s="265"/>
      <c r="I129" s="267">
        <f t="shared" ref="I129:I157" si="22">$F$133/(1+EXP($F$131+$F$130*D129))</f>
        <v>7954.6305491941748</v>
      </c>
    </row>
    <row r="130" spans="1:9" ht="15" customHeight="1">
      <c r="A130" s="65" t="e">
        <f t="shared" ref="A130:A139" si="23">A6</f>
        <v>#REF!</v>
      </c>
      <c r="B130" s="104">
        <f t="shared" si="20"/>
        <v>7754</v>
      </c>
      <c r="C130" s="126">
        <f t="shared" si="21"/>
        <v>5.6413000961396967E-2</v>
      </c>
      <c r="D130" s="67">
        <f>+D129+1</f>
        <v>1</v>
      </c>
      <c r="E130" s="106" t="s">
        <v>75</v>
      </c>
      <c r="F130" s="139">
        <f>INDEX(LINEST(C129:C139,D129:D139),1)</f>
        <v>5.2910450448725804E-2</v>
      </c>
      <c r="G130" s="140" t="s">
        <v>88</v>
      </c>
      <c r="H130" s="127"/>
      <c r="I130" s="128">
        <f t="shared" si="22"/>
        <v>7743.6125530403988</v>
      </c>
    </row>
    <row r="131" spans="1:9" ht="15" customHeight="1">
      <c r="A131" s="65" t="e">
        <f t="shared" si="23"/>
        <v>#REF!</v>
      </c>
      <c r="B131" s="104">
        <f t="shared" si="20"/>
        <v>7491</v>
      </c>
      <c r="C131" s="126">
        <f t="shared" si="21"/>
        <v>0.12247395469439448</v>
      </c>
      <c r="D131" s="67">
        <f t="shared" ref="D131:D157" si="24">D130+1</f>
        <v>2</v>
      </c>
      <c r="E131" s="106" t="s">
        <v>76</v>
      </c>
      <c r="F131" s="139">
        <f>INDEX(LINEST(C129:C139,D129:D139),2)</f>
        <v>6.1084162376350837E-3</v>
      </c>
      <c r="G131" s="69"/>
      <c r="H131" s="127"/>
      <c r="I131" s="128">
        <f t="shared" si="22"/>
        <v>7532.9236022312607</v>
      </c>
    </row>
    <row r="132" spans="1:9" ht="15" customHeight="1">
      <c r="A132" s="65" t="e">
        <f t="shared" si="23"/>
        <v>#REF!</v>
      </c>
      <c r="B132" s="104">
        <f t="shared" si="20"/>
        <v>7200</v>
      </c>
      <c r="C132" s="126">
        <f t="shared" si="21"/>
        <v>0.19588654235719705</v>
      </c>
      <c r="D132" s="67">
        <f t="shared" si="24"/>
        <v>3</v>
      </c>
      <c r="E132" s="106" t="s">
        <v>77</v>
      </c>
      <c r="F132" s="73">
        <f>I128</f>
        <v>0.9888667464597759</v>
      </c>
      <c r="G132" s="69"/>
      <c r="H132" s="127"/>
      <c r="I132" s="128">
        <f t="shared" si="22"/>
        <v>7322.8568098585547</v>
      </c>
    </row>
    <row r="133" spans="1:9" ht="15" customHeight="1">
      <c r="A133" s="65" t="e">
        <f t="shared" si="23"/>
        <v>#REF!</v>
      </c>
      <c r="B133" s="104">
        <f t="shared" si="20"/>
        <v>7096</v>
      </c>
      <c r="C133" s="126">
        <f t="shared" si="21"/>
        <v>0.22224122777001931</v>
      </c>
      <c r="D133" s="67">
        <f t="shared" si="24"/>
        <v>4</v>
      </c>
      <c r="E133" s="106" t="s">
        <v>39</v>
      </c>
      <c r="F133" s="110">
        <f>MAX(B129:B139)*2</f>
        <v>15958</v>
      </c>
      <c r="G133" s="69"/>
      <c r="H133" s="127"/>
      <c r="I133" s="128">
        <f t="shared" si="22"/>
        <v>7113.7018270751341</v>
      </c>
    </row>
    <row r="134" spans="1:9" ht="15" customHeight="1">
      <c r="A134" s="65" t="e">
        <f t="shared" si="23"/>
        <v>#REF!</v>
      </c>
      <c r="B134" s="104">
        <f t="shared" si="20"/>
        <v>6966</v>
      </c>
      <c r="C134" s="126">
        <f t="shared" si="21"/>
        <v>0.25529412120752581</v>
      </c>
      <c r="D134" s="67">
        <f t="shared" si="24"/>
        <v>5</v>
      </c>
      <c r="E134" s="106"/>
      <c r="F134" s="53"/>
      <c r="G134" s="69"/>
      <c r="H134" s="127"/>
      <c r="I134" s="128">
        <f t="shared" si="22"/>
        <v>6905.7432591076222</v>
      </c>
    </row>
    <row r="135" spans="1:9" ht="15" customHeight="1">
      <c r="A135" s="65" t="e">
        <f t="shared" si="23"/>
        <v>#REF!</v>
      </c>
      <c r="B135" s="104">
        <f t="shared" si="20"/>
        <v>6795</v>
      </c>
      <c r="C135" s="126">
        <f t="shared" si="21"/>
        <v>0.29898658837996911</v>
      </c>
      <c r="D135" s="67">
        <f t="shared" si="24"/>
        <v>6</v>
      </c>
      <c r="E135" s="106"/>
      <c r="F135" s="53"/>
      <c r="G135" s="69"/>
      <c r="H135" s="127"/>
      <c r="I135" s="128">
        <f t="shared" si="22"/>
        <v>6699.2591402995322</v>
      </c>
    </row>
    <row r="136" spans="1:9" ht="15" customHeight="1">
      <c r="A136" s="65" t="e">
        <f t="shared" si="23"/>
        <v>#REF!</v>
      </c>
      <c r="B136" s="104">
        <f t="shared" si="20"/>
        <v>6582</v>
      </c>
      <c r="C136" s="126">
        <f t="shared" si="21"/>
        <v>0.35381458231350854</v>
      </c>
      <c r="D136" s="67">
        <f t="shared" si="24"/>
        <v>7</v>
      </c>
      <c r="E136" s="132" t="s">
        <v>89</v>
      </c>
      <c r="F136" s="53"/>
      <c r="G136" s="69"/>
      <c r="H136" s="127"/>
      <c r="I136" s="128">
        <f t="shared" si="22"/>
        <v>6494.5194852347431</v>
      </c>
    </row>
    <row r="137" spans="1:9" ht="15" customHeight="1">
      <c r="A137" s="65" t="e">
        <f t="shared" si="23"/>
        <v>#REF!</v>
      </c>
      <c r="B137" s="104">
        <f t="shared" si="20"/>
        <v>6343</v>
      </c>
      <c r="C137" s="126">
        <f t="shared" si="21"/>
        <v>0.41597253638898302</v>
      </c>
      <c r="D137" s="67">
        <f t="shared" si="24"/>
        <v>8</v>
      </c>
      <c r="E137" s="132" t="s">
        <v>90</v>
      </c>
      <c r="F137" s="53"/>
      <c r="G137" s="69"/>
      <c r="H137" s="127"/>
      <c r="I137" s="128">
        <f t="shared" si="22"/>
        <v>6291.7849314923942</v>
      </c>
    </row>
    <row r="138" spans="1:9" ht="15" customHeight="1">
      <c r="A138" s="65" t="e">
        <f t="shared" si="23"/>
        <v>#REF!</v>
      </c>
      <c r="B138" s="104">
        <f t="shared" si="20"/>
        <v>5994</v>
      </c>
      <c r="C138" s="126">
        <f t="shared" si="21"/>
        <v>0.50821962850546254</v>
      </c>
      <c r="D138" s="67">
        <f t="shared" si="24"/>
        <v>9</v>
      </c>
      <c r="E138" s="132"/>
      <c r="F138" s="53"/>
      <c r="G138" s="69"/>
      <c r="H138" s="127"/>
      <c r="I138" s="128">
        <f t="shared" si="22"/>
        <v>6091.305487809951</v>
      </c>
    </row>
    <row r="139" spans="1:9" ht="15" customHeight="1" thickBot="1">
      <c r="A139" s="97" t="e">
        <f t="shared" si="23"/>
        <v>#REF!</v>
      </c>
      <c r="B139" s="116">
        <f t="shared" si="20"/>
        <v>5846</v>
      </c>
      <c r="C139" s="141">
        <f t="shared" si="21"/>
        <v>0.54796517071544748</v>
      </c>
      <c r="D139" s="99">
        <f t="shared" si="24"/>
        <v>10</v>
      </c>
      <c r="E139" s="182"/>
      <c r="F139" s="101"/>
      <c r="G139" s="100"/>
      <c r="H139" s="143"/>
      <c r="I139" s="144">
        <f t="shared" si="22"/>
        <v>5893.3193994327521</v>
      </c>
    </row>
    <row r="140" spans="1:9" ht="15" customHeight="1" thickTop="1">
      <c r="A140" s="80">
        <v>2008</v>
      </c>
      <c r="B140" s="81">
        <f t="shared" ref="B140:B157" si="25">ROUND(F$133/(1+EXP(F$131+F$130*D140)),0)</f>
        <v>5698</v>
      </c>
      <c r="C140" s="257"/>
      <c r="D140" s="77">
        <f t="shared" si="24"/>
        <v>11</v>
      </c>
      <c r="E140" s="266"/>
      <c r="F140" s="256"/>
      <c r="G140" s="78"/>
      <c r="H140" s="258"/>
      <c r="I140" s="133">
        <f t="shared" si="22"/>
        <v>5698.0521402628401</v>
      </c>
    </row>
    <row r="141" spans="1:9" ht="15" customHeight="1">
      <c r="A141" s="80">
        <v>2009</v>
      </c>
      <c r="B141" s="81">
        <f t="shared" si="25"/>
        <v>5506</v>
      </c>
      <c r="C141" s="134"/>
      <c r="D141" s="67">
        <f t="shared" si="24"/>
        <v>12</v>
      </c>
      <c r="E141" s="83"/>
      <c r="F141" s="69"/>
      <c r="G141" s="69"/>
      <c r="H141" s="84"/>
      <c r="I141" s="128">
        <f t="shared" si="22"/>
        <v>5505.7155391467677</v>
      </c>
    </row>
    <row r="142" spans="1:9" ht="15" customHeight="1">
      <c r="A142" s="80">
        <v>2010</v>
      </c>
      <c r="B142" s="81">
        <f t="shared" si="25"/>
        <v>5317</v>
      </c>
      <c r="C142" s="134"/>
      <c r="D142" s="67">
        <f t="shared" si="24"/>
        <v>13</v>
      </c>
      <c r="E142" s="83"/>
      <c r="F142" s="69"/>
      <c r="G142" s="69"/>
      <c r="H142" s="84"/>
      <c r="I142" s="128">
        <f t="shared" si="22"/>
        <v>5316.5070453214412</v>
      </c>
    </row>
    <row r="143" spans="1:9" ht="15" customHeight="1">
      <c r="A143" s="80">
        <v>2011</v>
      </c>
      <c r="B143" s="81">
        <f t="shared" si="25"/>
        <v>5131</v>
      </c>
      <c r="C143" s="134"/>
      <c r="D143" s="67">
        <f t="shared" si="24"/>
        <v>14</v>
      </c>
      <c r="E143" s="83"/>
      <c r="F143" s="69"/>
      <c r="G143" s="69"/>
      <c r="H143" s="84"/>
      <c r="I143" s="128">
        <f t="shared" si="22"/>
        <v>5130.6091357272489</v>
      </c>
    </row>
    <row r="144" spans="1:9" ht="15" customHeight="1">
      <c r="A144" s="80">
        <v>2012</v>
      </c>
      <c r="B144" s="81">
        <f t="shared" si="25"/>
        <v>4948</v>
      </c>
      <c r="C144" s="134"/>
      <c r="D144" s="67">
        <f t="shared" si="24"/>
        <v>15</v>
      </c>
      <c r="E144" s="83"/>
      <c r="F144" s="69"/>
      <c r="G144" s="69"/>
      <c r="H144" s="84"/>
      <c r="I144" s="128">
        <f t="shared" si="22"/>
        <v>4948.188864653599</v>
      </c>
    </row>
    <row r="145" spans="1:10" ht="15" customHeight="1">
      <c r="A145" s="80">
        <v>2013</v>
      </c>
      <c r="B145" s="81">
        <f t="shared" si="25"/>
        <v>4769</v>
      </c>
      <c r="C145" s="134"/>
      <c r="D145" s="67">
        <f t="shared" si="24"/>
        <v>16</v>
      </c>
      <c r="E145" s="83"/>
      <c r="F145" s="69"/>
      <c r="G145" s="69"/>
      <c r="H145" s="84"/>
      <c r="I145" s="128">
        <f t="shared" si="22"/>
        <v>4769.3975540530055</v>
      </c>
    </row>
    <row r="146" spans="1:10" ht="15" customHeight="1">
      <c r="A146" s="80">
        <v>2014</v>
      </c>
      <c r="B146" s="81">
        <f t="shared" si="25"/>
        <v>4594</v>
      </c>
      <c r="C146" s="134"/>
      <c r="D146" s="67">
        <f t="shared" si="24"/>
        <v>17</v>
      </c>
      <c r="E146" s="83"/>
      <c r="F146" s="69"/>
      <c r="G146" s="69"/>
      <c r="H146" s="84"/>
      <c r="I146" s="128">
        <f t="shared" si="22"/>
        <v>4594.3706208888671</v>
      </c>
    </row>
    <row r="147" spans="1:10" ht="15" customHeight="1">
      <c r="A147" s="80">
        <v>2015</v>
      </c>
      <c r="B147" s="81">
        <f t="shared" si="25"/>
        <v>4423</v>
      </c>
      <c r="C147" s="134"/>
      <c r="D147" s="67">
        <f t="shared" si="24"/>
        <v>18</v>
      </c>
      <c r="E147" s="83"/>
      <c r="F147" s="69"/>
      <c r="G147" s="69"/>
      <c r="H147" s="84"/>
      <c r="I147" s="128">
        <f t="shared" si="22"/>
        <v>4423.2275361044494</v>
      </c>
    </row>
    <row r="148" spans="1:10" ht="15" customHeight="1">
      <c r="A148" s="80">
        <v>2016</v>
      </c>
      <c r="B148" s="81">
        <f t="shared" si="25"/>
        <v>4256</v>
      </c>
      <c r="C148" s="134"/>
      <c r="D148" s="67">
        <f t="shared" si="24"/>
        <v>19</v>
      </c>
      <c r="E148" s="83"/>
      <c r="F148" s="69"/>
      <c r="G148" s="69"/>
      <c r="H148" s="84"/>
      <c r="I148" s="128">
        <f t="shared" si="22"/>
        <v>4256.0719082432597</v>
      </c>
    </row>
    <row r="149" spans="1:10" ht="15" customHeight="1">
      <c r="A149" s="80">
        <v>2017</v>
      </c>
      <c r="B149" s="81">
        <f t="shared" si="25"/>
        <v>4093</v>
      </c>
      <c r="C149" s="134"/>
      <c r="D149" s="67">
        <f t="shared" si="24"/>
        <v>20</v>
      </c>
      <c r="E149" s="83"/>
      <c r="F149" s="69"/>
      <c r="G149" s="69"/>
      <c r="H149" s="84"/>
      <c r="I149" s="128">
        <f t="shared" si="22"/>
        <v>4092.9916834328333</v>
      </c>
    </row>
    <row r="150" spans="1:10" ht="15" customHeight="1">
      <c r="A150" s="80">
        <v>2018</v>
      </c>
      <c r="B150" s="81">
        <f t="shared" si="25"/>
        <v>3934</v>
      </c>
      <c r="C150" s="134"/>
      <c r="D150" s="67">
        <f t="shared" si="24"/>
        <v>21</v>
      </c>
      <c r="E150" s="83"/>
      <c r="F150" s="69"/>
      <c r="G150" s="69"/>
      <c r="H150" s="84"/>
      <c r="I150" s="128">
        <f t="shared" si="22"/>
        <v>3934.0594523753084</v>
      </c>
    </row>
    <row r="151" spans="1:10" ht="15" customHeight="1">
      <c r="A151" s="80">
        <v>2019</v>
      </c>
      <c r="B151" s="81">
        <f t="shared" si="25"/>
        <v>3779</v>
      </c>
      <c r="C151" s="134"/>
      <c r="D151" s="67">
        <f t="shared" si="24"/>
        <v>22</v>
      </c>
      <c r="E151" s="83"/>
      <c r="F151" s="69"/>
      <c r="G151" s="69"/>
      <c r="H151" s="84"/>
      <c r="I151" s="128">
        <f t="shared" si="22"/>
        <v>3779.3328541717879</v>
      </c>
    </row>
    <row r="152" spans="1:10" ht="15" customHeight="1">
      <c r="A152" s="80">
        <v>2020</v>
      </c>
      <c r="B152" s="81">
        <f t="shared" si="25"/>
        <v>3629</v>
      </c>
      <c r="C152" s="134"/>
      <c r="D152" s="67">
        <f t="shared" si="24"/>
        <v>23</v>
      </c>
      <c r="E152" s="83"/>
      <c r="F152" s="69"/>
      <c r="G152" s="69"/>
      <c r="H152" s="84"/>
      <c r="I152" s="128">
        <f t="shared" si="22"/>
        <v>3628.8550662388989</v>
      </c>
    </row>
    <row r="153" spans="1:10" ht="15" customHeight="1">
      <c r="A153" s="80">
        <v>2021</v>
      </c>
      <c r="B153" s="81">
        <f t="shared" si="25"/>
        <v>3483</v>
      </c>
      <c r="C153" s="134"/>
      <c r="D153" s="67">
        <f t="shared" si="24"/>
        <v>24</v>
      </c>
      <c r="E153" s="83"/>
      <c r="F153" s="69"/>
      <c r="G153" s="69"/>
      <c r="H153" s="84"/>
      <c r="I153" s="128">
        <f t="shared" si="22"/>
        <v>3482.6553692446028</v>
      </c>
    </row>
    <row r="154" spans="1:10" ht="15" customHeight="1">
      <c r="A154" s="80">
        <v>2022</v>
      </c>
      <c r="B154" s="81">
        <f t="shared" si="25"/>
        <v>3341</v>
      </c>
      <c r="C154" s="134"/>
      <c r="D154" s="67">
        <f t="shared" si="24"/>
        <v>25</v>
      </c>
      <c r="E154" s="83"/>
      <c r="F154" s="69"/>
      <c r="G154" s="69"/>
      <c r="H154" s="84"/>
      <c r="I154" s="128">
        <f t="shared" si="22"/>
        <v>3340.7497758803866</v>
      </c>
    </row>
    <row r="155" spans="1:10" ht="15" customHeight="1">
      <c r="A155" s="80">
        <v>2023</v>
      </c>
      <c r="B155" s="81">
        <f t="shared" si="25"/>
        <v>3203</v>
      </c>
      <c r="C155" s="134"/>
      <c r="D155" s="67">
        <f t="shared" si="24"/>
        <v>26</v>
      </c>
      <c r="E155" s="83"/>
      <c r="F155" s="69"/>
      <c r="G155" s="69"/>
      <c r="H155" s="84"/>
      <c r="I155" s="128">
        <f t="shared" si="22"/>
        <v>3203.1417123785577</v>
      </c>
    </row>
    <row r="156" spans="1:10" ht="15" customHeight="1">
      <c r="A156" s="80">
        <v>2024</v>
      </c>
      <c r="B156" s="81">
        <f t="shared" si="25"/>
        <v>3070</v>
      </c>
      <c r="C156" s="135"/>
      <c r="D156" s="67">
        <f t="shared" si="24"/>
        <v>27</v>
      </c>
      <c r="E156" s="69"/>
      <c r="F156" s="69"/>
      <c r="G156" s="69"/>
      <c r="H156" s="69"/>
      <c r="I156" s="136">
        <f t="shared" si="22"/>
        <v>3069.8227419536629</v>
      </c>
    </row>
    <row r="157" spans="1:10" ht="15" customHeight="1">
      <c r="A157" s="85">
        <v>2025</v>
      </c>
      <c r="B157" s="86">
        <f t="shared" si="25"/>
        <v>2941</v>
      </c>
      <c r="C157" s="137"/>
      <c r="D157" s="87">
        <f t="shared" si="24"/>
        <v>28</v>
      </c>
      <c r="E157" s="89"/>
      <c r="F157" s="89"/>
      <c r="G157" s="89"/>
      <c r="H157" s="89"/>
      <c r="I157" s="138">
        <f t="shared" si="22"/>
        <v>2940.7733197712764</v>
      </c>
    </row>
    <row r="158" spans="1:10" ht="15" customHeight="1">
      <c r="A158" s="56" t="s">
        <v>262</v>
      </c>
      <c r="B158" s="57"/>
    </row>
    <row r="159" spans="1:10" ht="15" customHeight="1">
      <c r="A159" s="56"/>
      <c r="B159" s="57"/>
    </row>
    <row r="160" spans="1:10" ht="24">
      <c r="A160" s="145" t="s">
        <v>32</v>
      </c>
      <c r="B160" s="146" t="s">
        <v>91</v>
      </c>
      <c r="C160" s="147" t="s">
        <v>72</v>
      </c>
      <c r="D160" s="147" t="s">
        <v>92</v>
      </c>
      <c r="E160" s="147" t="s">
        <v>93</v>
      </c>
      <c r="F160" s="147" t="s">
        <v>94</v>
      </c>
      <c r="G160" s="147" t="s">
        <v>95</v>
      </c>
      <c r="H160" s="148" t="s">
        <v>96</v>
      </c>
      <c r="I160" s="149" t="s">
        <v>263</v>
      </c>
      <c r="J160" s="150" t="s">
        <v>264</v>
      </c>
    </row>
    <row r="161" spans="1:12" ht="20.100000000000001" customHeight="1">
      <c r="A161" s="65">
        <v>2008</v>
      </c>
      <c r="B161" s="151">
        <f t="shared" ref="B161:B178" si="26">B16</f>
        <v>5633</v>
      </c>
      <c r="C161" s="152">
        <f t="shared" ref="C161:C178" si="27">B47</f>
        <v>5676</v>
      </c>
      <c r="D161" s="152">
        <f t="shared" ref="D161:D178" si="28">B78</f>
        <v>5667</v>
      </c>
      <c r="E161" s="268"/>
      <c r="F161" s="152">
        <f t="shared" ref="F161:F178" si="29">B140</f>
        <v>5698</v>
      </c>
      <c r="G161" s="152">
        <f t="shared" ref="G161:G178" si="30">ROUND(AVERAGE(B161:F161),1)</f>
        <v>5668.5</v>
      </c>
      <c r="H161" s="152">
        <f t="shared" ref="H161:H178" si="31">ROUND((SUM(B161:F161)-MAX(B161:F161)-MIN(B161:F161))/(COUNT(B161:F161)-2),1)</f>
        <v>5671.5</v>
      </c>
      <c r="I161" s="153">
        <f t="shared" ref="I161:I178" si="32">ROUND(SUMIF(B$179:H$179,"○",B161:H161),0)</f>
        <v>5669</v>
      </c>
      <c r="J161" s="261"/>
    </row>
    <row r="162" spans="1:12" ht="20.100000000000001" customHeight="1">
      <c r="A162" s="80">
        <v>2009</v>
      </c>
      <c r="B162" s="151">
        <f t="shared" si="26"/>
        <v>5419</v>
      </c>
      <c r="C162" s="152">
        <f t="shared" si="27"/>
        <v>5470</v>
      </c>
      <c r="D162" s="152">
        <f t="shared" si="28"/>
        <v>5493</v>
      </c>
      <c r="E162" s="268"/>
      <c r="F162" s="152">
        <f t="shared" si="29"/>
        <v>5506</v>
      </c>
      <c r="G162" s="152">
        <f t="shared" si="30"/>
        <v>5472</v>
      </c>
      <c r="H162" s="152">
        <f t="shared" si="31"/>
        <v>5481.5</v>
      </c>
      <c r="I162" s="153">
        <f t="shared" si="32"/>
        <v>5472</v>
      </c>
      <c r="J162" s="154"/>
    </row>
    <row r="163" spans="1:12" ht="20.100000000000001" customHeight="1">
      <c r="A163" s="80">
        <v>2010</v>
      </c>
      <c r="B163" s="151">
        <f t="shared" si="26"/>
        <v>5206</v>
      </c>
      <c r="C163" s="152">
        <f t="shared" si="27"/>
        <v>5263</v>
      </c>
      <c r="D163" s="152">
        <f t="shared" si="28"/>
        <v>5325</v>
      </c>
      <c r="E163" s="268"/>
      <c r="F163" s="152">
        <f t="shared" si="29"/>
        <v>5317</v>
      </c>
      <c r="G163" s="152">
        <f t="shared" si="30"/>
        <v>5277.8</v>
      </c>
      <c r="H163" s="152">
        <f t="shared" si="31"/>
        <v>5290</v>
      </c>
      <c r="I163" s="153">
        <f t="shared" si="32"/>
        <v>5278</v>
      </c>
      <c r="J163" s="154"/>
    </row>
    <row r="164" spans="1:12" ht="20.100000000000001" customHeight="1">
      <c r="A164" s="80">
        <v>2011</v>
      </c>
      <c r="B164" s="151">
        <f t="shared" si="26"/>
        <v>4993</v>
      </c>
      <c r="C164" s="152">
        <f t="shared" si="27"/>
        <v>5057</v>
      </c>
      <c r="D164" s="152">
        <f t="shared" si="28"/>
        <v>5162</v>
      </c>
      <c r="E164" s="268"/>
      <c r="F164" s="152">
        <f t="shared" si="29"/>
        <v>5131</v>
      </c>
      <c r="G164" s="152">
        <f t="shared" si="30"/>
        <v>5085.8</v>
      </c>
      <c r="H164" s="152">
        <f t="shared" si="31"/>
        <v>5094</v>
      </c>
      <c r="I164" s="153">
        <f t="shared" si="32"/>
        <v>5086</v>
      </c>
      <c r="J164" s="154"/>
    </row>
    <row r="165" spans="1:12" ht="20.100000000000001" customHeight="1">
      <c r="A165" s="80">
        <v>2012</v>
      </c>
      <c r="B165" s="151">
        <f t="shared" si="26"/>
        <v>4780</v>
      </c>
      <c r="C165" s="152">
        <f t="shared" si="27"/>
        <v>4851</v>
      </c>
      <c r="D165" s="152">
        <f t="shared" si="28"/>
        <v>5004</v>
      </c>
      <c r="E165" s="268"/>
      <c r="F165" s="152">
        <f t="shared" si="29"/>
        <v>4948</v>
      </c>
      <c r="G165" s="152">
        <f t="shared" si="30"/>
        <v>4895.8</v>
      </c>
      <c r="H165" s="152">
        <f t="shared" si="31"/>
        <v>4899.5</v>
      </c>
      <c r="I165" s="153">
        <f t="shared" si="32"/>
        <v>4896</v>
      </c>
      <c r="J165" s="154"/>
    </row>
    <row r="166" spans="1:12" ht="20.100000000000001" customHeight="1">
      <c r="A166" s="80">
        <v>2013</v>
      </c>
      <c r="B166" s="151">
        <f t="shared" si="26"/>
        <v>4566</v>
      </c>
      <c r="C166" s="152">
        <f t="shared" si="27"/>
        <v>4645</v>
      </c>
      <c r="D166" s="152">
        <f t="shared" si="28"/>
        <v>4850</v>
      </c>
      <c r="E166" s="268"/>
      <c r="F166" s="152">
        <f t="shared" si="29"/>
        <v>4769</v>
      </c>
      <c r="G166" s="152">
        <f t="shared" si="30"/>
        <v>4707.5</v>
      </c>
      <c r="H166" s="152">
        <f t="shared" si="31"/>
        <v>4707</v>
      </c>
      <c r="I166" s="153">
        <f t="shared" si="32"/>
        <v>4708</v>
      </c>
      <c r="J166" s="154"/>
    </row>
    <row r="167" spans="1:12" ht="20.100000000000001" customHeight="1">
      <c r="A167" s="80">
        <v>2014</v>
      </c>
      <c r="B167" s="151">
        <f t="shared" si="26"/>
        <v>4353</v>
      </c>
      <c r="C167" s="152">
        <f t="shared" si="27"/>
        <v>4438</v>
      </c>
      <c r="D167" s="152">
        <f t="shared" si="28"/>
        <v>4702</v>
      </c>
      <c r="E167" s="268"/>
      <c r="F167" s="152">
        <f t="shared" si="29"/>
        <v>4594</v>
      </c>
      <c r="G167" s="152">
        <f t="shared" si="30"/>
        <v>4521.8</v>
      </c>
      <c r="H167" s="152">
        <f t="shared" si="31"/>
        <v>4516</v>
      </c>
      <c r="I167" s="153">
        <f t="shared" si="32"/>
        <v>4522</v>
      </c>
      <c r="J167" s="154"/>
    </row>
    <row r="168" spans="1:12" ht="20.100000000000001" customHeight="1">
      <c r="A168" s="80">
        <v>2015</v>
      </c>
      <c r="B168" s="151">
        <f t="shared" si="26"/>
        <v>4140</v>
      </c>
      <c r="C168" s="152">
        <f t="shared" si="27"/>
        <v>4232</v>
      </c>
      <c r="D168" s="152">
        <f t="shared" si="28"/>
        <v>4558</v>
      </c>
      <c r="E168" s="268"/>
      <c r="F168" s="152">
        <f t="shared" si="29"/>
        <v>4423</v>
      </c>
      <c r="G168" s="152">
        <f t="shared" si="30"/>
        <v>4338.3</v>
      </c>
      <c r="H168" s="152">
        <f t="shared" si="31"/>
        <v>4327.5</v>
      </c>
      <c r="I168" s="153">
        <f t="shared" si="32"/>
        <v>4338</v>
      </c>
      <c r="J168" s="154"/>
    </row>
    <row r="169" spans="1:12" ht="20.100000000000001" customHeight="1">
      <c r="A169" s="80">
        <v>2016</v>
      </c>
      <c r="B169" s="151">
        <f t="shared" si="26"/>
        <v>3926</v>
      </c>
      <c r="C169" s="152">
        <f t="shared" si="27"/>
        <v>4026</v>
      </c>
      <c r="D169" s="152">
        <f t="shared" si="28"/>
        <v>4418</v>
      </c>
      <c r="E169" s="268"/>
      <c r="F169" s="152">
        <f t="shared" si="29"/>
        <v>4256</v>
      </c>
      <c r="G169" s="152">
        <f t="shared" si="30"/>
        <v>4156.5</v>
      </c>
      <c r="H169" s="152">
        <f t="shared" si="31"/>
        <v>4141</v>
      </c>
      <c r="I169" s="153">
        <f t="shared" si="32"/>
        <v>4157</v>
      </c>
      <c r="J169" s="154"/>
    </row>
    <row r="170" spans="1:12" ht="20.100000000000001" customHeight="1">
      <c r="A170" s="80">
        <v>2017</v>
      </c>
      <c r="B170" s="151">
        <f t="shared" si="26"/>
        <v>3713</v>
      </c>
      <c r="C170" s="152">
        <f t="shared" si="27"/>
        <v>3820</v>
      </c>
      <c r="D170" s="152">
        <f t="shared" si="28"/>
        <v>4283</v>
      </c>
      <c r="E170" s="268"/>
      <c r="F170" s="152">
        <f t="shared" si="29"/>
        <v>4093</v>
      </c>
      <c r="G170" s="152">
        <f t="shared" si="30"/>
        <v>3977.3</v>
      </c>
      <c r="H170" s="152">
        <f t="shared" si="31"/>
        <v>3956.5</v>
      </c>
      <c r="I170" s="153">
        <f t="shared" si="32"/>
        <v>3977</v>
      </c>
      <c r="J170" s="154"/>
    </row>
    <row r="171" spans="1:12" ht="20.100000000000001" customHeight="1">
      <c r="A171" s="80">
        <v>2018</v>
      </c>
      <c r="B171" s="151">
        <f t="shared" si="26"/>
        <v>3500</v>
      </c>
      <c r="C171" s="152">
        <f t="shared" si="27"/>
        <v>3613</v>
      </c>
      <c r="D171" s="152">
        <f t="shared" si="28"/>
        <v>4152</v>
      </c>
      <c r="E171" s="268"/>
      <c r="F171" s="152">
        <f t="shared" si="29"/>
        <v>3934</v>
      </c>
      <c r="G171" s="152">
        <f t="shared" si="30"/>
        <v>3799.8</v>
      </c>
      <c r="H171" s="152">
        <f t="shared" si="31"/>
        <v>3773.5</v>
      </c>
      <c r="I171" s="153">
        <f t="shared" si="32"/>
        <v>3800</v>
      </c>
      <c r="J171" s="154"/>
    </row>
    <row r="172" spans="1:12" ht="20.100000000000001" customHeight="1">
      <c r="A172" s="80">
        <v>2019</v>
      </c>
      <c r="B172" s="151">
        <f t="shared" si="26"/>
        <v>3286</v>
      </c>
      <c r="C172" s="152">
        <f t="shared" si="27"/>
        <v>3407</v>
      </c>
      <c r="D172" s="152">
        <f t="shared" si="28"/>
        <v>4025</v>
      </c>
      <c r="E172" s="268"/>
      <c r="F172" s="152">
        <f t="shared" si="29"/>
        <v>3779</v>
      </c>
      <c r="G172" s="152">
        <f t="shared" si="30"/>
        <v>3624.3</v>
      </c>
      <c r="H172" s="152">
        <f t="shared" si="31"/>
        <v>3593</v>
      </c>
      <c r="I172" s="153">
        <f t="shared" si="32"/>
        <v>3624</v>
      </c>
      <c r="J172" s="154"/>
    </row>
    <row r="173" spans="1:12" ht="20.100000000000001" customHeight="1">
      <c r="A173" s="80">
        <v>2020</v>
      </c>
      <c r="B173" s="151">
        <f t="shared" si="26"/>
        <v>3073</v>
      </c>
      <c r="C173" s="152">
        <f t="shared" si="27"/>
        <v>3201</v>
      </c>
      <c r="D173" s="152">
        <f t="shared" si="28"/>
        <v>3901</v>
      </c>
      <c r="E173" s="268"/>
      <c r="F173" s="152">
        <f t="shared" si="29"/>
        <v>3629</v>
      </c>
      <c r="G173" s="152">
        <f t="shared" si="30"/>
        <v>3451</v>
      </c>
      <c r="H173" s="152">
        <f t="shared" si="31"/>
        <v>3415</v>
      </c>
      <c r="I173" s="153">
        <f t="shared" si="32"/>
        <v>3451</v>
      </c>
      <c r="J173" s="154"/>
    </row>
    <row r="174" spans="1:12" ht="20.100000000000001" customHeight="1">
      <c r="A174" s="80">
        <v>2021</v>
      </c>
      <c r="B174" s="151">
        <f t="shared" si="26"/>
        <v>2860</v>
      </c>
      <c r="C174" s="152">
        <f t="shared" si="27"/>
        <v>2995</v>
      </c>
      <c r="D174" s="152">
        <f t="shared" si="28"/>
        <v>3782</v>
      </c>
      <c r="E174" s="268"/>
      <c r="F174" s="152">
        <f t="shared" si="29"/>
        <v>3483</v>
      </c>
      <c r="G174" s="152">
        <f t="shared" si="30"/>
        <v>3280</v>
      </c>
      <c r="H174" s="152">
        <f t="shared" si="31"/>
        <v>3239</v>
      </c>
      <c r="I174" s="153">
        <f t="shared" si="32"/>
        <v>3280</v>
      </c>
      <c r="J174" s="154"/>
    </row>
    <row r="175" spans="1:12" ht="20.100000000000001" customHeight="1">
      <c r="A175" s="80">
        <v>2022</v>
      </c>
      <c r="B175" s="151">
        <f t="shared" si="26"/>
        <v>2647</v>
      </c>
      <c r="C175" s="152">
        <f t="shared" si="27"/>
        <v>2789</v>
      </c>
      <c r="D175" s="152">
        <f t="shared" si="28"/>
        <v>3666</v>
      </c>
      <c r="E175" s="268"/>
      <c r="F175" s="152">
        <f t="shared" si="29"/>
        <v>3341</v>
      </c>
      <c r="G175" s="152">
        <f t="shared" si="30"/>
        <v>3110.8</v>
      </c>
      <c r="H175" s="152">
        <f t="shared" si="31"/>
        <v>3065</v>
      </c>
      <c r="I175" s="153">
        <f t="shared" si="32"/>
        <v>3111</v>
      </c>
      <c r="J175" s="154"/>
    </row>
    <row r="176" spans="1:12" ht="20.100000000000001" customHeight="1">
      <c r="A176" s="80">
        <v>2023</v>
      </c>
      <c r="B176" s="151">
        <f t="shared" si="26"/>
        <v>2433</v>
      </c>
      <c r="C176" s="152">
        <f t="shared" si="27"/>
        <v>2582</v>
      </c>
      <c r="D176" s="152">
        <f t="shared" si="28"/>
        <v>3554</v>
      </c>
      <c r="E176" s="268"/>
      <c r="F176" s="152">
        <f t="shared" si="29"/>
        <v>3203</v>
      </c>
      <c r="G176" s="152">
        <f t="shared" si="30"/>
        <v>2943</v>
      </c>
      <c r="H176" s="152">
        <f t="shared" si="31"/>
        <v>2892.5</v>
      </c>
      <c r="I176" s="153">
        <f t="shared" si="32"/>
        <v>2943</v>
      </c>
      <c r="J176" s="154"/>
      <c r="L176" s="55">
        <v>806200</v>
      </c>
    </row>
    <row r="177" spans="1:41" ht="20.100000000000001" customHeight="1">
      <c r="A177" s="80">
        <v>2024</v>
      </c>
      <c r="B177" s="151">
        <f t="shared" si="26"/>
        <v>2220</v>
      </c>
      <c r="C177" s="152">
        <f t="shared" si="27"/>
        <v>2376</v>
      </c>
      <c r="D177" s="152">
        <f t="shared" si="28"/>
        <v>3445</v>
      </c>
      <c r="E177" s="268"/>
      <c r="F177" s="152">
        <f t="shared" si="29"/>
        <v>3070</v>
      </c>
      <c r="G177" s="152">
        <f t="shared" si="30"/>
        <v>2777.8</v>
      </c>
      <c r="H177" s="152">
        <f t="shared" si="31"/>
        <v>2723</v>
      </c>
      <c r="I177" s="153">
        <f t="shared" si="32"/>
        <v>2778</v>
      </c>
      <c r="J177" s="154"/>
      <c r="K177" s="55">
        <v>51000</v>
      </c>
      <c r="L177" s="75">
        <f>+K177+E177</f>
        <v>51000</v>
      </c>
      <c r="M177" s="75"/>
    </row>
    <row r="178" spans="1:41" ht="20.100000000000001" customHeight="1">
      <c r="A178" s="80">
        <v>2025</v>
      </c>
      <c r="B178" s="151">
        <f t="shared" si="26"/>
        <v>2007</v>
      </c>
      <c r="C178" s="152">
        <f t="shared" si="27"/>
        <v>2170</v>
      </c>
      <c r="D178" s="152">
        <f t="shared" si="28"/>
        <v>3339</v>
      </c>
      <c r="E178" s="268"/>
      <c r="F178" s="152">
        <f t="shared" si="29"/>
        <v>2941</v>
      </c>
      <c r="G178" s="152">
        <f t="shared" si="30"/>
        <v>2614.3000000000002</v>
      </c>
      <c r="H178" s="152">
        <f t="shared" si="31"/>
        <v>2555.5</v>
      </c>
      <c r="I178" s="153">
        <f t="shared" si="32"/>
        <v>2614</v>
      </c>
      <c r="J178" s="154"/>
      <c r="L178" s="75">
        <f>+L176-L177</f>
        <v>755200</v>
      </c>
      <c r="M178" s="75"/>
    </row>
    <row r="179" spans="1:41" ht="20.100000000000001" customHeight="1">
      <c r="A179" s="155" t="s">
        <v>97</v>
      </c>
      <c r="B179" s="156"/>
      <c r="C179" s="157"/>
      <c r="D179" s="157"/>
      <c r="E179" s="157"/>
      <c r="F179" s="156"/>
      <c r="G179" s="269" t="s">
        <v>265</v>
      </c>
      <c r="H179" s="157"/>
      <c r="I179" s="159"/>
      <c r="J179" s="160"/>
      <c r="K179" s="161"/>
      <c r="L179" s="162">
        <f>B129</f>
        <v>7979</v>
      </c>
      <c r="M179" s="162">
        <f>+B130</f>
        <v>7754</v>
      </c>
      <c r="N179" s="162">
        <f>B131</f>
        <v>7491</v>
      </c>
      <c r="O179" s="161">
        <f>B132</f>
        <v>7200</v>
      </c>
      <c r="P179" s="162">
        <f>B133</f>
        <v>7096</v>
      </c>
      <c r="Q179" s="161">
        <f>B134</f>
        <v>6966</v>
      </c>
      <c r="R179" s="162">
        <f>B135</f>
        <v>6795</v>
      </c>
      <c r="S179" s="162">
        <f>B136</f>
        <v>6582</v>
      </c>
      <c r="T179" s="162">
        <f>B137</f>
        <v>6343</v>
      </c>
      <c r="U179" s="162">
        <f>B138</f>
        <v>5994</v>
      </c>
      <c r="V179" s="162">
        <f>B139</f>
        <v>5846</v>
      </c>
      <c r="W179" s="162">
        <f>B16</f>
        <v>5633</v>
      </c>
      <c r="X179" s="162"/>
      <c r="Y179" s="161"/>
      <c r="Z179" s="161"/>
      <c r="AA179" s="161"/>
      <c r="AB179" s="161"/>
      <c r="AC179" s="161"/>
      <c r="AD179" s="161"/>
      <c r="AE179" s="161"/>
      <c r="AF179" s="161"/>
      <c r="AG179" s="161"/>
      <c r="AH179" s="161"/>
      <c r="AI179" s="161"/>
      <c r="AJ179" s="161"/>
      <c r="AK179" s="161"/>
      <c r="AL179" s="161"/>
      <c r="AM179" s="161"/>
      <c r="AN179" s="161"/>
    </row>
    <row r="180" spans="1:41" ht="20.100000000000001" hidden="1" customHeight="1">
      <c r="A180" s="85"/>
      <c r="B180" s="163"/>
      <c r="C180" s="164"/>
      <c r="D180" s="164"/>
      <c r="E180" s="164"/>
      <c r="F180" s="164"/>
      <c r="G180" s="164"/>
      <c r="H180" s="164"/>
      <c r="I180" s="165"/>
      <c r="J180" s="166"/>
      <c r="K180" s="161"/>
      <c r="L180" s="161"/>
      <c r="M180" s="161"/>
      <c r="N180" s="161"/>
      <c r="O180" s="161"/>
      <c r="P180" s="161"/>
      <c r="Q180" s="161"/>
      <c r="R180" s="161"/>
      <c r="S180" s="161"/>
      <c r="T180" s="161"/>
      <c r="U180" s="161"/>
      <c r="V180" s="161"/>
      <c r="W180" s="161"/>
      <c r="X180" s="161"/>
      <c r="Y180" s="161"/>
      <c r="Z180" s="161"/>
      <c r="AA180" s="161"/>
      <c r="AB180" s="161"/>
      <c r="AC180" s="161"/>
      <c r="AD180" s="161"/>
      <c r="AE180" s="161"/>
      <c r="AF180" s="161"/>
      <c r="AG180" s="161"/>
      <c r="AH180" s="161"/>
      <c r="AI180" s="161"/>
      <c r="AJ180" s="161"/>
      <c r="AK180" s="161"/>
      <c r="AL180" s="161"/>
      <c r="AM180" s="161"/>
      <c r="AN180" s="161"/>
    </row>
    <row r="181" spans="1:41" s="161" customFormat="1" ht="20.100000000000001" customHeight="1">
      <c r="A181" s="167" t="s">
        <v>98</v>
      </c>
      <c r="B181" s="168">
        <f>I4</f>
        <v>0.9896053543315082</v>
      </c>
      <c r="C181" s="169">
        <f>I35</f>
        <v>0.98960535433150776</v>
      </c>
      <c r="D181" s="169">
        <f>I66</f>
        <v>0.98609255986465272</v>
      </c>
      <c r="E181" s="169"/>
      <c r="F181" s="169">
        <f>I128</f>
        <v>0.9888667464597759</v>
      </c>
      <c r="G181" s="170"/>
      <c r="H181" s="171"/>
      <c r="I181" s="172"/>
      <c r="J181" s="173"/>
      <c r="K181" s="174">
        <f>MAX(B181:I181,F181)</f>
        <v>0.9896053543315082</v>
      </c>
      <c r="L181" s="161">
        <v>1997</v>
      </c>
      <c r="M181" s="161">
        <f>+L181+1</f>
        <v>1998</v>
      </c>
      <c r="N181" s="161">
        <f>+M181+1</f>
        <v>1999</v>
      </c>
      <c r="O181" s="161">
        <f t="shared" ref="O181:AO181" si="33">+N181+1</f>
        <v>2000</v>
      </c>
      <c r="P181" s="161">
        <f t="shared" si="33"/>
        <v>2001</v>
      </c>
      <c r="Q181" s="161">
        <f t="shared" si="33"/>
        <v>2002</v>
      </c>
      <c r="R181" s="161">
        <f t="shared" si="33"/>
        <v>2003</v>
      </c>
      <c r="S181" s="161">
        <f t="shared" si="33"/>
        <v>2004</v>
      </c>
      <c r="T181" s="161">
        <f t="shared" si="33"/>
        <v>2005</v>
      </c>
      <c r="U181" s="161">
        <f t="shared" si="33"/>
        <v>2006</v>
      </c>
      <c r="V181" s="161">
        <f t="shared" si="33"/>
        <v>2007</v>
      </c>
      <c r="W181" s="161">
        <f t="shared" si="33"/>
        <v>2008</v>
      </c>
      <c r="X181" s="161">
        <f t="shared" si="33"/>
        <v>2009</v>
      </c>
      <c r="Y181" s="161">
        <f t="shared" si="33"/>
        <v>2010</v>
      </c>
      <c r="Z181" s="161">
        <f t="shared" si="33"/>
        <v>2011</v>
      </c>
      <c r="AA181" s="161">
        <f t="shared" si="33"/>
        <v>2012</v>
      </c>
      <c r="AB181" s="161">
        <f t="shared" si="33"/>
        <v>2013</v>
      </c>
      <c r="AC181" s="161">
        <f t="shared" si="33"/>
        <v>2014</v>
      </c>
      <c r="AD181" s="161">
        <f t="shared" si="33"/>
        <v>2015</v>
      </c>
      <c r="AE181" s="161">
        <f t="shared" si="33"/>
        <v>2016</v>
      </c>
      <c r="AF181" s="161">
        <f t="shared" si="33"/>
        <v>2017</v>
      </c>
      <c r="AG181" s="161">
        <f t="shared" si="33"/>
        <v>2018</v>
      </c>
      <c r="AH181" s="161">
        <f t="shared" si="33"/>
        <v>2019</v>
      </c>
      <c r="AI181" s="161">
        <f t="shared" si="33"/>
        <v>2020</v>
      </c>
      <c r="AJ181" s="161">
        <f t="shared" si="33"/>
        <v>2021</v>
      </c>
      <c r="AK181" s="161">
        <f t="shared" si="33"/>
        <v>2022</v>
      </c>
      <c r="AL181" s="161">
        <f t="shared" si="33"/>
        <v>2023</v>
      </c>
      <c r="AM181" s="161">
        <f t="shared" si="33"/>
        <v>2024</v>
      </c>
      <c r="AN181" s="161">
        <f t="shared" si="33"/>
        <v>2025</v>
      </c>
      <c r="AO181" s="161">
        <f t="shared" si="33"/>
        <v>2026</v>
      </c>
    </row>
    <row r="182" spans="1:41" ht="20.100000000000001" customHeight="1">
      <c r="K182" s="161" t="s">
        <v>99</v>
      </c>
      <c r="L182" s="161"/>
      <c r="M182" s="161"/>
      <c r="N182" s="161"/>
      <c r="O182" s="161"/>
      <c r="P182" s="161"/>
      <c r="Q182" s="161"/>
      <c r="R182" s="161"/>
      <c r="S182" s="161"/>
      <c r="T182" s="161"/>
      <c r="U182" s="161"/>
      <c r="V182" s="162">
        <f>+V179</f>
        <v>5846</v>
      </c>
      <c r="W182" s="175">
        <f>+B16</f>
        <v>5633</v>
      </c>
      <c r="X182" s="162">
        <f>B17</f>
        <v>5419</v>
      </c>
      <c r="Y182" s="162">
        <f>B18</f>
        <v>5206</v>
      </c>
      <c r="Z182" s="162">
        <f>B19</f>
        <v>4993</v>
      </c>
      <c r="AA182" s="162">
        <f>B20</f>
        <v>4780</v>
      </c>
      <c r="AB182" s="162">
        <f>B21</f>
        <v>4566</v>
      </c>
      <c r="AC182" s="162">
        <f>B22</f>
        <v>4353</v>
      </c>
      <c r="AD182" s="162">
        <f>B23</f>
        <v>4140</v>
      </c>
      <c r="AE182" s="162">
        <f>B24</f>
        <v>3926</v>
      </c>
      <c r="AF182" s="162">
        <f>B25</f>
        <v>3713</v>
      </c>
      <c r="AG182" s="162">
        <f>B26</f>
        <v>3500</v>
      </c>
      <c r="AH182" s="162">
        <f>B27</f>
        <v>3286</v>
      </c>
      <c r="AI182" s="162">
        <f>B28</f>
        <v>3073</v>
      </c>
      <c r="AJ182" s="162">
        <f>B29</f>
        <v>2860</v>
      </c>
      <c r="AK182" s="162">
        <f>B30</f>
        <v>2647</v>
      </c>
      <c r="AL182" s="162">
        <f>B31</f>
        <v>2433</v>
      </c>
      <c r="AM182" s="162">
        <f>B32</f>
        <v>2220</v>
      </c>
      <c r="AN182" s="162">
        <f>B33</f>
        <v>2007</v>
      </c>
      <c r="AO182" s="161" t="s">
        <v>99</v>
      </c>
    </row>
    <row r="183" spans="1:41" ht="20.100000000000001" customHeight="1">
      <c r="K183" s="161" t="s">
        <v>100</v>
      </c>
      <c r="L183" s="161"/>
      <c r="M183" s="161"/>
      <c r="N183" s="161"/>
      <c r="O183" s="161"/>
      <c r="P183" s="161"/>
      <c r="Q183" s="161"/>
      <c r="R183" s="161"/>
      <c r="S183" s="161"/>
      <c r="T183" s="161"/>
      <c r="U183" s="161"/>
      <c r="V183" s="162">
        <f>+V182</f>
        <v>5846</v>
      </c>
      <c r="W183" s="175">
        <f>+B47</f>
        <v>5676</v>
      </c>
      <c r="X183" s="162">
        <f>B48</f>
        <v>5470</v>
      </c>
      <c r="Y183" s="162">
        <f>B49</f>
        <v>5263</v>
      </c>
      <c r="Z183" s="162">
        <f>B50</f>
        <v>5057</v>
      </c>
      <c r="AA183" s="162">
        <f>B51</f>
        <v>4851</v>
      </c>
      <c r="AB183" s="162">
        <f>B52</f>
        <v>4645</v>
      </c>
      <c r="AC183" s="162">
        <f>B53</f>
        <v>4438</v>
      </c>
      <c r="AD183" s="162">
        <f>B54</f>
        <v>4232</v>
      </c>
      <c r="AE183" s="162">
        <f>B55</f>
        <v>4026</v>
      </c>
      <c r="AF183" s="162">
        <f>B56</f>
        <v>3820</v>
      </c>
      <c r="AG183" s="162">
        <f>B57</f>
        <v>3613</v>
      </c>
      <c r="AH183" s="162">
        <f>B58</f>
        <v>3407</v>
      </c>
      <c r="AI183" s="162">
        <f>B59</f>
        <v>3201</v>
      </c>
      <c r="AJ183" s="162">
        <f>B60</f>
        <v>2995</v>
      </c>
      <c r="AK183" s="162">
        <f>B61</f>
        <v>2789</v>
      </c>
      <c r="AL183" s="162">
        <f>B62</f>
        <v>2582</v>
      </c>
      <c r="AM183" s="162">
        <f>B63</f>
        <v>2376</v>
      </c>
      <c r="AN183" s="162">
        <f>B64</f>
        <v>2170</v>
      </c>
      <c r="AO183" s="161" t="s">
        <v>100</v>
      </c>
    </row>
    <row r="184" spans="1:41" ht="20.100000000000001" customHeight="1">
      <c r="K184" s="161" t="s">
        <v>101</v>
      </c>
      <c r="L184" s="161"/>
      <c r="M184" s="161"/>
      <c r="N184" s="161"/>
      <c r="O184" s="161"/>
      <c r="P184" s="161"/>
      <c r="Q184" s="161"/>
      <c r="R184" s="161"/>
      <c r="S184" s="161"/>
      <c r="T184" s="161"/>
      <c r="U184" s="161"/>
      <c r="V184" s="162">
        <f>+V183</f>
        <v>5846</v>
      </c>
      <c r="W184" s="175">
        <f>+B78</f>
        <v>5667</v>
      </c>
      <c r="X184" s="162">
        <f>B79</f>
        <v>5493</v>
      </c>
      <c r="Y184" s="162">
        <f>B80</f>
        <v>5325</v>
      </c>
      <c r="Z184" s="162">
        <f>B81</f>
        <v>5162</v>
      </c>
      <c r="AA184" s="162">
        <f>B82</f>
        <v>5004</v>
      </c>
      <c r="AB184" s="162">
        <f>B83</f>
        <v>4850</v>
      </c>
      <c r="AC184" s="162">
        <f>B84</f>
        <v>4702</v>
      </c>
      <c r="AD184" s="162">
        <f>B85</f>
        <v>4558</v>
      </c>
      <c r="AE184" s="162">
        <f>B86</f>
        <v>4418</v>
      </c>
      <c r="AF184" s="162">
        <f>B87</f>
        <v>4283</v>
      </c>
      <c r="AG184" s="162">
        <f>B88</f>
        <v>4152</v>
      </c>
      <c r="AH184" s="162">
        <f>B89</f>
        <v>4025</v>
      </c>
      <c r="AI184" s="162">
        <f>B90</f>
        <v>3901</v>
      </c>
      <c r="AJ184" s="162">
        <f>B91</f>
        <v>3782</v>
      </c>
      <c r="AK184" s="162">
        <f>B92</f>
        <v>3666</v>
      </c>
      <c r="AL184" s="162">
        <f>B93</f>
        <v>3554</v>
      </c>
      <c r="AM184" s="162">
        <f>B94</f>
        <v>3445</v>
      </c>
      <c r="AN184" s="162">
        <f>B95</f>
        <v>3339</v>
      </c>
      <c r="AO184" s="161" t="s">
        <v>101</v>
      </c>
    </row>
    <row r="185" spans="1:41" ht="20.100000000000001" customHeight="1">
      <c r="K185" s="161" t="s">
        <v>102</v>
      </c>
      <c r="L185" s="161"/>
      <c r="M185" s="161"/>
      <c r="N185" s="161"/>
      <c r="O185" s="161"/>
      <c r="P185" s="161"/>
      <c r="Q185" s="161"/>
      <c r="R185" s="161"/>
      <c r="S185" s="161"/>
      <c r="T185" s="161"/>
      <c r="U185" s="161"/>
      <c r="V185" s="162">
        <f>+V184</f>
        <v>5846</v>
      </c>
      <c r="W185" s="175"/>
      <c r="X185" s="161"/>
      <c r="Y185" s="161"/>
      <c r="Z185" s="161"/>
      <c r="AA185" s="161"/>
      <c r="AB185" s="161"/>
      <c r="AC185" s="161"/>
      <c r="AD185" s="161"/>
      <c r="AE185" s="161"/>
      <c r="AF185" s="161"/>
      <c r="AG185" s="161"/>
      <c r="AH185" s="161"/>
      <c r="AI185" s="161"/>
      <c r="AJ185" s="161"/>
      <c r="AK185" s="161"/>
      <c r="AL185" s="161"/>
      <c r="AM185" s="161"/>
      <c r="AN185" s="161"/>
      <c r="AO185" s="161" t="s">
        <v>102</v>
      </c>
    </row>
    <row r="186" spans="1:41" ht="20.100000000000001" customHeight="1">
      <c r="K186" s="161" t="s">
        <v>103</v>
      </c>
      <c r="L186" s="161"/>
      <c r="M186" s="161"/>
      <c r="N186" s="161"/>
      <c r="O186" s="161"/>
      <c r="P186" s="161"/>
      <c r="Q186" s="161"/>
      <c r="R186" s="161"/>
      <c r="S186" s="161"/>
      <c r="T186" s="161"/>
      <c r="U186" s="161"/>
      <c r="V186" s="162">
        <f>+V185</f>
        <v>5846</v>
      </c>
      <c r="W186" s="175">
        <f>+B140</f>
        <v>5698</v>
      </c>
      <c r="X186" s="162">
        <f>B141</f>
        <v>5506</v>
      </c>
      <c r="Y186" s="162">
        <f>B142</f>
        <v>5317</v>
      </c>
      <c r="Z186" s="162">
        <f>B143</f>
        <v>5131</v>
      </c>
      <c r="AA186" s="162">
        <f>B144</f>
        <v>4948</v>
      </c>
      <c r="AB186" s="162">
        <f>B145</f>
        <v>4769</v>
      </c>
      <c r="AC186" s="162">
        <f>B146</f>
        <v>4594</v>
      </c>
      <c r="AD186" s="162">
        <f>B147</f>
        <v>4423</v>
      </c>
      <c r="AE186" s="162">
        <f>B148</f>
        <v>4256</v>
      </c>
      <c r="AF186" s="162">
        <f>B149</f>
        <v>4093</v>
      </c>
      <c r="AG186" s="162">
        <f>B150</f>
        <v>3934</v>
      </c>
      <c r="AH186" s="162">
        <f>B151</f>
        <v>3779</v>
      </c>
      <c r="AI186" s="162">
        <f>B152</f>
        <v>3629</v>
      </c>
      <c r="AJ186" s="162">
        <f>B153</f>
        <v>3483</v>
      </c>
      <c r="AK186" s="162">
        <f>B154</f>
        <v>3341</v>
      </c>
      <c r="AL186" s="162">
        <f>B155</f>
        <v>3203</v>
      </c>
      <c r="AM186" s="162">
        <f>B156</f>
        <v>3070</v>
      </c>
      <c r="AN186" s="162">
        <f>B157</f>
        <v>2941</v>
      </c>
      <c r="AO186" s="161" t="s">
        <v>103</v>
      </c>
    </row>
    <row r="187" spans="1:41" ht="20.100000000000001" customHeight="1">
      <c r="K187" s="161" t="s">
        <v>95</v>
      </c>
      <c r="L187" s="161"/>
      <c r="M187" s="161"/>
      <c r="N187" s="161"/>
      <c r="O187" s="161"/>
      <c r="P187" s="161"/>
      <c r="Q187" s="161"/>
      <c r="R187" s="161"/>
      <c r="S187" s="161"/>
      <c r="T187" s="161"/>
      <c r="U187" s="161"/>
      <c r="V187" s="162">
        <f>+V186</f>
        <v>5846</v>
      </c>
      <c r="W187" s="175">
        <f>+G161</f>
        <v>5668.5</v>
      </c>
      <c r="X187" s="206">
        <f>+G162</f>
        <v>5472</v>
      </c>
      <c r="Y187" s="206">
        <f>+G163</f>
        <v>5277.8</v>
      </c>
      <c r="Z187" s="206">
        <f>+F164</f>
        <v>5131</v>
      </c>
      <c r="AA187" s="206">
        <f>+F165</f>
        <v>4948</v>
      </c>
      <c r="AB187" s="206">
        <f>+F166</f>
        <v>4769</v>
      </c>
      <c r="AC187" s="206">
        <f>+F167</f>
        <v>4594</v>
      </c>
      <c r="AD187" s="206">
        <f>+F168</f>
        <v>4423</v>
      </c>
      <c r="AE187" s="206">
        <f>+F169</f>
        <v>4256</v>
      </c>
      <c r="AF187" s="206">
        <f>+F170</f>
        <v>4093</v>
      </c>
      <c r="AG187" s="206">
        <f>+F171</f>
        <v>3934</v>
      </c>
      <c r="AH187" s="206">
        <f>+F172</f>
        <v>3779</v>
      </c>
      <c r="AI187" s="206">
        <f>+F173</f>
        <v>3629</v>
      </c>
      <c r="AJ187" s="206">
        <f>+F174</f>
        <v>3483</v>
      </c>
      <c r="AK187" s="206">
        <f>+F175</f>
        <v>3341</v>
      </c>
      <c r="AL187" s="206">
        <f>+F176</f>
        <v>3203</v>
      </c>
      <c r="AM187" s="206">
        <f>+F177</f>
        <v>3070</v>
      </c>
      <c r="AN187" s="206">
        <f>+F178</f>
        <v>2941</v>
      </c>
      <c r="AO187" s="161" t="s">
        <v>95</v>
      </c>
    </row>
    <row r="188" spans="1:41" ht="20.100000000000001" customHeight="1"/>
    <row r="189" spans="1:41" ht="20.100000000000001" customHeight="1"/>
    <row r="190" spans="1:41" ht="20.100000000000001" customHeight="1"/>
    <row r="191" spans="1:41" ht="20.100000000000001" customHeight="1"/>
    <row r="192" spans="1:41" ht="20.100000000000001" customHeight="1"/>
    <row r="193" ht="20.100000000000001" customHeight="1"/>
    <row r="194" ht="20.100000000000001" customHeight="1"/>
    <row r="195" ht="20.100000000000001" customHeight="1"/>
    <row r="196" ht="20.100000000000001" customHeight="1"/>
    <row r="197" ht="20.100000000000001" customHeight="1"/>
    <row r="198" ht="20.100000000000001" customHeight="1"/>
    <row r="199" ht="20.100000000000001" customHeight="1"/>
    <row r="200" ht="20.100000000000001" customHeight="1"/>
    <row r="201" ht="20.100000000000001" customHeight="1"/>
    <row r="202" ht="20.100000000000001" customHeight="1"/>
    <row r="203" ht="20.100000000000001" customHeight="1"/>
    <row r="204" ht="20.100000000000001" customHeight="1"/>
  </sheetData>
  <phoneticPr fontId="50" type="noConversion"/>
  <pageMargins left="0.74803149606299213" right="0.74803149606299213" top="0.78740157480314965" bottom="0.78740157480314965" header="0.51181102362204722" footer="0.51181102362204722"/>
  <pageSetup paperSize="9" scale="70" fitToHeight="3" orientation="portrait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>
  <sheetPr codeName="Sheet45">
    <tabColor indexed="44"/>
  </sheetPr>
  <dimension ref="A1:AO179"/>
  <sheetViews>
    <sheetView workbookViewId="0"/>
  </sheetViews>
  <sheetFormatPr defaultRowHeight="15" customHeight="1"/>
  <cols>
    <col min="1" max="1" width="8.88671875" style="55"/>
    <col min="2" max="2" width="9.21875" style="55" customWidth="1"/>
    <col min="3" max="3" width="9.5546875" style="55" customWidth="1"/>
    <col min="4" max="4" width="9" style="55" customWidth="1"/>
    <col min="5" max="5" width="11.33203125" style="55" customWidth="1"/>
    <col min="6" max="6" width="9.44140625" style="55" customWidth="1"/>
    <col min="7" max="7" width="15.109375" style="55" bestFit="1" customWidth="1"/>
    <col min="8" max="8" width="12.88671875" style="55" bestFit="1" customWidth="1"/>
    <col min="9" max="9" width="11.5546875" style="55" bestFit="1" customWidth="1"/>
    <col min="10" max="16384" width="8.88671875" style="55"/>
  </cols>
  <sheetData>
    <row r="1" spans="1:12" ht="15" customHeight="1">
      <c r="A1" s="54" t="s">
        <v>304</v>
      </c>
    </row>
    <row r="2" spans="1:12" ht="15" customHeight="1">
      <c r="A2" s="54"/>
    </row>
    <row r="3" spans="1:12" ht="15" customHeight="1">
      <c r="A3" s="56" t="s">
        <v>74</v>
      </c>
      <c r="B3" s="57"/>
    </row>
    <row r="4" spans="1:12" ht="15" customHeight="1">
      <c r="A4" s="58" t="s">
        <v>32</v>
      </c>
      <c r="B4" s="59" t="s">
        <v>40</v>
      </c>
      <c r="C4" s="59" t="s">
        <v>33</v>
      </c>
      <c r="D4" s="60"/>
      <c r="E4" s="60"/>
      <c r="F4" s="61"/>
      <c r="G4" s="62"/>
      <c r="H4" s="63" t="s">
        <v>292</v>
      </c>
      <c r="I4" s="64">
        <f>RSQ(I6:I11,B6:B11)</f>
        <v>0.99129988288336113</v>
      </c>
    </row>
    <row r="5" spans="1:12" ht="15" customHeight="1">
      <c r="A5" s="176">
        <v>2002</v>
      </c>
      <c r="B5" s="183">
        <f>+발한동10!B10</f>
        <v>6966</v>
      </c>
      <c r="C5" s="177">
        <v>0</v>
      </c>
      <c r="D5" s="178"/>
      <c r="E5" s="178"/>
      <c r="F5" s="179"/>
      <c r="G5" s="262"/>
      <c r="H5" s="263"/>
      <c r="I5" s="70">
        <f t="shared" ref="I5:I28" si="0">$E$6*C5+$E$7</f>
        <v>6966</v>
      </c>
    </row>
    <row r="6" spans="1:12" ht="15" customHeight="1">
      <c r="A6" s="65">
        <v>2003</v>
      </c>
      <c r="B6" s="184">
        <f>+발한동10!B11</f>
        <v>6795</v>
      </c>
      <c r="C6" s="67">
        <f>+C5+1</f>
        <v>1</v>
      </c>
      <c r="D6" s="53" t="s">
        <v>75</v>
      </c>
      <c r="E6" s="68">
        <f>(B10-B5)/C10</f>
        <v>-224</v>
      </c>
      <c r="F6" s="69"/>
      <c r="G6" s="53"/>
      <c r="H6" s="69"/>
      <c r="I6" s="70">
        <f t="shared" si="0"/>
        <v>6742</v>
      </c>
      <c r="J6" s="71">
        <v>570570</v>
      </c>
      <c r="K6" s="55">
        <v>570570</v>
      </c>
      <c r="L6" s="55">
        <v>766</v>
      </c>
    </row>
    <row r="7" spans="1:12" ht="15" customHeight="1">
      <c r="A7" s="65">
        <v>2004</v>
      </c>
      <c r="B7" s="184">
        <f>+발한동10!B12</f>
        <v>6582</v>
      </c>
      <c r="C7" s="67">
        <f t="shared" ref="C7:C28" si="1">C6+1</f>
        <v>2</v>
      </c>
      <c r="D7" s="53" t="s">
        <v>76</v>
      </c>
      <c r="E7" s="72">
        <f>B5</f>
        <v>6966</v>
      </c>
      <c r="F7" s="69"/>
      <c r="G7" s="53"/>
      <c r="H7" s="69"/>
      <c r="I7" s="70">
        <f t="shared" si="0"/>
        <v>6518</v>
      </c>
      <c r="J7" s="71">
        <v>583230</v>
      </c>
      <c r="K7" s="55">
        <v>583230</v>
      </c>
      <c r="L7" s="55">
        <v>1094</v>
      </c>
    </row>
    <row r="8" spans="1:12" ht="15" customHeight="1">
      <c r="A8" s="65">
        <v>2005</v>
      </c>
      <c r="B8" s="184">
        <f>+발한동10!B13</f>
        <v>6343</v>
      </c>
      <c r="C8" s="67">
        <f t="shared" si="1"/>
        <v>3</v>
      </c>
      <c r="D8" s="53" t="s">
        <v>77</v>
      </c>
      <c r="E8" s="73">
        <f>I4</f>
        <v>0.99129988288336113</v>
      </c>
      <c r="F8" s="69"/>
      <c r="G8" s="53"/>
      <c r="H8" s="69"/>
      <c r="I8" s="70">
        <f t="shared" si="0"/>
        <v>6294</v>
      </c>
      <c r="J8" s="71">
        <v>590162</v>
      </c>
      <c r="K8" s="55">
        <v>590162</v>
      </c>
      <c r="L8" s="55">
        <v>1277</v>
      </c>
    </row>
    <row r="9" spans="1:12" ht="15" customHeight="1">
      <c r="A9" s="65">
        <v>2006</v>
      </c>
      <c r="B9" s="184">
        <f>+발한동10!B14</f>
        <v>5994</v>
      </c>
      <c r="C9" s="67">
        <f t="shared" si="1"/>
        <v>4</v>
      </c>
      <c r="D9" s="53"/>
      <c r="E9" s="53"/>
      <c r="F9" s="69"/>
      <c r="G9" s="53"/>
      <c r="H9" s="69"/>
      <c r="I9" s="70">
        <f t="shared" si="0"/>
        <v>6070</v>
      </c>
      <c r="J9" s="71">
        <v>600343</v>
      </c>
      <c r="K9" s="55">
        <v>600343</v>
      </c>
      <c r="L9" s="55">
        <v>1147</v>
      </c>
    </row>
    <row r="10" spans="1:12" ht="15" customHeight="1" thickBot="1">
      <c r="A10" s="97">
        <v>2007</v>
      </c>
      <c r="B10" s="185">
        <f>+발한동10!B15</f>
        <v>5846</v>
      </c>
      <c r="C10" s="99">
        <f t="shared" si="1"/>
        <v>5</v>
      </c>
      <c r="D10" s="101" t="s">
        <v>73</v>
      </c>
      <c r="E10" s="101"/>
      <c r="F10" s="100"/>
      <c r="G10" s="101"/>
      <c r="H10" s="100"/>
      <c r="I10" s="102">
        <f t="shared" si="0"/>
        <v>5846</v>
      </c>
      <c r="J10" s="71">
        <v>611921</v>
      </c>
      <c r="K10" s="55">
        <v>611921</v>
      </c>
      <c r="L10" s="55">
        <v>1355</v>
      </c>
    </row>
    <row r="11" spans="1:12" ht="15" customHeight="1" thickTop="1">
      <c r="A11" s="255">
        <v>2008</v>
      </c>
      <c r="B11" s="81">
        <f t="shared" ref="B11:B28" si="2">ROUND($E$6*C11+$E$7,0)</f>
        <v>5622</v>
      </c>
      <c r="C11" s="77">
        <f t="shared" si="1"/>
        <v>6</v>
      </c>
      <c r="D11" s="256"/>
      <c r="E11" s="256"/>
      <c r="F11" s="78"/>
      <c r="G11" s="256"/>
      <c r="H11" s="78"/>
      <c r="I11" s="79">
        <f t="shared" si="0"/>
        <v>5622</v>
      </c>
      <c r="J11" s="74">
        <v>622238</v>
      </c>
      <c r="K11" s="55">
        <v>622238</v>
      </c>
      <c r="L11" s="55">
        <v>1717</v>
      </c>
    </row>
    <row r="12" spans="1:12" ht="15" customHeight="1">
      <c r="A12" s="80">
        <v>2009</v>
      </c>
      <c r="B12" s="81">
        <f t="shared" si="2"/>
        <v>5398</v>
      </c>
      <c r="C12" s="67">
        <f t="shared" si="1"/>
        <v>7</v>
      </c>
      <c r="D12" s="69"/>
      <c r="E12" s="69"/>
      <c r="F12" s="69"/>
      <c r="G12" s="69"/>
      <c r="H12" s="69"/>
      <c r="I12" s="70">
        <f t="shared" si="0"/>
        <v>5398</v>
      </c>
    </row>
    <row r="13" spans="1:12" ht="15" customHeight="1">
      <c r="A13" s="186">
        <v>2010</v>
      </c>
      <c r="B13" s="187">
        <f t="shared" si="2"/>
        <v>5174</v>
      </c>
      <c r="C13" s="188">
        <f t="shared" si="1"/>
        <v>8</v>
      </c>
      <c r="D13" s="189"/>
      <c r="E13" s="189"/>
      <c r="F13" s="189"/>
      <c r="G13" s="189"/>
      <c r="H13" s="189"/>
      <c r="I13" s="190">
        <f t="shared" si="0"/>
        <v>5174</v>
      </c>
    </row>
    <row r="14" spans="1:12" ht="15" customHeight="1">
      <c r="A14" s="80">
        <v>2011</v>
      </c>
      <c r="B14" s="81">
        <f t="shared" si="2"/>
        <v>4950</v>
      </c>
      <c r="C14" s="82">
        <f t="shared" si="1"/>
        <v>9</v>
      </c>
      <c r="D14" s="69"/>
      <c r="E14" s="69"/>
      <c r="F14" s="69"/>
      <c r="G14" s="69"/>
      <c r="H14" s="69"/>
      <c r="I14" s="70">
        <f t="shared" si="0"/>
        <v>4950</v>
      </c>
    </row>
    <row r="15" spans="1:12" ht="15" customHeight="1">
      <c r="A15" s="80">
        <v>2012</v>
      </c>
      <c r="B15" s="81">
        <f t="shared" si="2"/>
        <v>4726</v>
      </c>
      <c r="C15" s="82">
        <f t="shared" si="1"/>
        <v>10</v>
      </c>
      <c r="D15" s="69"/>
      <c r="E15" s="69"/>
      <c r="F15" s="69"/>
      <c r="G15" s="69"/>
      <c r="H15" s="69"/>
      <c r="I15" s="70">
        <f t="shared" si="0"/>
        <v>4726</v>
      </c>
    </row>
    <row r="16" spans="1:12" ht="15" customHeight="1">
      <c r="A16" s="80">
        <v>2013</v>
      </c>
      <c r="B16" s="81">
        <f t="shared" si="2"/>
        <v>4502</v>
      </c>
      <c r="C16" s="82">
        <f t="shared" si="1"/>
        <v>11</v>
      </c>
      <c r="D16" s="69"/>
      <c r="E16" s="69"/>
      <c r="F16" s="69"/>
      <c r="G16" s="69"/>
      <c r="H16" s="69"/>
      <c r="I16" s="70">
        <f t="shared" si="0"/>
        <v>4502</v>
      </c>
    </row>
    <row r="17" spans="1:9" ht="15" customHeight="1">
      <c r="A17" s="80">
        <v>2014</v>
      </c>
      <c r="B17" s="81">
        <f t="shared" si="2"/>
        <v>4278</v>
      </c>
      <c r="C17" s="82">
        <f t="shared" si="1"/>
        <v>12</v>
      </c>
      <c r="D17" s="69"/>
      <c r="E17" s="69"/>
      <c r="F17" s="69"/>
      <c r="G17" s="69"/>
      <c r="H17" s="69"/>
      <c r="I17" s="70">
        <f t="shared" si="0"/>
        <v>4278</v>
      </c>
    </row>
    <row r="18" spans="1:9" ht="15" customHeight="1">
      <c r="A18" s="186">
        <v>2015</v>
      </c>
      <c r="B18" s="187">
        <f t="shared" si="2"/>
        <v>4054</v>
      </c>
      <c r="C18" s="188">
        <f t="shared" si="1"/>
        <v>13</v>
      </c>
      <c r="D18" s="189"/>
      <c r="E18" s="189"/>
      <c r="F18" s="189"/>
      <c r="G18" s="189"/>
      <c r="H18" s="189"/>
      <c r="I18" s="190">
        <f t="shared" si="0"/>
        <v>4054</v>
      </c>
    </row>
    <row r="19" spans="1:9" ht="15" customHeight="1">
      <c r="A19" s="80">
        <v>2016</v>
      </c>
      <c r="B19" s="81">
        <f t="shared" si="2"/>
        <v>3830</v>
      </c>
      <c r="C19" s="82">
        <f t="shared" si="1"/>
        <v>14</v>
      </c>
      <c r="D19" s="69"/>
      <c r="E19" s="69"/>
      <c r="F19" s="69"/>
      <c r="G19" s="69"/>
      <c r="H19" s="69"/>
      <c r="I19" s="70">
        <f t="shared" si="0"/>
        <v>3830</v>
      </c>
    </row>
    <row r="20" spans="1:9" ht="15" customHeight="1">
      <c r="A20" s="80">
        <v>2017</v>
      </c>
      <c r="B20" s="81">
        <f t="shared" si="2"/>
        <v>3606</v>
      </c>
      <c r="C20" s="82">
        <f t="shared" si="1"/>
        <v>15</v>
      </c>
      <c r="D20" s="69"/>
      <c r="E20" s="69"/>
      <c r="F20" s="69"/>
      <c r="G20" s="69"/>
      <c r="H20" s="69"/>
      <c r="I20" s="70">
        <f t="shared" si="0"/>
        <v>3606</v>
      </c>
    </row>
    <row r="21" spans="1:9" ht="15" customHeight="1">
      <c r="A21" s="80">
        <v>2018</v>
      </c>
      <c r="B21" s="81">
        <f t="shared" si="2"/>
        <v>3382</v>
      </c>
      <c r="C21" s="82">
        <f t="shared" si="1"/>
        <v>16</v>
      </c>
      <c r="D21" s="69"/>
      <c r="E21" s="69"/>
      <c r="F21" s="69"/>
      <c r="G21" s="69"/>
      <c r="H21" s="69"/>
      <c r="I21" s="70">
        <f t="shared" si="0"/>
        <v>3382</v>
      </c>
    </row>
    <row r="22" spans="1:9" ht="15" customHeight="1">
      <c r="A22" s="80">
        <v>2019</v>
      </c>
      <c r="B22" s="81">
        <f t="shared" si="2"/>
        <v>3158</v>
      </c>
      <c r="C22" s="82">
        <f t="shared" si="1"/>
        <v>17</v>
      </c>
      <c r="D22" s="69"/>
      <c r="E22" s="69"/>
      <c r="F22" s="69"/>
      <c r="G22" s="69"/>
      <c r="H22" s="69"/>
      <c r="I22" s="70">
        <f t="shared" si="0"/>
        <v>3158</v>
      </c>
    </row>
    <row r="23" spans="1:9" ht="15" customHeight="1">
      <c r="A23" s="186">
        <v>2020</v>
      </c>
      <c r="B23" s="187">
        <f t="shared" si="2"/>
        <v>2934</v>
      </c>
      <c r="C23" s="188">
        <f t="shared" si="1"/>
        <v>18</v>
      </c>
      <c r="D23" s="189"/>
      <c r="E23" s="189"/>
      <c r="F23" s="189"/>
      <c r="G23" s="189"/>
      <c r="H23" s="189"/>
      <c r="I23" s="190">
        <f t="shared" si="0"/>
        <v>2934</v>
      </c>
    </row>
    <row r="24" spans="1:9" ht="15" customHeight="1">
      <c r="A24" s="80">
        <v>2021</v>
      </c>
      <c r="B24" s="81">
        <f t="shared" si="2"/>
        <v>2710</v>
      </c>
      <c r="C24" s="82">
        <f t="shared" si="1"/>
        <v>19</v>
      </c>
      <c r="D24" s="69"/>
      <c r="E24" s="69"/>
      <c r="F24" s="69"/>
      <c r="G24" s="69"/>
      <c r="H24" s="69"/>
      <c r="I24" s="70">
        <f t="shared" si="0"/>
        <v>2710</v>
      </c>
    </row>
    <row r="25" spans="1:9" ht="15" customHeight="1">
      <c r="A25" s="80">
        <v>2022</v>
      </c>
      <c r="B25" s="81">
        <f t="shared" si="2"/>
        <v>2486</v>
      </c>
      <c r="C25" s="82">
        <f t="shared" si="1"/>
        <v>20</v>
      </c>
      <c r="D25" s="69"/>
      <c r="E25" s="69"/>
      <c r="F25" s="69"/>
      <c r="G25" s="69"/>
      <c r="H25" s="69"/>
      <c r="I25" s="70">
        <f t="shared" si="0"/>
        <v>2486</v>
      </c>
    </row>
    <row r="26" spans="1:9" ht="15" customHeight="1">
      <c r="A26" s="80">
        <v>2023</v>
      </c>
      <c r="B26" s="81">
        <f t="shared" si="2"/>
        <v>2262</v>
      </c>
      <c r="C26" s="82">
        <f t="shared" si="1"/>
        <v>21</v>
      </c>
      <c r="D26" s="69"/>
      <c r="E26" s="69"/>
      <c r="F26" s="69"/>
      <c r="G26" s="69"/>
      <c r="H26" s="69"/>
      <c r="I26" s="70">
        <f t="shared" si="0"/>
        <v>2262</v>
      </c>
    </row>
    <row r="27" spans="1:9" ht="15" customHeight="1">
      <c r="A27" s="80">
        <v>2024</v>
      </c>
      <c r="B27" s="81">
        <f t="shared" si="2"/>
        <v>2038</v>
      </c>
      <c r="C27" s="67">
        <f t="shared" si="1"/>
        <v>22</v>
      </c>
      <c r="D27" s="83"/>
      <c r="E27" s="69"/>
      <c r="F27" s="69"/>
      <c r="G27" s="69"/>
      <c r="H27" s="84"/>
      <c r="I27" s="70">
        <f t="shared" si="0"/>
        <v>2038</v>
      </c>
    </row>
    <row r="28" spans="1:9" ht="15" customHeight="1">
      <c r="A28" s="191">
        <v>2025</v>
      </c>
      <c r="B28" s="192">
        <f t="shared" si="2"/>
        <v>1814</v>
      </c>
      <c r="C28" s="193">
        <f t="shared" si="1"/>
        <v>23</v>
      </c>
      <c r="D28" s="194"/>
      <c r="E28" s="195"/>
      <c r="F28" s="195"/>
      <c r="G28" s="195"/>
      <c r="H28" s="196"/>
      <c r="I28" s="197">
        <f t="shared" si="0"/>
        <v>1814</v>
      </c>
    </row>
    <row r="29" spans="1:9" ht="15" customHeight="1">
      <c r="A29" s="56" t="s">
        <v>78</v>
      </c>
      <c r="B29" s="92"/>
      <c r="I29" s="89"/>
    </row>
    <row r="30" spans="1:9" ht="15" customHeight="1">
      <c r="A30" s="58" t="s">
        <v>32</v>
      </c>
      <c r="B30" s="59" t="s">
        <v>40</v>
      </c>
      <c r="C30" s="59" t="s">
        <v>33</v>
      </c>
      <c r="D30" s="60"/>
      <c r="E30" s="60"/>
      <c r="F30" s="61"/>
      <c r="G30" s="62"/>
      <c r="H30" s="63" t="s">
        <v>292</v>
      </c>
      <c r="I30" s="64">
        <f>RSQ(I32:I37,B32:B37)</f>
        <v>0.99252258585557551</v>
      </c>
    </row>
    <row r="31" spans="1:9" ht="15" customHeight="1">
      <c r="A31" s="65">
        <v>2002</v>
      </c>
      <c r="B31" s="93">
        <f t="shared" ref="B31:B36" si="3">B5</f>
        <v>6966</v>
      </c>
      <c r="C31" s="67">
        <v>0</v>
      </c>
      <c r="D31" s="53"/>
      <c r="E31" s="53"/>
      <c r="F31" s="69"/>
      <c r="G31" s="264"/>
      <c r="H31" s="265"/>
      <c r="I31" s="94">
        <f t="shared" ref="I31:I54" si="4">$E$32*C31+$E$33</f>
        <v>7009.7142857142853</v>
      </c>
    </row>
    <row r="32" spans="1:9" ht="15" customHeight="1">
      <c r="A32" s="65">
        <f t="shared" ref="A32:A37" si="5">A6</f>
        <v>2003</v>
      </c>
      <c r="B32" s="93">
        <f t="shared" si="3"/>
        <v>6795</v>
      </c>
      <c r="C32" s="67">
        <f>+C31+1</f>
        <v>1</v>
      </c>
      <c r="D32" s="53" t="s">
        <v>75</v>
      </c>
      <c r="E32" s="68">
        <f>INDEX(LINEST(B31:B36,C31:C36),1)</f>
        <v>-235.48571428571427</v>
      </c>
      <c r="F32" s="69"/>
      <c r="G32" s="53"/>
      <c r="H32" s="69"/>
      <c r="I32" s="70">
        <f t="shared" si="4"/>
        <v>6774.2285714285708</v>
      </c>
    </row>
    <row r="33" spans="1:9" ht="15" customHeight="1">
      <c r="A33" s="65">
        <f t="shared" si="5"/>
        <v>2004</v>
      </c>
      <c r="B33" s="93">
        <f t="shared" si="3"/>
        <v>6582</v>
      </c>
      <c r="C33" s="67">
        <f t="shared" ref="C33:C54" si="6">C32+1</f>
        <v>2</v>
      </c>
      <c r="D33" s="53" t="s">
        <v>76</v>
      </c>
      <c r="E33" s="72">
        <f>INDEX(LINEST(B31:B36,C31:C36),2)</f>
        <v>7009.7142857142853</v>
      </c>
      <c r="F33" s="69"/>
      <c r="G33" s="53"/>
      <c r="H33" s="69"/>
      <c r="I33" s="70">
        <f t="shared" si="4"/>
        <v>6538.7428571428572</v>
      </c>
    </row>
    <row r="34" spans="1:9" ht="15" customHeight="1">
      <c r="A34" s="65">
        <f t="shared" si="5"/>
        <v>2005</v>
      </c>
      <c r="B34" s="93">
        <f t="shared" si="3"/>
        <v>6343</v>
      </c>
      <c r="C34" s="67">
        <f t="shared" si="6"/>
        <v>3</v>
      </c>
      <c r="D34" s="53" t="s">
        <v>77</v>
      </c>
      <c r="E34" s="73">
        <f>I30</f>
        <v>0.99252258585557551</v>
      </c>
      <c r="F34" s="69"/>
      <c r="G34" s="53"/>
      <c r="H34" s="69"/>
      <c r="I34" s="70">
        <f t="shared" si="4"/>
        <v>6303.2571428571428</v>
      </c>
    </row>
    <row r="35" spans="1:9" ht="15" customHeight="1">
      <c r="A35" s="65">
        <f t="shared" si="5"/>
        <v>2006</v>
      </c>
      <c r="B35" s="93">
        <f t="shared" si="3"/>
        <v>5994</v>
      </c>
      <c r="C35" s="67">
        <f t="shared" si="6"/>
        <v>4</v>
      </c>
      <c r="D35" s="53"/>
      <c r="E35" s="53"/>
      <c r="F35" s="69"/>
      <c r="G35" s="53"/>
      <c r="H35" s="69"/>
      <c r="I35" s="70">
        <f t="shared" si="4"/>
        <v>6067.7714285714283</v>
      </c>
    </row>
    <row r="36" spans="1:9" ht="15" customHeight="1" thickBot="1">
      <c r="A36" s="97">
        <f t="shared" si="5"/>
        <v>2007</v>
      </c>
      <c r="B36" s="98">
        <f t="shared" si="3"/>
        <v>5846</v>
      </c>
      <c r="C36" s="99">
        <f t="shared" si="6"/>
        <v>5</v>
      </c>
      <c r="D36" s="101" t="s">
        <v>73</v>
      </c>
      <c r="E36" s="101"/>
      <c r="F36" s="100"/>
      <c r="G36" s="270"/>
      <c r="H36" s="100"/>
      <c r="I36" s="102">
        <f t="shared" si="4"/>
        <v>5832.2857142857138</v>
      </c>
    </row>
    <row r="37" spans="1:9" ht="15" customHeight="1" thickTop="1">
      <c r="A37" s="255">
        <f t="shared" si="5"/>
        <v>2008</v>
      </c>
      <c r="B37" s="81">
        <f t="shared" ref="B37:B54" si="7">ROUND(E$32*C37+E$33,0)</f>
        <v>5597</v>
      </c>
      <c r="C37" s="77">
        <f t="shared" si="6"/>
        <v>6</v>
      </c>
      <c r="D37" s="256"/>
      <c r="E37" s="256"/>
      <c r="F37" s="78"/>
      <c r="G37" s="256"/>
      <c r="H37" s="78"/>
      <c r="I37" s="79">
        <f t="shared" si="4"/>
        <v>5596.7999999999993</v>
      </c>
    </row>
    <row r="38" spans="1:9" ht="15" customHeight="1">
      <c r="A38" s="80">
        <v>2009</v>
      </c>
      <c r="B38" s="81">
        <f t="shared" si="7"/>
        <v>5361</v>
      </c>
      <c r="C38" s="67">
        <f t="shared" si="6"/>
        <v>7</v>
      </c>
      <c r="D38" s="69"/>
      <c r="E38" s="69"/>
      <c r="F38" s="69"/>
      <c r="G38" s="69"/>
      <c r="H38" s="69"/>
      <c r="I38" s="70">
        <f t="shared" si="4"/>
        <v>5361.3142857142857</v>
      </c>
    </row>
    <row r="39" spans="1:9" ht="15" customHeight="1">
      <c r="A39" s="186">
        <v>2010</v>
      </c>
      <c r="B39" s="187">
        <f t="shared" si="7"/>
        <v>5126</v>
      </c>
      <c r="C39" s="188">
        <f t="shared" si="6"/>
        <v>8</v>
      </c>
      <c r="D39" s="189"/>
      <c r="E39" s="189"/>
      <c r="F39" s="189"/>
      <c r="G39" s="189"/>
      <c r="H39" s="189"/>
      <c r="I39" s="190">
        <f t="shared" si="4"/>
        <v>5125.8285714285712</v>
      </c>
    </row>
    <row r="40" spans="1:9" ht="15" customHeight="1">
      <c r="A40" s="80">
        <v>2011</v>
      </c>
      <c r="B40" s="81">
        <f t="shared" si="7"/>
        <v>4890</v>
      </c>
      <c r="C40" s="82">
        <f t="shared" si="6"/>
        <v>9</v>
      </c>
      <c r="D40" s="69"/>
      <c r="E40" s="69"/>
      <c r="F40" s="69"/>
      <c r="G40" s="69"/>
      <c r="H40" s="69"/>
      <c r="I40" s="70">
        <f t="shared" si="4"/>
        <v>4890.3428571428567</v>
      </c>
    </row>
    <row r="41" spans="1:9" ht="15" customHeight="1">
      <c r="A41" s="80">
        <v>2012</v>
      </c>
      <c r="B41" s="81">
        <f t="shared" si="7"/>
        <v>4655</v>
      </c>
      <c r="C41" s="82">
        <f t="shared" si="6"/>
        <v>10</v>
      </c>
      <c r="D41" s="69"/>
      <c r="E41" s="69"/>
      <c r="F41" s="69"/>
      <c r="G41" s="69"/>
      <c r="H41" s="69"/>
      <c r="I41" s="70">
        <f t="shared" si="4"/>
        <v>4654.8571428571431</v>
      </c>
    </row>
    <row r="42" spans="1:9" ht="15" customHeight="1">
      <c r="A42" s="80">
        <v>2013</v>
      </c>
      <c r="B42" s="81">
        <f t="shared" si="7"/>
        <v>4419</v>
      </c>
      <c r="C42" s="82">
        <f t="shared" si="6"/>
        <v>11</v>
      </c>
      <c r="D42" s="69"/>
      <c r="E42" s="69"/>
      <c r="F42" s="69"/>
      <c r="G42" s="69"/>
      <c r="H42" s="69"/>
      <c r="I42" s="70">
        <f t="shared" si="4"/>
        <v>4419.3714285714286</v>
      </c>
    </row>
    <row r="43" spans="1:9" ht="15" customHeight="1">
      <c r="A43" s="80">
        <v>2014</v>
      </c>
      <c r="B43" s="81">
        <f t="shared" si="7"/>
        <v>4184</v>
      </c>
      <c r="C43" s="82">
        <f t="shared" si="6"/>
        <v>12</v>
      </c>
      <c r="D43" s="69"/>
      <c r="E43" s="69"/>
      <c r="F43" s="69"/>
      <c r="G43" s="69"/>
      <c r="H43" s="69"/>
      <c r="I43" s="70">
        <f t="shared" si="4"/>
        <v>4183.8857142857141</v>
      </c>
    </row>
    <row r="44" spans="1:9" ht="15" customHeight="1">
      <c r="A44" s="186">
        <v>2015</v>
      </c>
      <c r="B44" s="187">
        <f t="shared" si="7"/>
        <v>3948</v>
      </c>
      <c r="C44" s="188">
        <f t="shared" si="6"/>
        <v>13</v>
      </c>
      <c r="D44" s="189"/>
      <c r="E44" s="189"/>
      <c r="F44" s="189"/>
      <c r="G44" s="189"/>
      <c r="H44" s="189"/>
      <c r="I44" s="190">
        <f t="shared" si="4"/>
        <v>3948.3999999999996</v>
      </c>
    </row>
    <row r="45" spans="1:9" ht="15" customHeight="1">
      <c r="A45" s="80">
        <v>2016</v>
      </c>
      <c r="B45" s="81">
        <f t="shared" si="7"/>
        <v>3713</v>
      </c>
      <c r="C45" s="82">
        <f t="shared" si="6"/>
        <v>14</v>
      </c>
      <c r="D45" s="69"/>
      <c r="E45" s="69"/>
      <c r="F45" s="69"/>
      <c r="G45" s="69"/>
      <c r="H45" s="69"/>
      <c r="I45" s="70">
        <f t="shared" si="4"/>
        <v>3712.9142857142856</v>
      </c>
    </row>
    <row r="46" spans="1:9" ht="15" customHeight="1">
      <c r="A46" s="80">
        <v>2017</v>
      </c>
      <c r="B46" s="81">
        <f t="shared" si="7"/>
        <v>3477</v>
      </c>
      <c r="C46" s="82">
        <f t="shared" si="6"/>
        <v>15</v>
      </c>
      <c r="D46" s="69"/>
      <c r="E46" s="69"/>
      <c r="F46" s="69"/>
      <c r="G46" s="69"/>
      <c r="H46" s="69"/>
      <c r="I46" s="70">
        <f t="shared" si="4"/>
        <v>3477.4285714285716</v>
      </c>
    </row>
    <row r="47" spans="1:9" ht="15" customHeight="1">
      <c r="A47" s="80">
        <v>2018</v>
      </c>
      <c r="B47" s="81">
        <f t="shared" si="7"/>
        <v>3242</v>
      </c>
      <c r="C47" s="82">
        <f t="shared" si="6"/>
        <v>16</v>
      </c>
      <c r="D47" s="69"/>
      <c r="E47" s="69"/>
      <c r="F47" s="69"/>
      <c r="G47" s="69"/>
      <c r="H47" s="69"/>
      <c r="I47" s="70">
        <f t="shared" si="4"/>
        <v>3241.9428571428571</v>
      </c>
    </row>
    <row r="48" spans="1:9" ht="15" customHeight="1">
      <c r="A48" s="80">
        <v>2019</v>
      </c>
      <c r="B48" s="81">
        <f t="shared" si="7"/>
        <v>3006</v>
      </c>
      <c r="C48" s="82">
        <f t="shared" si="6"/>
        <v>17</v>
      </c>
      <c r="D48" s="69"/>
      <c r="E48" s="69"/>
      <c r="F48" s="69"/>
      <c r="G48" s="69"/>
      <c r="H48" s="69"/>
      <c r="I48" s="70">
        <f t="shared" si="4"/>
        <v>3006.4571428571426</v>
      </c>
    </row>
    <row r="49" spans="1:11" ht="15" customHeight="1">
      <c r="A49" s="186">
        <v>2020</v>
      </c>
      <c r="B49" s="187">
        <f t="shared" si="7"/>
        <v>2771</v>
      </c>
      <c r="C49" s="188">
        <f t="shared" si="6"/>
        <v>18</v>
      </c>
      <c r="D49" s="189"/>
      <c r="E49" s="189"/>
      <c r="F49" s="189"/>
      <c r="G49" s="189"/>
      <c r="H49" s="189"/>
      <c r="I49" s="190">
        <f t="shared" si="4"/>
        <v>2770.9714285714281</v>
      </c>
    </row>
    <row r="50" spans="1:11" ht="15" customHeight="1">
      <c r="A50" s="80">
        <v>2021</v>
      </c>
      <c r="B50" s="81">
        <f t="shared" si="7"/>
        <v>2535</v>
      </c>
      <c r="C50" s="82">
        <f t="shared" si="6"/>
        <v>19</v>
      </c>
      <c r="D50" s="69"/>
      <c r="E50" s="69"/>
      <c r="F50" s="69"/>
      <c r="G50" s="69"/>
      <c r="H50" s="69"/>
      <c r="I50" s="70">
        <f t="shared" si="4"/>
        <v>2535.4857142857145</v>
      </c>
    </row>
    <row r="51" spans="1:11" ht="15" customHeight="1">
      <c r="A51" s="80">
        <v>2022</v>
      </c>
      <c r="B51" s="81">
        <f t="shared" si="7"/>
        <v>2300</v>
      </c>
      <c r="C51" s="82">
        <f t="shared" si="6"/>
        <v>20</v>
      </c>
      <c r="D51" s="69"/>
      <c r="E51" s="69"/>
      <c r="F51" s="69"/>
      <c r="G51" s="69"/>
      <c r="H51" s="69"/>
      <c r="I51" s="70">
        <f t="shared" si="4"/>
        <v>2300</v>
      </c>
    </row>
    <row r="52" spans="1:11" ht="15" customHeight="1">
      <c r="A52" s="80">
        <v>2023</v>
      </c>
      <c r="B52" s="81">
        <f t="shared" si="7"/>
        <v>2065</v>
      </c>
      <c r="C52" s="82">
        <f t="shared" si="6"/>
        <v>21</v>
      </c>
      <c r="D52" s="69"/>
      <c r="E52" s="69"/>
      <c r="F52" s="69"/>
      <c r="G52" s="69"/>
      <c r="H52" s="69"/>
      <c r="I52" s="70">
        <f t="shared" si="4"/>
        <v>2064.5142857142855</v>
      </c>
    </row>
    <row r="53" spans="1:11" ht="15" customHeight="1">
      <c r="A53" s="80">
        <v>2024</v>
      </c>
      <c r="B53" s="81">
        <f t="shared" si="7"/>
        <v>1829</v>
      </c>
      <c r="C53" s="67">
        <f t="shared" si="6"/>
        <v>22</v>
      </c>
      <c r="D53" s="69"/>
      <c r="E53" s="69"/>
      <c r="F53" s="69"/>
      <c r="G53" s="69"/>
      <c r="H53" s="69"/>
      <c r="I53" s="70">
        <f t="shared" si="4"/>
        <v>1829.0285714285719</v>
      </c>
    </row>
    <row r="54" spans="1:11" ht="15" customHeight="1">
      <c r="A54" s="191">
        <v>2025</v>
      </c>
      <c r="B54" s="192">
        <f t="shared" si="7"/>
        <v>1594</v>
      </c>
      <c r="C54" s="193">
        <f t="shared" si="6"/>
        <v>23</v>
      </c>
      <c r="D54" s="195"/>
      <c r="E54" s="195"/>
      <c r="F54" s="195"/>
      <c r="G54" s="195"/>
      <c r="H54" s="195"/>
      <c r="I54" s="197">
        <f t="shared" si="4"/>
        <v>1593.5428571428574</v>
      </c>
    </row>
    <row r="55" spans="1:11" ht="15" customHeight="1">
      <c r="A55" s="56" t="s">
        <v>79</v>
      </c>
      <c r="B55" s="57"/>
    </row>
    <row r="56" spans="1:11" ht="15" customHeight="1">
      <c r="A56" s="58" t="s">
        <v>32</v>
      </c>
      <c r="B56" s="59" t="s">
        <v>40</v>
      </c>
      <c r="C56" s="59" t="s">
        <v>34</v>
      </c>
      <c r="D56" s="59" t="s">
        <v>33</v>
      </c>
      <c r="E56" s="103"/>
      <c r="F56" s="60"/>
      <c r="G56" s="61"/>
      <c r="H56" s="63" t="s">
        <v>292</v>
      </c>
      <c r="I56" s="64">
        <f>RSQ(I58:I63,B58:B63)</f>
        <v>0.99125351801939232</v>
      </c>
    </row>
    <row r="57" spans="1:11" ht="15" customHeight="1">
      <c r="A57" s="65">
        <v>2002</v>
      </c>
      <c r="B57" s="104">
        <f t="shared" ref="B57:B62" si="8">B5</f>
        <v>6966</v>
      </c>
      <c r="C57" s="105">
        <f t="shared" ref="C57:C80" si="9">LN(B57)</f>
        <v>8.8487964509259474</v>
      </c>
      <c r="D57" s="67">
        <v>0</v>
      </c>
      <c r="E57" s="106"/>
      <c r="F57" s="53"/>
      <c r="G57" s="69"/>
      <c r="H57" s="265"/>
      <c r="I57" s="109">
        <f t="shared" ref="I57:I80" si="10">ROUND($F$59*(1+$F$58)^(D57),1)</f>
        <v>6966</v>
      </c>
    </row>
    <row r="58" spans="1:11" ht="15" customHeight="1">
      <c r="A58" s="65">
        <f t="shared" ref="A58:A63" si="11">A6</f>
        <v>2003</v>
      </c>
      <c r="B58" s="104">
        <f t="shared" si="8"/>
        <v>6795</v>
      </c>
      <c r="C58" s="105">
        <f t="shared" si="9"/>
        <v>8.8239423265852448</v>
      </c>
      <c r="D58" s="67">
        <f>+D57+1</f>
        <v>1</v>
      </c>
      <c r="E58" s="106" t="s">
        <v>37</v>
      </c>
      <c r="F58" s="73">
        <f>ROUND((B62/B57)^(1/D62)-1,5)</f>
        <v>-3.4450000000000001E-2</v>
      </c>
      <c r="G58" s="107"/>
      <c r="H58" s="108"/>
      <c r="I58" s="109">
        <f t="shared" si="10"/>
        <v>6726</v>
      </c>
    </row>
    <row r="59" spans="1:11" ht="15" customHeight="1">
      <c r="A59" s="65">
        <f t="shared" si="11"/>
        <v>2004</v>
      </c>
      <c r="B59" s="104">
        <f t="shared" si="8"/>
        <v>6582</v>
      </c>
      <c r="C59" s="105">
        <f t="shared" si="9"/>
        <v>8.7920939295032845</v>
      </c>
      <c r="D59" s="67">
        <f t="shared" ref="D59:D80" si="12">D58+1</f>
        <v>2</v>
      </c>
      <c r="E59" s="106" t="s">
        <v>80</v>
      </c>
      <c r="F59" s="110">
        <f>B57</f>
        <v>6966</v>
      </c>
      <c r="G59" s="107"/>
      <c r="H59" s="108"/>
      <c r="I59" s="109">
        <f t="shared" si="10"/>
        <v>6494.3</v>
      </c>
      <c r="K59" s="111"/>
    </row>
    <row r="60" spans="1:11" ht="15" customHeight="1">
      <c r="A60" s="65">
        <f t="shared" si="11"/>
        <v>2005</v>
      </c>
      <c r="B60" s="104">
        <f t="shared" si="8"/>
        <v>6343</v>
      </c>
      <c r="C60" s="105">
        <f t="shared" si="9"/>
        <v>8.7551071216338965</v>
      </c>
      <c r="D60" s="67">
        <f t="shared" si="12"/>
        <v>3</v>
      </c>
      <c r="E60" s="106" t="s">
        <v>77</v>
      </c>
      <c r="F60" s="73">
        <f>I56</f>
        <v>0.99125351801939232</v>
      </c>
      <c r="G60" s="108"/>
      <c r="H60" s="108"/>
      <c r="I60" s="109">
        <f t="shared" si="10"/>
        <v>6270.6</v>
      </c>
    </row>
    <row r="61" spans="1:11" ht="15" customHeight="1">
      <c r="A61" s="65">
        <f t="shared" si="11"/>
        <v>2006</v>
      </c>
      <c r="B61" s="104">
        <f t="shared" si="8"/>
        <v>5994</v>
      </c>
      <c r="C61" s="105">
        <f t="shared" si="9"/>
        <v>8.6985142478766093</v>
      </c>
      <c r="D61" s="67">
        <f t="shared" si="12"/>
        <v>4</v>
      </c>
      <c r="E61" s="106"/>
      <c r="F61" s="73"/>
      <c r="G61" s="108"/>
      <c r="H61" s="108"/>
      <c r="I61" s="109">
        <f t="shared" si="10"/>
        <v>6054.6</v>
      </c>
    </row>
    <row r="62" spans="1:11" ht="15" customHeight="1" thickBot="1">
      <c r="A62" s="97">
        <f t="shared" si="11"/>
        <v>2007</v>
      </c>
      <c r="B62" s="116">
        <f t="shared" si="8"/>
        <v>5846</v>
      </c>
      <c r="C62" s="117">
        <f t="shared" si="9"/>
        <v>8.6735129456711917</v>
      </c>
      <c r="D62" s="99">
        <f t="shared" si="12"/>
        <v>5</v>
      </c>
      <c r="E62" s="205" t="s">
        <v>81</v>
      </c>
      <c r="F62" s="271"/>
      <c r="G62" s="118"/>
      <c r="H62" s="118"/>
      <c r="I62" s="120">
        <f t="shared" si="10"/>
        <v>5846</v>
      </c>
    </row>
    <row r="63" spans="1:11" ht="15" customHeight="1" thickTop="1">
      <c r="A63" s="255">
        <f t="shared" si="11"/>
        <v>2008</v>
      </c>
      <c r="B63" s="81">
        <f t="shared" ref="B63:B80" si="13">ROUND(F$59*(1+F$58)^D63,0)</f>
        <v>5645</v>
      </c>
      <c r="C63" s="121">
        <f t="shared" si="9"/>
        <v>8.6385254765837622</v>
      </c>
      <c r="D63" s="77">
        <f t="shared" si="12"/>
        <v>6</v>
      </c>
      <c r="E63" s="272"/>
      <c r="F63" s="273"/>
      <c r="G63" s="259"/>
      <c r="H63" s="259"/>
      <c r="I63" s="123">
        <f t="shared" si="10"/>
        <v>5644.6</v>
      </c>
    </row>
    <row r="64" spans="1:11" ht="15" customHeight="1">
      <c r="A64" s="80">
        <v>2009</v>
      </c>
      <c r="B64" s="81">
        <f t="shared" si="13"/>
        <v>5450</v>
      </c>
      <c r="C64" s="105">
        <f t="shared" si="9"/>
        <v>8.6033708876572899</v>
      </c>
      <c r="D64" s="67">
        <f t="shared" si="12"/>
        <v>7</v>
      </c>
      <c r="E64" s="83"/>
      <c r="F64" s="69"/>
      <c r="G64" s="69"/>
      <c r="H64" s="69"/>
      <c r="I64" s="109">
        <f t="shared" si="10"/>
        <v>5450.1</v>
      </c>
    </row>
    <row r="65" spans="1:9" ht="15" customHeight="1">
      <c r="A65" s="186">
        <v>2010</v>
      </c>
      <c r="B65" s="187">
        <f t="shared" si="13"/>
        <v>5262</v>
      </c>
      <c r="C65" s="198">
        <f t="shared" si="9"/>
        <v>8.5682664616002384</v>
      </c>
      <c r="D65" s="199">
        <f t="shared" si="12"/>
        <v>8</v>
      </c>
      <c r="E65" s="200"/>
      <c r="F65" s="189"/>
      <c r="G65" s="189"/>
      <c r="H65" s="189"/>
      <c r="I65" s="201">
        <f t="shared" si="10"/>
        <v>5262.4</v>
      </c>
    </row>
    <row r="66" spans="1:9" ht="15" customHeight="1">
      <c r="A66" s="80">
        <v>2011</v>
      </c>
      <c r="B66" s="81">
        <f t="shared" si="13"/>
        <v>5081</v>
      </c>
      <c r="C66" s="105">
        <f t="shared" si="9"/>
        <v>8.5332633715937316</v>
      </c>
      <c r="D66" s="67">
        <f t="shared" si="12"/>
        <v>9</v>
      </c>
      <c r="E66" s="83"/>
      <c r="F66" s="69"/>
      <c r="G66" s="69"/>
      <c r="H66" s="69"/>
      <c r="I66" s="109">
        <f t="shared" si="10"/>
        <v>5081.1000000000004</v>
      </c>
    </row>
    <row r="67" spans="1:9" ht="15" customHeight="1">
      <c r="A67" s="80">
        <v>2012</v>
      </c>
      <c r="B67" s="81">
        <f t="shared" si="13"/>
        <v>4906</v>
      </c>
      <c r="C67" s="105">
        <f t="shared" si="9"/>
        <v>8.4982142248184349</v>
      </c>
      <c r="D67" s="67">
        <f t="shared" si="12"/>
        <v>10</v>
      </c>
      <c r="E67" s="83"/>
      <c r="F67" s="69"/>
      <c r="G67" s="69"/>
      <c r="H67" s="69"/>
      <c r="I67" s="109">
        <f t="shared" si="10"/>
        <v>4906</v>
      </c>
    </row>
    <row r="68" spans="1:9" ht="15" customHeight="1">
      <c r="A68" s="80">
        <v>2013</v>
      </c>
      <c r="B68" s="81">
        <f t="shared" si="13"/>
        <v>4737</v>
      </c>
      <c r="C68" s="105">
        <f t="shared" si="9"/>
        <v>8.4631593029237511</v>
      </c>
      <c r="D68" s="67">
        <f t="shared" si="12"/>
        <v>11</v>
      </c>
      <c r="E68" s="83"/>
      <c r="F68" s="69"/>
      <c r="G68" s="69"/>
      <c r="H68" s="69"/>
      <c r="I68" s="109">
        <f t="shared" si="10"/>
        <v>4737</v>
      </c>
    </row>
    <row r="69" spans="1:9" ht="15" customHeight="1">
      <c r="A69" s="80">
        <v>2014</v>
      </c>
      <c r="B69" s="81">
        <f t="shared" si="13"/>
        <v>4574</v>
      </c>
      <c r="C69" s="105">
        <f t="shared" si="9"/>
        <v>8.4281433745827261</v>
      </c>
      <c r="D69" s="67">
        <f t="shared" si="12"/>
        <v>12</v>
      </c>
      <c r="E69" s="83"/>
      <c r="F69" s="69"/>
      <c r="G69" s="69"/>
      <c r="H69" s="69"/>
      <c r="I69" s="109">
        <f t="shared" si="10"/>
        <v>4573.8</v>
      </c>
    </row>
    <row r="70" spans="1:9" ht="15" customHeight="1">
      <c r="A70" s="186">
        <v>2015</v>
      </c>
      <c r="B70" s="187">
        <f t="shared" si="13"/>
        <v>4416</v>
      </c>
      <c r="C70" s="198">
        <f t="shared" si="9"/>
        <v>8.3929895879569312</v>
      </c>
      <c r="D70" s="199">
        <f t="shared" si="12"/>
        <v>13</v>
      </c>
      <c r="E70" s="200"/>
      <c r="F70" s="189"/>
      <c r="G70" s="189"/>
      <c r="H70" s="189"/>
      <c r="I70" s="201">
        <f t="shared" si="10"/>
        <v>4416.3</v>
      </c>
    </row>
    <row r="71" spans="1:9" ht="15" customHeight="1">
      <c r="A71" s="80">
        <v>2016</v>
      </c>
      <c r="B71" s="81">
        <f t="shared" si="13"/>
        <v>4264</v>
      </c>
      <c r="C71" s="105">
        <f t="shared" si="9"/>
        <v>8.3579629658456813</v>
      </c>
      <c r="D71" s="67">
        <f t="shared" si="12"/>
        <v>14</v>
      </c>
      <c r="E71" s="83"/>
      <c r="F71" s="69"/>
      <c r="G71" s="69"/>
      <c r="H71" s="69"/>
      <c r="I71" s="109">
        <f t="shared" si="10"/>
        <v>4264.1000000000004</v>
      </c>
    </row>
    <row r="72" spans="1:9" ht="15" customHeight="1">
      <c r="A72" s="80">
        <v>2017</v>
      </c>
      <c r="B72" s="81">
        <f t="shared" si="13"/>
        <v>4117</v>
      </c>
      <c r="C72" s="105">
        <f t="shared" si="9"/>
        <v>8.3228800217699046</v>
      </c>
      <c r="D72" s="67">
        <f t="shared" si="12"/>
        <v>15</v>
      </c>
      <c r="E72" s="83"/>
      <c r="F72" s="69"/>
      <c r="G72" s="69"/>
      <c r="H72" s="69"/>
      <c r="I72" s="109">
        <f t="shared" si="10"/>
        <v>4117.2</v>
      </c>
    </row>
    <row r="73" spans="1:9" ht="15" customHeight="1">
      <c r="A73" s="80">
        <v>2018</v>
      </c>
      <c r="B73" s="81">
        <f t="shared" si="13"/>
        <v>3975</v>
      </c>
      <c r="C73" s="105">
        <f t="shared" si="9"/>
        <v>8.2877800270884325</v>
      </c>
      <c r="D73" s="67">
        <f t="shared" si="12"/>
        <v>16</v>
      </c>
      <c r="E73" s="83"/>
      <c r="F73" s="69"/>
      <c r="G73" s="69"/>
      <c r="H73" s="69"/>
      <c r="I73" s="109">
        <f t="shared" si="10"/>
        <v>3975.4</v>
      </c>
    </row>
    <row r="74" spans="1:9" ht="15" customHeight="1">
      <c r="A74" s="80">
        <v>2019</v>
      </c>
      <c r="B74" s="81">
        <f t="shared" si="13"/>
        <v>3838</v>
      </c>
      <c r="C74" s="105">
        <f t="shared" si="9"/>
        <v>8.2527066765676445</v>
      </c>
      <c r="D74" s="67">
        <f t="shared" si="12"/>
        <v>17</v>
      </c>
      <c r="E74" s="83"/>
      <c r="F74" s="69"/>
      <c r="G74" s="69"/>
      <c r="H74" s="69"/>
      <c r="I74" s="109">
        <f t="shared" si="10"/>
        <v>3838.4</v>
      </c>
    </row>
    <row r="75" spans="1:9" ht="15" customHeight="1">
      <c r="A75" s="186">
        <v>2020</v>
      </c>
      <c r="B75" s="187">
        <f t="shared" si="13"/>
        <v>3706</v>
      </c>
      <c r="C75" s="198">
        <f t="shared" si="9"/>
        <v>8.2177084068453059</v>
      </c>
      <c r="D75" s="199">
        <f t="shared" si="12"/>
        <v>18</v>
      </c>
      <c r="E75" s="200"/>
      <c r="F75" s="189"/>
      <c r="G75" s="189"/>
      <c r="H75" s="189"/>
      <c r="I75" s="201">
        <f t="shared" si="10"/>
        <v>3706.2</v>
      </c>
    </row>
    <row r="76" spans="1:9" ht="15" customHeight="1">
      <c r="A76" s="80">
        <v>2021</v>
      </c>
      <c r="B76" s="81">
        <f t="shared" si="13"/>
        <v>3579</v>
      </c>
      <c r="C76" s="105">
        <f t="shared" si="9"/>
        <v>8.1828387107660259</v>
      </c>
      <c r="D76" s="67">
        <f t="shared" si="12"/>
        <v>19</v>
      </c>
      <c r="E76" s="83"/>
      <c r="F76" s="69"/>
      <c r="G76" s="69"/>
      <c r="H76" s="69"/>
      <c r="I76" s="109">
        <f t="shared" si="10"/>
        <v>3578.5</v>
      </c>
    </row>
    <row r="77" spans="1:9" ht="15" customHeight="1">
      <c r="A77" s="80">
        <v>2022</v>
      </c>
      <c r="B77" s="81">
        <f t="shared" si="13"/>
        <v>3455</v>
      </c>
      <c r="C77" s="105">
        <f t="shared" si="9"/>
        <v>8.1475777362017698</v>
      </c>
      <c r="D77" s="67">
        <f t="shared" si="12"/>
        <v>20</v>
      </c>
      <c r="E77" s="83"/>
      <c r="F77" s="69"/>
      <c r="G77" s="69"/>
      <c r="H77" s="69"/>
      <c r="I77" s="109">
        <f t="shared" si="10"/>
        <v>3455.2</v>
      </c>
    </row>
    <row r="78" spans="1:9" ht="15" customHeight="1">
      <c r="A78" s="80">
        <v>2023</v>
      </c>
      <c r="B78" s="81">
        <f t="shared" si="13"/>
        <v>3336</v>
      </c>
      <c r="C78" s="105">
        <f t="shared" si="9"/>
        <v>8.1125277634786368</v>
      </c>
      <c r="D78" s="67">
        <f t="shared" si="12"/>
        <v>21</v>
      </c>
      <c r="E78" s="83"/>
      <c r="F78" s="69"/>
      <c r="G78" s="69"/>
      <c r="H78" s="69"/>
      <c r="I78" s="109">
        <f t="shared" si="10"/>
        <v>3336.2</v>
      </c>
    </row>
    <row r="79" spans="1:9" ht="15" customHeight="1">
      <c r="A79" s="80">
        <v>2024</v>
      </c>
      <c r="B79" s="81">
        <f t="shared" si="13"/>
        <v>3221</v>
      </c>
      <c r="C79" s="105">
        <f t="shared" si="9"/>
        <v>8.0774471493311992</v>
      </c>
      <c r="D79" s="67">
        <f t="shared" si="12"/>
        <v>22</v>
      </c>
      <c r="E79" s="69"/>
      <c r="F79" s="69"/>
      <c r="G79" s="69"/>
      <c r="H79" s="69"/>
      <c r="I79" s="109">
        <f t="shared" si="10"/>
        <v>3221.3</v>
      </c>
    </row>
    <row r="80" spans="1:9" ht="15" customHeight="1">
      <c r="A80" s="191">
        <v>2025</v>
      </c>
      <c r="B80" s="192">
        <f t="shared" si="13"/>
        <v>3110</v>
      </c>
      <c r="C80" s="202">
        <f t="shared" si="9"/>
        <v>8.0423780051732798</v>
      </c>
      <c r="D80" s="193">
        <f t="shared" si="12"/>
        <v>23</v>
      </c>
      <c r="E80" s="195"/>
      <c r="F80" s="195"/>
      <c r="G80" s="195"/>
      <c r="H80" s="195"/>
      <c r="I80" s="203">
        <f t="shared" si="10"/>
        <v>3110.3</v>
      </c>
    </row>
    <row r="81" spans="1:9" ht="15" customHeight="1">
      <c r="A81" s="56" t="s">
        <v>82</v>
      </c>
      <c r="B81" s="57"/>
    </row>
    <row r="82" spans="1:9" ht="15" customHeight="1">
      <c r="A82" s="58" t="s">
        <v>32</v>
      </c>
      <c r="B82" s="59" t="s">
        <v>40</v>
      </c>
      <c r="C82" s="59" t="s">
        <v>83</v>
      </c>
      <c r="D82" s="59" t="s">
        <v>33</v>
      </c>
      <c r="E82" s="59" t="s">
        <v>35</v>
      </c>
      <c r="F82" s="103"/>
      <c r="G82" s="60"/>
      <c r="H82" s="63" t="s">
        <v>292</v>
      </c>
      <c r="I82" s="64" t="e">
        <f>RSQ(I83:I88,B83:B88)</f>
        <v>#VALUE!</v>
      </c>
    </row>
    <row r="83" spans="1:9" ht="15" customHeight="1">
      <c r="A83" s="65">
        <v>2002</v>
      </c>
      <c r="B83" s="104">
        <f t="shared" ref="B83:B88" si="14">B5</f>
        <v>6966</v>
      </c>
      <c r="C83" s="67"/>
      <c r="D83" s="67">
        <v>0</v>
      </c>
      <c r="E83" s="67"/>
      <c r="F83" s="106"/>
      <c r="G83" s="53"/>
      <c r="H83" s="265"/>
      <c r="I83" s="277" t="e">
        <f>$B$83+$G$88*D83^$G$84</f>
        <v>#VALUE!</v>
      </c>
    </row>
    <row r="84" spans="1:9" ht="15" customHeight="1">
      <c r="A84" s="65">
        <f t="shared" ref="A84:A89" si="15">A6</f>
        <v>2003</v>
      </c>
      <c r="B84" s="104">
        <f t="shared" si="14"/>
        <v>6795</v>
      </c>
      <c r="C84" s="126" t="e">
        <f>LN(-B$83+B84)</f>
        <v>#NUM!</v>
      </c>
      <c r="D84" s="67">
        <f>+D83+1</f>
        <v>1</v>
      </c>
      <c r="E84" s="67">
        <f>LN(D84)</f>
        <v>0</v>
      </c>
      <c r="F84" s="106" t="s">
        <v>75</v>
      </c>
      <c r="G84" s="73" t="e">
        <f>INDEX(LINEST(C84:C88,E84:E88),1)</f>
        <v>#VALUE!</v>
      </c>
      <c r="H84" s="127"/>
      <c r="I84" s="278" t="e">
        <f>$B$83+$G$88*D84^$G$84</f>
        <v>#VALUE!</v>
      </c>
    </row>
    <row r="85" spans="1:9" ht="15" customHeight="1">
      <c r="A85" s="65">
        <f t="shared" si="15"/>
        <v>2004</v>
      </c>
      <c r="B85" s="104">
        <f t="shared" si="14"/>
        <v>6582</v>
      </c>
      <c r="C85" s="126" t="e">
        <f>LN(-B$83+B85)</f>
        <v>#NUM!</v>
      </c>
      <c r="D85" s="67">
        <f t="shared" ref="D85:D106" si="16">D84+1</f>
        <v>2</v>
      </c>
      <c r="E85" s="67">
        <f>LN(D85)</f>
        <v>0.69314718055994529</v>
      </c>
      <c r="F85" s="106" t="s">
        <v>76</v>
      </c>
      <c r="G85" s="73" t="e">
        <f>INDEX(LINEST(C84:C88,E84:E88),2)</f>
        <v>#VALUE!</v>
      </c>
      <c r="H85" s="129" t="s">
        <v>293</v>
      </c>
      <c r="I85" s="128" t="e">
        <f t="shared" ref="I85:I106" si="17">$B$84+$G$88*D85^$G$84</f>
        <v>#VALUE!</v>
      </c>
    </row>
    <row r="86" spans="1:9" ht="15" customHeight="1">
      <c r="A86" s="65">
        <f t="shared" si="15"/>
        <v>2005</v>
      </c>
      <c r="B86" s="104">
        <f t="shared" si="14"/>
        <v>6343</v>
      </c>
      <c r="C86" s="126" t="e">
        <f>LN(-B$83+B86)</f>
        <v>#NUM!</v>
      </c>
      <c r="D86" s="67">
        <f t="shared" si="16"/>
        <v>3</v>
      </c>
      <c r="E86" s="67">
        <f>LN(D86)</f>
        <v>1.0986122886681098</v>
      </c>
      <c r="F86" s="69"/>
      <c r="G86" s="130"/>
      <c r="H86" s="127"/>
      <c r="I86" s="128" t="e">
        <f t="shared" si="17"/>
        <v>#VALUE!</v>
      </c>
    </row>
    <row r="87" spans="1:9" ht="15" customHeight="1">
      <c r="A87" s="65">
        <f t="shared" si="15"/>
        <v>2006</v>
      </c>
      <c r="B87" s="104">
        <f t="shared" si="14"/>
        <v>5994</v>
      </c>
      <c r="C87" s="126" t="e">
        <f>LN(-B$83+B87)</f>
        <v>#NUM!</v>
      </c>
      <c r="D87" s="67">
        <f t="shared" si="16"/>
        <v>4</v>
      </c>
      <c r="E87" s="67">
        <f>LN(D87)</f>
        <v>1.3862943611198906</v>
      </c>
      <c r="F87" s="106" t="s">
        <v>77</v>
      </c>
      <c r="G87" s="73" t="e">
        <f>I82</f>
        <v>#VALUE!</v>
      </c>
      <c r="H87" s="127"/>
      <c r="I87" s="128" t="e">
        <f t="shared" si="17"/>
        <v>#VALUE!</v>
      </c>
    </row>
    <row r="88" spans="1:9" ht="15" customHeight="1" thickBot="1">
      <c r="A88" s="97">
        <f t="shared" si="15"/>
        <v>2007</v>
      </c>
      <c r="B88" s="116">
        <f t="shared" si="14"/>
        <v>5846</v>
      </c>
      <c r="C88" s="141" t="e">
        <f>LN(-B$83+B88)</f>
        <v>#NUM!</v>
      </c>
      <c r="D88" s="99">
        <f t="shared" si="16"/>
        <v>5</v>
      </c>
      <c r="E88" s="99">
        <f>LN(D88)</f>
        <v>1.6094379124341003</v>
      </c>
      <c r="F88" s="205" t="s">
        <v>38</v>
      </c>
      <c r="G88" s="274" t="e">
        <f>EXP(G85)</f>
        <v>#VALUE!</v>
      </c>
      <c r="H88" s="143"/>
      <c r="I88" s="144" t="e">
        <f t="shared" si="17"/>
        <v>#VALUE!</v>
      </c>
    </row>
    <row r="89" spans="1:9" ht="15" customHeight="1" thickTop="1">
      <c r="A89" s="255">
        <f t="shared" si="15"/>
        <v>2008</v>
      </c>
      <c r="B89" s="81" t="e">
        <f t="shared" ref="B89:B106" si="18">ROUND(LOOKUP(0,D$83:D$88,B$83:B$88)+G$88*D89^G$84,0)</f>
        <v>#VALUE!</v>
      </c>
      <c r="C89" s="257"/>
      <c r="D89" s="77">
        <f t="shared" si="16"/>
        <v>6</v>
      </c>
      <c r="E89" s="77"/>
      <c r="F89" s="275"/>
      <c r="G89" s="256"/>
      <c r="H89" s="258"/>
      <c r="I89" s="133" t="e">
        <f t="shared" si="17"/>
        <v>#VALUE!</v>
      </c>
    </row>
    <row r="90" spans="1:9" ht="15" customHeight="1">
      <c r="A90" s="80">
        <v>2009</v>
      </c>
      <c r="B90" s="81" t="e">
        <f t="shared" si="18"/>
        <v>#VALUE!</v>
      </c>
      <c r="C90" s="126"/>
      <c r="D90" s="67">
        <f t="shared" si="16"/>
        <v>7</v>
      </c>
      <c r="E90" s="67"/>
      <c r="F90" s="83"/>
      <c r="G90" s="69"/>
      <c r="H90" s="84"/>
      <c r="I90" s="128" t="e">
        <f t="shared" si="17"/>
        <v>#VALUE!</v>
      </c>
    </row>
    <row r="91" spans="1:9" ht="15" customHeight="1">
      <c r="A91" s="80">
        <v>2010</v>
      </c>
      <c r="B91" s="81" t="e">
        <f t="shared" si="18"/>
        <v>#VALUE!</v>
      </c>
      <c r="C91" s="126"/>
      <c r="D91" s="67">
        <f t="shared" si="16"/>
        <v>8</v>
      </c>
      <c r="E91" s="67"/>
      <c r="F91" s="83"/>
      <c r="G91" s="69"/>
      <c r="H91" s="84"/>
      <c r="I91" s="128" t="e">
        <f t="shared" si="17"/>
        <v>#VALUE!</v>
      </c>
    </row>
    <row r="92" spans="1:9" ht="15" customHeight="1">
      <c r="A92" s="80">
        <v>2011</v>
      </c>
      <c r="B92" s="81" t="e">
        <f t="shared" si="18"/>
        <v>#VALUE!</v>
      </c>
      <c r="C92" s="126"/>
      <c r="D92" s="67">
        <f t="shared" si="16"/>
        <v>9</v>
      </c>
      <c r="E92" s="67"/>
      <c r="F92" s="83"/>
      <c r="G92" s="69"/>
      <c r="H92" s="84"/>
      <c r="I92" s="128" t="e">
        <f t="shared" si="17"/>
        <v>#VALUE!</v>
      </c>
    </row>
    <row r="93" spans="1:9" ht="15" customHeight="1">
      <c r="A93" s="80">
        <v>2012</v>
      </c>
      <c r="B93" s="81" t="e">
        <f t="shared" si="18"/>
        <v>#VALUE!</v>
      </c>
      <c r="C93" s="126"/>
      <c r="D93" s="67">
        <f t="shared" si="16"/>
        <v>10</v>
      </c>
      <c r="E93" s="67"/>
      <c r="F93" s="83"/>
      <c r="G93" s="69"/>
      <c r="H93" s="84"/>
      <c r="I93" s="128" t="e">
        <f t="shared" si="17"/>
        <v>#VALUE!</v>
      </c>
    </row>
    <row r="94" spans="1:9" ht="15" customHeight="1">
      <c r="A94" s="80">
        <v>2013</v>
      </c>
      <c r="B94" s="81" t="e">
        <f t="shared" si="18"/>
        <v>#VALUE!</v>
      </c>
      <c r="C94" s="126"/>
      <c r="D94" s="67">
        <f t="shared" si="16"/>
        <v>11</v>
      </c>
      <c r="E94" s="67"/>
      <c r="F94" s="83"/>
      <c r="G94" s="69"/>
      <c r="H94" s="84"/>
      <c r="I94" s="128" t="e">
        <f t="shared" si="17"/>
        <v>#VALUE!</v>
      </c>
    </row>
    <row r="95" spans="1:9" ht="15" customHeight="1">
      <c r="A95" s="80">
        <v>2014</v>
      </c>
      <c r="B95" s="81" t="e">
        <f t="shared" si="18"/>
        <v>#VALUE!</v>
      </c>
      <c r="C95" s="126"/>
      <c r="D95" s="67">
        <f t="shared" si="16"/>
        <v>12</v>
      </c>
      <c r="E95" s="67"/>
      <c r="F95" s="83"/>
      <c r="G95" s="69"/>
      <c r="H95" s="84"/>
      <c r="I95" s="128" t="e">
        <f t="shared" si="17"/>
        <v>#VALUE!</v>
      </c>
    </row>
    <row r="96" spans="1:9" ht="15" customHeight="1">
      <c r="A96" s="80">
        <v>2015</v>
      </c>
      <c r="B96" s="81" t="e">
        <f t="shared" si="18"/>
        <v>#VALUE!</v>
      </c>
      <c r="C96" s="126"/>
      <c r="D96" s="67">
        <f t="shared" si="16"/>
        <v>13</v>
      </c>
      <c r="E96" s="67"/>
      <c r="F96" s="83"/>
      <c r="G96" s="69"/>
      <c r="H96" s="84"/>
      <c r="I96" s="128" t="e">
        <f t="shared" si="17"/>
        <v>#VALUE!</v>
      </c>
    </row>
    <row r="97" spans="1:9" ht="15" customHeight="1">
      <c r="A97" s="80">
        <v>2016</v>
      </c>
      <c r="B97" s="81" t="e">
        <f t="shared" si="18"/>
        <v>#VALUE!</v>
      </c>
      <c r="C97" s="126"/>
      <c r="D97" s="67">
        <f t="shared" si="16"/>
        <v>14</v>
      </c>
      <c r="E97" s="67"/>
      <c r="F97" s="83"/>
      <c r="G97" s="69"/>
      <c r="H97" s="84"/>
      <c r="I97" s="128" t="e">
        <f t="shared" si="17"/>
        <v>#VALUE!</v>
      </c>
    </row>
    <row r="98" spans="1:9" ht="15" customHeight="1">
      <c r="A98" s="80">
        <v>2017</v>
      </c>
      <c r="B98" s="81" t="e">
        <f t="shared" si="18"/>
        <v>#VALUE!</v>
      </c>
      <c r="C98" s="126"/>
      <c r="D98" s="67">
        <f t="shared" si="16"/>
        <v>15</v>
      </c>
      <c r="E98" s="67"/>
      <c r="F98" s="83"/>
      <c r="G98" s="69"/>
      <c r="H98" s="84"/>
      <c r="I98" s="128" t="e">
        <f t="shared" si="17"/>
        <v>#VALUE!</v>
      </c>
    </row>
    <row r="99" spans="1:9" ht="15" customHeight="1">
      <c r="A99" s="80">
        <v>2018</v>
      </c>
      <c r="B99" s="81" t="e">
        <f t="shared" si="18"/>
        <v>#VALUE!</v>
      </c>
      <c r="C99" s="126"/>
      <c r="D99" s="67">
        <f t="shared" si="16"/>
        <v>16</v>
      </c>
      <c r="E99" s="67"/>
      <c r="F99" s="83"/>
      <c r="G99" s="69"/>
      <c r="H99" s="84"/>
      <c r="I99" s="128" t="e">
        <f t="shared" si="17"/>
        <v>#VALUE!</v>
      </c>
    </row>
    <row r="100" spans="1:9" ht="15" customHeight="1">
      <c r="A100" s="80">
        <v>2019</v>
      </c>
      <c r="B100" s="81" t="e">
        <f t="shared" si="18"/>
        <v>#VALUE!</v>
      </c>
      <c r="C100" s="126"/>
      <c r="D100" s="67">
        <f t="shared" si="16"/>
        <v>17</v>
      </c>
      <c r="E100" s="67"/>
      <c r="F100" s="83"/>
      <c r="G100" s="69"/>
      <c r="H100" s="84"/>
      <c r="I100" s="128" t="e">
        <f t="shared" si="17"/>
        <v>#VALUE!</v>
      </c>
    </row>
    <row r="101" spans="1:9" ht="15" customHeight="1">
      <c r="A101" s="80">
        <v>2020</v>
      </c>
      <c r="B101" s="81" t="e">
        <f t="shared" si="18"/>
        <v>#VALUE!</v>
      </c>
      <c r="C101" s="126"/>
      <c r="D101" s="67">
        <f t="shared" si="16"/>
        <v>18</v>
      </c>
      <c r="E101" s="67"/>
      <c r="F101" s="83"/>
      <c r="G101" s="69"/>
      <c r="H101" s="84"/>
      <c r="I101" s="128" t="e">
        <f t="shared" si="17"/>
        <v>#VALUE!</v>
      </c>
    </row>
    <row r="102" spans="1:9" ht="15" customHeight="1">
      <c r="A102" s="80">
        <v>2021</v>
      </c>
      <c r="B102" s="81" t="e">
        <f t="shared" si="18"/>
        <v>#VALUE!</v>
      </c>
      <c r="C102" s="126"/>
      <c r="D102" s="67">
        <f t="shared" si="16"/>
        <v>19</v>
      </c>
      <c r="E102" s="67"/>
      <c r="F102" s="83"/>
      <c r="G102" s="69"/>
      <c r="H102" s="84"/>
      <c r="I102" s="128" t="e">
        <f t="shared" si="17"/>
        <v>#VALUE!</v>
      </c>
    </row>
    <row r="103" spans="1:9" ht="15" customHeight="1">
      <c r="A103" s="80">
        <v>2022</v>
      </c>
      <c r="B103" s="81" t="e">
        <f t="shared" si="18"/>
        <v>#VALUE!</v>
      </c>
      <c r="C103" s="126"/>
      <c r="D103" s="67">
        <f t="shared" si="16"/>
        <v>20</v>
      </c>
      <c r="E103" s="67"/>
      <c r="F103" s="83"/>
      <c r="G103" s="69"/>
      <c r="H103" s="84"/>
      <c r="I103" s="128" t="e">
        <f t="shared" si="17"/>
        <v>#VALUE!</v>
      </c>
    </row>
    <row r="104" spans="1:9" ht="15" customHeight="1">
      <c r="A104" s="80">
        <v>2023</v>
      </c>
      <c r="B104" s="81" t="e">
        <f t="shared" si="18"/>
        <v>#VALUE!</v>
      </c>
      <c r="C104" s="126"/>
      <c r="D104" s="67">
        <f t="shared" si="16"/>
        <v>21</v>
      </c>
      <c r="E104" s="67"/>
      <c r="F104" s="83"/>
      <c r="G104" s="69"/>
      <c r="H104" s="84"/>
      <c r="I104" s="128" t="e">
        <f t="shared" si="17"/>
        <v>#VALUE!</v>
      </c>
    </row>
    <row r="105" spans="1:9" ht="15" customHeight="1">
      <c r="A105" s="80">
        <v>2024</v>
      </c>
      <c r="B105" s="81" t="e">
        <f t="shared" si="18"/>
        <v>#VALUE!</v>
      </c>
      <c r="C105" s="126"/>
      <c r="D105" s="67">
        <f t="shared" si="16"/>
        <v>22</v>
      </c>
      <c r="E105" s="67"/>
      <c r="F105" s="69"/>
      <c r="G105" s="69"/>
      <c r="H105" s="69"/>
      <c r="I105" s="136" t="e">
        <f t="shared" si="17"/>
        <v>#VALUE!</v>
      </c>
    </row>
    <row r="106" spans="1:9" ht="15" customHeight="1">
      <c r="A106" s="85">
        <v>2025</v>
      </c>
      <c r="B106" s="81" t="e">
        <f t="shared" si="18"/>
        <v>#VALUE!</v>
      </c>
      <c r="C106" s="204"/>
      <c r="D106" s="87">
        <f t="shared" si="16"/>
        <v>23</v>
      </c>
      <c r="E106" s="87"/>
      <c r="F106" s="89"/>
      <c r="G106" s="89"/>
      <c r="H106" s="89"/>
      <c r="I106" s="138" t="e">
        <f t="shared" si="17"/>
        <v>#VALUE!</v>
      </c>
    </row>
    <row r="107" spans="1:9" ht="15" customHeight="1">
      <c r="A107" s="56" t="s">
        <v>87</v>
      </c>
      <c r="B107" s="57"/>
    </row>
    <row r="108" spans="1:9" ht="15" customHeight="1">
      <c r="A108" s="58" t="s">
        <v>32</v>
      </c>
      <c r="B108" s="59" t="s">
        <v>40</v>
      </c>
      <c r="C108" s="59" t="s">
        <v>36</v>
      </c>
      <c r="D108" s="59" t="s">
        <v>33</v>
      </c>
      <c r="E108" s="103"/>
      <c r="F108" s="60"/>
      <c r="G108" s="61"/>
      <c r="H108" s="63" t="s">
        <v>292</v>
      </c>
      <c r="I108" s="64">
        <f>RSQ(I109:I114,B109:B114)</f>
        <v>0.98808877814276952</v>
      </c>
    </row>
    <row r="109" spans="1:9" ht="15" customHeight="1">
      <c r="A109" s="65">
        <v>2002</v>
      </c>
      <c r="B109" s="104">
        <f t="shared" ref="B109:B114" si="19">+B5</f>
        <v>6966</v>
      </c>
      <c r="C109" s="126">
        <f t="shared" ref="C109:C114" si="20">LN(F$113/B109-1)</f>
        <v>0</v>
      </c>
      <c r="D109" s="67">
        <v>0</v>
      </c>
      <c r="E109" s="106"/>
      <c r="F109" s="53"/>
      <c r="G109" s="69"/>
      <c r="H109" s="265"/>
      <c r="I109" s="267">
        <f t="shared" ref="I109:I132" si="21">$F$113/(1+EXP($F$111+$F$110*D109))</f>
        <v>7011.6200691343656</v>
      </c>
    </row>
    <row r="110" spans="1:9" ht="15" customHeight="1">
      <c r="A110" s="65">
        <f t="shared" ref="A110:A115" si="22">A6</f>
        <v>2003</v>
      </c>
      <c r="B110" s="104">
        <f t="shared" si="19"/>
        <v>6795</v>
      </c>
      <c r="C110" s="126">
        <f t="shared" si="20"/>
        <v>4.910547238582344E-2</v>
      </c>
      <c r="D110" s="67">
        <f>+D109+1</f>
        <v>1</v>
      </c>
      <c r="E110" s="106" t="s">
        <v>75</v>
      </c>
      <c r="F110" s="139">
        <f>INDEX(LINEST(C109:C114,D109:D114),1)</f>
        <v>6.8178845341593672E-2</v>
      </c>
      <c r="G110" s="140" t="s">
        <v>88</v>
      </c>
      <c r="H110" s="127"/>
      <c r="I110" s="128">
        <f t="shared" si="21"/>
        <v>6774.2022916250462</v>
      </c>
    </row>
    <row r="111" spans="1:9" ht="15" customHeight="1">
      <c r="A111" s="65">
        <f t="shared" si="22"/>
        <v>2004</v>
      </c>
      <c r="B111" s="104">
        <f t="shared" si="19"/>
        <v>6582</v>
      </c>
      <c r="C111" s="126">
        <f t="shared" si="20"/>
        <v>0.11036166270359718</v>
      </c>
      <c r="D111" s="67">
        <f t="shared" ref="D111:D132" si="23">D110+1</f>
        <v>2</v>
      </c>
      <c r="E111" s="106" t="s">
        <v>76</v>
      </c>
      <c r="F111" s="139">
        <f>INDEX(LINEST(C109:C114,D109:D114),2)</f>
        <v>-1.309811121142368E-2</v>
      </c>
      <c r="G111" s="69"/>
      <c r="H111" s="127"/>
      <c r="I111" s="128">
        <f t="shared" si="21"/>
        <v>6537.2296036246553</v>
      </c>
    </row>
    <row r="112" spans="1:9" ht="15" customHeight="1">
      <c r="A112" s="65">
        <f t="shared" si="22"/>
        <v>2005</v>
      </c>
      <c r="B112" s="104">
        <f t="shared" si="19"/>
        <v>6343</v>
      </c>
      <c r="C112" s="126">
        <f t="shared" si="20"/>
        <v>0.17934798777001557</v>
      </c>
      <c r="D112" s="67">
        <f t="shared" si="23"/>
        <v>3</v>
      </c>
      <c r="E112" s="106" t="s">
        <v>77</v>
      </c>
      <c r="F112" s="73">
        <f>I108</f>
        <v>0.98808877814276952</v>
      </c>
      <c r="G112" s="69"/>
      <c r="H112" s="127"/>
      <c r="I112" s="128">
        <f t="shared" si="21"/>
        <v>6301.2489143535213</v>
      </c>
    </row>
    <row r="113" spans="1:9" ht="15" customHeight="1">
      <c r="A113" s="65">
        <f t="shared" si="22"/>
        <v>2006</v>
      </c>
      <c r="B113" s="104">
        <f t="shared" si="19"/>
        <v>5994</v>
      </c>
      <c r="C113" s="126">
        <f t="shared" si="20"/>
        <v>0.280902385466402</v>
      </c>
      <c r="D113" s="67">
        <f t="shared" si="23"/>
        <v>4</v>
      </c>
      <c r="E113" s="106" t="s">
        <v>39</v>
      </c>
      <c r="F113" s="110">
        <f>MAX(B109:B114)*2</f>
        <v>13932</v>
      </c>
      <c r="G113" s="69"/>
      <c r="H113" s="127"/>
      <c r="I113" s="128">
        <f t="shared" si="21"/>
        <v>6066.7979859611169</v>
      </c>
    </row>
    <row r="114" spans="1:9" ht="15" customHeight="1" thickBot="1">
      <c r="A114" s="97">
        <f t="shared" si="22"/>
        <v>2007</v>
      </c>
      <c r="B114" s="116">
        <f t="shared" si="19"/>
        <v>5846</v>
      </c>
      <c r="C114" s="141">
        <f t="shared" si="20"/>
        <v>0.32437650452952482</v>
      </c>
      <c r="D114" s="99">
        <f t="shared" si="23"/>
        <v>5</v>
      </c>
      <c r="E114" s="205"/>
      <c r="F114" s="101"/>
      <c r="G114" s="100"/>
      <c r="H114" s="143"/>
      <c r="I114" s="144">
        <f t="shared" si="21"/>
        <v>5834.4005876526471</v>
      </c>
    </row>
    <row r="115" spans="1:9" ht="15" customHeight="1" thickTop="1">
      <c r="A115" s="255">
        <f t="shared" si="22"/>
        <v>2008</v>
      </c>
      <c r="B115" s="81">
        <f t="shared" ref="B115:B132" si="24">ROUND(F$113/(1+EXP(F$111+F$110*D115)),0)</f>
        <v>5605</v>
      </c>
      <c r="C115" s="257"/>
      <c r="D115" s="77">
        <f t="shared" si="23"/>
        <v>6</v>
      </c>
      <c r="E115" s="275"/>
      <c r="F115" s="256"/>
      <c r="G115" s="78"/>
      <c r="H115" s="258"/>
      <c r="I115" s="133">
        <f t="shared" si="21"/>
        <v>5604.5619197729502</v>
      </c>
    </row>
    <row r="116" spans="1:9" ht="15" customHeight="1">
      <c r="A116" s="80">
        <v>2009</v>
      </c>
      <c r="B116" s="81">
        <f t="shared" si="24"/>
        <v>5378</v>
      </c>
      <c r="C116" s="134"/>
      <c r="D116" s="67">
        <f t="shared" si="23"/>
        <v>7</v>
      </c>
      <c r="E116" s="83"/>
      <c r="F116" s="69"/>
      <c r="G116" s="69"/>
      <c r="H116" s="84"/>
      <c r="I116" s="128">
        <f t="shared" si="21"/>
        <v>5377.7643905426476</v>
      </c>
    </row>
    <row r="117" spans="1:9" ht="15" customHeight="1">
      <c r="A117" s="80">
        <v>2010</v>
      </c>
      <c r="B117" s="81">
        <f t="shared" si="24"/>
        <v>5154</v>
      </c>
      <c r="C117" s="134"/>
      <c r="D117" s="67">
        <f t="shared" si="23"/>
        <v>8</v>
      </c>
      <c r="E117" s="83"/>
      <c r="F117" s="69"/>
      <c r="G117" s="69"/>
      <c r="H117" s="84"/>
      <c r="I117" s="128">
        <f t="shared" si="21"/>
        <v>5154.4638167949897</v>
      </c>
    </row>
    <row r="118" spans="1:9" ht="15" customHeight="1">
      <c r="A118" s="80">
        <v>2011</v>
      </c>
      <c r="B118" s="81">
        <f t="shared" si="24"/>
        <v>4935</v>
      </c>
      <c r="C118" s="134"/>
      <c r="D118" s="67">
        <f t="shared" si="23"/>
        <v>9</v>
      </c>
      <c r="E118" s="83"/>
      <c r="F118" s="69"/>
      <c r="G118" s="69"/>
      <c r="H118" s="84"/>
      <c r="I118" s="128">
        <f t="shared" si="21"/>
        <v>4935.086106781474</v>
      </c>
    </row>
    <row r="119" spans="1:9" ht="15" customHeight="1">
      <c r="A119" s="80">
        <v>2012</v>
      </c>
      <c r="B119" s="81">
        <f t="shared" si="24"/>
        <v>4720</v>
      </c>
      <c r="C119" s="134"/>
      <c r="D119" s="67">
        <f t="shared" si="23"/>
        <v>10</v>
      </c>
      <c r="E119" s="83"/>
      <c r="F119" s="69"/>
      <c r="G119" s="69"/>
      <c r="H119" s="84"/>
      <c r="I119" s="128">
        <f t="shared" si="21"/>
        <v>4720.024468522216</v>
      </c>
    </row>
    <row r="120" spans="1:9" ht="15" customHeight="1">
      <c r="A120" s="80">
        <v>2013</v>
      </c>
      <c r="B120" s="81">
        <f t="shared" si="24"/>
        <v>4510</v>
      </c>
      <c r="C120" s="134"/>
      <c r="D120" s="67">
        <f t="shared" si="23"/>
        <v>11</v>
      </c>
      <c r="E120" s="83"/>
      <c r="F120" s="69"/>
      <c r="G120" s="69"/>
      <c r="H120" s="84"/>
      <c r="I120" s="128">
        <f t="shared" si="21"/>
        <v>4509.6371719276358</v>
      </c>
    </row>
    <row r="121" spans="1:9" ht="15" customHeight="1">
      <c r="A121" s="80">
        <v>2014</v>
      </c>
      <c r="B121" s="81">
        <f t="shared" si="24"/>
        <v>4304</v>
      </c>
      <c r="C121" s="134"/>
      <c r="D121" s="67">
        <f t="shared" si="23"/>
        <v>12</v>
      </c>
      <c r="E121" s="83"/>
      <c r="F121" s="69"/>
      <c r="G121" s="69"/>
      <c r="H121" s="84"/>
      <c r="I121" s="128">
        <f t="shared" si="21"/>
        <v>4304.2458776572657</v>
      </c>
    </row>
    <row r="122" spans="1:9" ht="15" customHeight="1">
      <c r="A122" s="80">
        <v>2015</v>
      </c>
      <c r="B122" s="81">
        <f t="shared" si="24"/>
        <v>4104</v>
      </c>
      <c r="C122" s="134"/>
      <c r="D122" s="67">
        <f t="shared" si="23"/>
        <v>13</v>
      </c>
      <c r="E122" s="83"/>
      <c r="F122" s="69"/>
      <c r="G122" s="69"/>
      <c r="H122" s="84"/>
      <c r="I122" s="128">
        <f t="shared" si="21"/>
        <v>4104.1345310107708</v>
      </c>
    </row>
    <row r="123" spans="1:9" ht="15" customHeight="1">
      <c r="A123" s="80">
        <v>2016</v>
      </c>
      <c r="B123" s="81">
        <f t="shared" si="24"/>
        <v>3910</v>
      </c>
      <c r="C123" s="134"/>
      <c r="D123" s="67">
        <f t="shared" si="23"/>
        <v>14</v>
      </c>
      <c r="E123" s="83"/>
      <c r="F123" s="69"/>
      <c r="G123" s="69"/>
      <c r="H123" s="84"/>
      <c r="I123" s="128">
        <f t="shared" si="21"/>
        <v>3909.5488055911128</v>
      </c>
    </row>
    <row r="124" spans="1:9" ht="15" customHeight="1">
      <c r="A124" s="80">
        <v>2017</v>
      </c>
      <c r="B124" s="81">
        <f t="shared" si="24"/>
        <v>3721</v>
      </c>
      <c r="C124" s="134"/>
      <c r="D124" s="67">
        <f t="shared" si="23"/>
        <v>15</v>
      </c>
      <c r="E124" s="83"/>
      <c r="F124" s="69"/>
      <c r="G124" s="69"/>
      <c r="H124" s="84"/>
      <c r="I124" s="128">
        <f t="shared" si="21"/>
        <v>3720.6960694676686</v>
      </c>
    </row>
    <row r="125" spans="1:9" ht="15" customHeight="1">
      <c r="A125" s="80">
        <v>2018</v>
      </c>
      <c r="B125" s="81">
        <f t="shared" si="24"/>
        <v>3538</v>
      </c>
      <c r="C125" s="134"/>
      <c r="D125" s="67">
        <f t="shared" si="23"/>
        <v>16</v>
      </c>
      <c r="E125" s="83"/>
      <c r="F125" s="69"/>
      <c r="G125" s="69"/>
      <c r="H125" s="84"/>
      <c r="I125" s="128">
        <f t="shared" si="21"/>
        <v>3537.7458364130002</v>
      </c>
    </row>
    <row r="126" spans="1:9" ht="15" customHeight="1">
      <c r="A126" s="80">
        <v>2019</v>
      </c>
      <c r="B126" s="81">
        <f t="shared" si="24"/>
        <v>3361</v>
      </c>
      <c r="C126" s="134"/>
      <c r="D126" s="67">
        <f t="shared" si="23"/>
        <v>17</v>
      </c>
      <c r="E126" s="83"/>
      <c r="F126" s="69"/>
      <c r="G126" s="69"/>
      <c r="H126" s="84"/>
      <c r="I126" s="128">
        <f t="shared" si="21"/>
        <v>3360.8306566882152</v>
      </c>
    </row>
    <row r="127" spans="1:9" ht="15" customHeight="1">
      <c r="A127" s="80">
        <v>2020</v>
      </c>
      <c r="B127" s="81">
        <f t="shared" si="24"/>
        <v>3190</v>
      </c>
      <c r="C127" s="134"/>
      <c r="D127" s="67">
        <f t="shared" si="23"/>
        <v>18</v>
      </c>
      <c r="E127" s="83"/>
      <c r="F127" s="69"/>
      <c r="G127" s="69"/>
      <c r="H127" s="84"/>
      <c r="I127" s="128">
        <f t="shared" si="21"/>
        <v>3190.0473958915336</v>
      </c>
    </row>
    <row r="128" spans="1:9" ht="15" customHeight="1">
      <c r="A128" s="80">
        <v>2021</v>
      </c>
      <c r="B128" s="81">
        <f t="shared" si="24"/>
        <v>3025</v>
      </c>
      <c r="C128" s="134"/>
      <c r="D128" s="67">
        <f t="shared" si="23"/>
        <v>19</v>
      </c>
      <c r="E128" s="83"/>
      <c r="F128" s="69"/>
      <c r="G128" s="69"/>
      <c r="H128" s="84"/>
      <c r="I128" s="128">
        <f t="shared" si="21"/>
        <v>3025.458846540776</v>
      </c>
    </row>
    <row r="129" spans="1:10" ht="15" customHeight="1">
      <c r="A129" s="80">
        <v>2022</v>
      </c>
      <c r="B129" s="81">
        <f t="shared" si="24"/>
        <v>2867</v>
      </c>
      <c r="C129" s="134"/>
      <c r="D129" s="67">
        <f t="shared" si="23"/>
        <v>20</v>
      </c>
      <c r="E129" s="83"/>
      <c r="F129" s="69"/>
      <c r="G129" s="69"/>
      <c r="H129" s="84"/>
      <c r="I129" s="128">
        <f t="shared" si="21"/>
        <v>2867.0956152214135</v>
      </c>
    </row>
    <row r="130" spans="1:10" ht="15" customHeight="1">
      <c r="A130" s="80">
        <v>2023</v>
      </c>
      <c r="B130" s="81">
        <f t="shared" si="24"/>
        <v>2715</v>
      </c>
      <c r="C130" s="134"/>
      <c r="D130" s="67">
        <f t="shared" si="23"/>
        <v>21</v>
      </c>
      <c r="E130" s="83"/>
      <c r="F130" s="69"/>
      <c r="G130" s="69"/>
      <c r="H130" s="84"/>
      <c r="I130" s="128">
        <f t="shared" si="21"/>
        <v>2714.9582281143244</v>
      </c>
    </row>
    <row r="131" spans="1:10" ht="15" customHeight="1">
      <c r="A131" s="80">
        <v>2024</v>
      </c>
      <c r="B131" s="81">
        <f t="shared" si="24"/>
        <v>2569</v>
      </c>
      <c r="C131" s="135"/>
      <c r="D131" s="67">
        <f t="shared" si="23"/>
        <v>22</v>
      </c>
      <c r="E131" s="69"/>
      <c r="F131" s="69"/>
      <c r="G131" s="69"/>
      <c r="H131" s="69"/>
      <c r="I131" s="136">
        <f t="shared" si="21"/>
        <v>2569.0193992864379</v>
      </c>
    </row>
    <row r="132" spans="1:10" ht="15" customHeight="1">
      <c r="A132" s="85">
        <v>2025</v>
      </c>
      <c r="B132" s="86">
        <f t="shared" si="24"/>
        <v>2429</v>
      </c>
      <c r="C132" s="137"/>
      <c r="D132" s="87">
        <f t="shared" si="23"/>
        <v>23</v>
      </c>
      <c r="E132" s="89"/>
      <c r="F132" s="89"/>
      <c r="G132" s="89"/>
      <c r="H132" s="89"/>
      <c r="I132" s="138">
        <f t="shared" si="21"/>
        <v>2429.2264090158196</v>
      </c>
    </row>
    <row r="133" spans="1:10" ht="15" customHeight="1">
      <c r="A133" s="56" t="s">
        <v>299</v>
      </c>
      <c r="B133" s="57"/>
    </row>
    <row r="134" spans="1:10" ht="15" customHeight="1">
      <c r="A134" s="56"/>
      <c r="B134" s="57"/>
    </row>
    <row r="135" spans="1:10" ht="24">
      <c r="A135" s="145" t="s">
        <v>32</v>
      </c>
      <c r="B135" s="146" t="s">
        <v>91</v>
      </c>
      <c r="C135" s="147" t="s">
        <v>72</v>
      </c>
      <c r="D135" s="147" t="s">
        <v>92</v>
      </c>
      <c r="E135" s="147" t="s">
        <v>93</v>
      </c>
      <c r="F135" s="147" t="s">
        <v>94</v>
      </c>
      <c r="G135" s="147" t="s">
        <v>95</v>
      </c>
      <c r="H135" s="148" t="s">
        <v>96</v>
      </c>
      <c r="I135" s="149" t="s">
        <v>294</v>
      </c>
      <c r="J135" s="150" t="s">
        <v>295</v>
      </c>
    </row>
    <row r="136" spans="1:10" ht="20.100000000000001" customHeight="1">
      <c r="A136" s="65">
        <v>2008</v>
      </c>
      <c r="B136" s="151">
        <f t="shared" ref="B136:B153" si="25">B11</f>
        <v>5622</v>
      </c>
      <c r="C136" s="152">
        <f t="shared" ref="C136:C153" si="26">B37</f>
        <v>5597</v>
      </c>
      <c r="D136" s="152">
        <f t="shared" ref="D136:D153" si="27">B63</f>
        <v>5645</v>
      </c>
      <c r="E136" s="152"/>
      <c r="F136" s="152">
        <f t="shared" ref="F136:F153" si="28">B115</f>
        <v>5605</v>
      </c>
      <c r="G136" s="152">
        <f t="shared" ref="G136:G153" si="29">ROUND(AVERAGE(B136:F136),1)</f>
        <v>5617.3</v>
      </c>
      <c r="H136" s="152">
        <f t="shared" ref="H136:H153" si="30">ROUND((SUM(B136:F136)-MAX(B136:F136)-MIN(B136:F136))/(COUNT(B136:F136)-2),1)</f>
        <v>5613.5</v>
      </c>
      <c r="I136" s="153">
        <f t="shared" ref="I136:I153" si="31">ROUND(SUMIF(B$154:H$154,"○",B136:H136),0)</f>
        <v>5617</v>
      </c>
      <c r="J136" s="261"/>
    </row>
    <row r="137" spans="1:10" ht="20.100000000000001" customHeight="1">
      <c r="A137" s="80">
        <v>2009</v>
      </c>
      <c r="B137" s="151">
        <f t="shared" si="25"/>
        <v>5398</v>
      </c>
      <c r="C137" s="152">
        <f t="shared" si="26"/>
        <v>5361</v>
      </c>
      <c r="D137" s="152">
        <f t="shared" si="27"/>
        <v>5450</v>
      </c>
      <c r="E137" s="152"/>
      <c r="F137" s="152">
        <f t="shared" si="28"/>
        <v>5378</v>
      </c>
      <c r="G137" s="152">
        <f t="shared" si="29"/>
        <v>5396.8</v>
      </c>
      <c r="H137" s="152">
        <f t="shared" si="30"/>
        <v>5388</v>
      </c>
      <c r="I137" s="153">
        <f t="shared" si="31"/>
        <v>5397</v>
      </c>
      <c r="J137" s="154"/>
    </row>
    <row r="138" spans="1:10" ht="20.100000000000001" customHeight="1">
      <c r="A138" s="80">
        <v>2010</v>
      </c>
      <c r="B138" s="151">
        <f t="shared" si="25"/>
        <v>5174</v>
      </c>
      <c r="C138" s="152">
        <f t="shared" si="26"/>
        <v>5126</v>
      </c>
      <c r="D138" s="152">
        <f t="shared" si="27"/>
        <v>5262</v>
      </c>
      <c r="E138" s="152"/>
      <c r="F138" s="152">
        <f t="shared" si="28"/>
        <v>5154</v>
      </c>
      <c r="G138" s="152">
        <f t="shared" si="29"/>
        <v>5179</v>
      </c>
      <c r="H138" s="152">
        <f t="shared" si="30"/>
        <v>5164</v>
      </c>
      <c r="I138" s="153">
        <f t="shared" si="31"/>
        <v>5179</v>
      </c>
      <c r="J138" s="154"/>
    </row>
    <row r="139" spans="1:10" ht="20.100000000000001" customHeight="1">
      <c r="A139" s="80">
        <v>2011</v>
      </c>
      <c r="B139" s="151">
        <f t="shared" si="25"/>
        <v>4950</v>
      </c>
      <c r="C139" s="152">
        <f t="shared" si="26"/>
        <v>4890</v>
      </c>
      <c r="D139" s="152">
        <f t="shared" si="27"/>
        <v>5081</v>
      </c>
      <c r="E139" s="152"/>
      <c r="F139" s="152">
        <f t="shared" si="28"/>
        <v>4935</v>
      </c>
      <c r="G139" s="152">
        <f t="shared" si="29"/>
        <v>4964</v>
      </c>
      <c r="H139" s="152">
        <f t="shared" si="30"/>
        <v>4942.5</v>
      </c>
      <c r="I139" s="153">
        <f t="shared" si="31"/>
        <v>4964</v>
      </c>
      <c r="J139" s="154"/>
    </row>
    <row r="140" spans="1:10" ht="20.100000000000001" customHeight="1">
      <c r="A140" s="80">
        <v>2012</v>
      </c>
      <c r="B140" s="151">
        <f t="shared" si="25"/>
        <v>4726</v>
      </c>
      <c r="C140" s="152">
        <f t="shared" si="26"/>
        <v>4655</v>
      </c>
      <c r="D140" s="152">
        <f t="shared" si="27"/>
        <v>4906</v>
      </c>
      <c r="E140" s="152"/>
      <c r="F140" s="152">
        <f t="shared" si="28"/>
        <v>4720</v>
      </c>
      <c r="G140" s="152">
        <f t="shared" si="29"/>
        <v>4751.8</v>
      </c>
      <c r="H140" s="152">
        <f t="shared" si="30"/>
        <v>4723</v>
      </c>
      <c r="I140" s="153">
        <f t="shared" si="31"/>
        <v>4752</v>
      </c>
      <c r="J140" s="154"/>
    </row>
    <row r="141" spans="1:10" ht="20.100000000000001" customHeight="1">
      <c r="A141" s="80">
        <v>2013</v>
      </c>
      <c r="B141" s="151">
        <f t="shared" si="25"/>
        <v>4502</v>
      </c>
      <c r="C141" s="152">
        <f t="shared" si="26"/>
        <v>4419</v>
      </c>
      <c r="D141" s="152">
        <f t="shared" si="27"/>
        <v>4737</v>
      </c>
      <c r="E141" s="152"/>
      <c r="F141" s="152">
        <f t="shared" si="28"/>
        <v>4510</v>
      </c>
      <c r="G141" s="152">
        <f t="shared" si="29"/>
        <v>4542</v>
      </c>
      <c r="H141" s="152">
        <f t="shared" si="30"/>
        <v>4506</v>
      </c>
      <c r="I141" s="153">
        <f t="shared" si="31"/>
        <v>4542</v>
      </c>
      <c r="J141" s="154"/>
    </row>
    <row r="142" spans="1:10" ht="20.100000000000001" customHeight="1">
      <c r="A142" s="80">
        <v>2014</v>
      </c>
      <c r="B142" s="151">
        <f t="shared" si="25"/>
        <v>4278</v>
      </c>
      <c r="C142" s="152">
        <f t="shared" si="26"/>
        <v>4184</v>
      </c>
      <c r="D142" s="152">
        <f t="shared" si="27"/>
        <v>4574</v>
      </c>
      <c r="E142" s="152"/>
      <c r="F142" s="152">
        <f t="shared" si="28"/>
        <v>4304</v>
      </c>
      <c r="G142" s="152">
        <f t="shared" si="29"/>
        <v>4335</v>
      </c>
      <c r="H142" s="152">
        <f t="shared" si="30"/>
        <v>4291</v>
      </c>
      <c r="I142" s="153">
        <f t="shared" si="31"/>
        <v>4335</v>
      </c>
      <c r="J142" s="154"/>
    </row>
    <row r="143" spans="1:10" ht="20.100000000000001" customHeight="1">
      <c r="A143" s="80">
        <v>2015</v>
      </c>
      <c r="B143" s="151">
        <f t="shared" si="25"/>
        <v>4054</v>
      </c>
      <c r="C143" s="152">
        <f t="shared" si="26"/>
        <v>3948</v>
      </c>
      <c r="D143" s="152">
        <f t="shared" si="27"/>
        <v>4416</v>
      </c>
      <c r="E143" s="152"/>
      <c r="F143" s="152">
        <f t="shared" si="28"/>
        <v>4104</v>
      </c>
      <c r="G143" s="152">
        <f t="shared" si="29"/>
        <v>4130.5</v>
      </c>
      <c r="H143" s="152">
        <f t="shared" si="30"/>
        <v>4079</v>
      </c>
      <c r="I143" s="153">
        <f t="shared" si="31"/>
        <v>4131</v>
      </c>
      <c r="J143" s="154"/>
    </row>
    <row r="144" spans="1:10" ht="20.100000000000001" customHeight="1">
      <c r="A144" s="80">
        <v>2016</v>
      </c>
      <c r="B144" s="151">
        <f t="shared" si="25"/>
        <v>3830</v>
      </c>
      <c r="C144" s="152">
        <f t="shared" si="26"/>
        <v>3713</v>
      </c>
      <c r="D144" s="152">
        <f t="shared" si="27"/>
        <v>4264</v>
      </c>
      <c r="E144" s="152"/>
      <c r="F144" s="152">
        <f t="shared" si="28"/>
        <v>3910</v>
      </c>
      <c r="G144" s="152">
        <f t="shared" si="29"/>
        <v>3929.3</v>
      </c>
      <c r="H144" s="152">
        <f t="shared" si="30"/>
        <v>3870</v>
      </c>
      <c r="I144" s="153">
        <f t="shared" si="31"/>
        <v>3929</v>
      </c>
      <c r="J144" s="154"/>
    </row>
    <row r="145" spans="1:41" ht="20.100000000000001" customHeight="1">
      <c r="A145" s="80">
        <v>2017</v>
      </c>
      <c r="B145" s="151">
        <f t="shared" si="25"/>
        <v>3606</v>
      </c>
      <c r="C145" s="152">
        <f t="shared" si="26"/>
        <v>3477</v>
      </c>
      <c r="D145" s="152">
        <f t="shared" si="27"/>
        <v>4117</v>
      </c>
      <c r="E145" s="152"/>
      <c r="F145" s="152">
        <f t="shared" si="28"/>
        <v>3721</v>
      </c>
      <c r="G145" s="152">
        <f t="shared" si="29"/>
        <v>3730.3</v>
      </c>
      <c r="H145" s="152">
        <f t="shared" si="30"/>
        <v>3663.5</v>
      </c>
      <c r="I145" s="153">
        <f t="shared" si="31"/>
        <v>3730</v>
      </c>
      <c r="J145" s="154"/>
    </row>
    <row r="146" spans="1:41" ht="20.100000000000001" customHeight="1">
      <c r="A146" s="80">
        <v>2018</v>
      </c>
      <c r="B146" s="151">
        <f t="shared" si="25"/>
        <v>3382</v>
      </c>
      <c r="C146" s="152">
        <f t="shared" si="26"/>
        <v>3242</v>
      </c>
      <c r="D146" s="152">
        <f t="shared" si="27"/>
        <v>3975</v>
      </c>
      <c r="E146" s="152"/>
      <c r="F146" s="152">
        <f t="shared" si="28"/>
        <v>3538</v>
      </c>
      <c r="G146" s="152">
        <f t="shared" si="29"/>
        <v>3534.3</v>
      </c>
      <c r="H146" s="152">
        <f t="shared" si="30"/>
        <v>3460</v>
      </c>
      <c r="I146" s="153">
        <f t="shared" si="31"/>
        <v>3534</v>
      </c>
      <c r="J146" s="154"/>
    </row>
    <row r="147" spans="1:41" ht="20.100000000000001" customHeight="1">
      <c r="A147" s="80">
        <v>2019</v>
      </c>
      <c r="B147" s="151">
        <f t="shared" si="25"/>
        <v>3158</v>
      </c>
      <c r="C147" s="152">
        <f t="shared" si="26"/>
        <v>3006</v>
      </c>
      <c r="D147" s="152">
        <f t="shared" si="27"/>
        <v>3838</v>
      </c>
      <c r="E147" s="152"/>
      <c r="F147" s="152">
        <f t="shared" si="28"/>
        <v>3361</v>
      </c>
      <c r="G147" s="152">
        <f t="shared" si="29"/>
        <v>3340.8</v>
      </c>
      <c r="H147" s="152">
        <f t="shared" si="30"/>
        <v>3259.5</v>
      </c>
      <c r="I147" s="153">
        <f t="shared" si="31"/>
        <v>3341</v>
      </c>
      <c r="J147" s="154"/>
    </row>
    <row r="148" spans="1:41" ht="20.100000000000001" customHeight="1">
      <c r="A148" s="80">
        <v>2020</v>
      </c>
      <c r="B148" s="151">
        <f t="shared" si="25"/>
        <v>2934</v>
      </c>
      <c r="C148" s="152">
        <f t="shared" si="26"/>
        <v>2771</v>
      </c>
      <c r="D148" s="152">
        <f t="shared" si="27"/>
        <v>3706</v>
      </c>
      <c r="E148" s="152"/>
      <c r="F148" s="152">
        <f t="shared" si="28"/>
        <v>3190</v>
      </c>
      <c r="G148" s="152">
        <f t="shared" si="29"/>
        <v>3150.3</v>
      </c>
      <c r="H148" s="152">
        <f t="shared" si="30"/>
        <v>3062</v>
      </c>
      <c r="I148" s="153">
        <f t="shared" si="31"/>
        <v>3150</v>
      </c>
      <c r="J148" s="154"/>
    </row>
    <row r="149" spans="1:41" ht="20.100000000000001" customHeight="1">
      <c r="A149" s="80">
        <v>2021</v>
      </c>
      <c r="B149" s="151">
        <f t="shared" si="25"/>
        <v>2710</v>
      </c>
      <c r="C149" s="152">
        <f t="shared" si="26"/>
        <v>2535</v>
      </c>
      <c r="D149" s="152">
        <f t="shared" si="27"/>
        <v>3579</v>
      </c>
      <c r="E149" s="152"/>
      <c r="F149" s="152">
        <f t="shared" si="28"/>
        <v>3025</v>
      </c>
      <c r="G149" s="152">
        <f t="shared" si="29"/>
        <v>2962.3</v>
      </c>
      <c r="H149" s="152">
        <f t="shared" si="30"/>
        <v>2867.5</v>
      </c>
      <c r="I149" s="153">
        <f t="shared" si="31"/>
        <v>2962</v>
      </c>
      <c r="J149" s="154"/>
    </row>
    <row r="150" spans="1:41" ht="20.100000000000001" customHeight="1">
      <c r="A150" s="80">
        <v>2022</v>
      </c>
      <c r="B150" s="151">
        <f t="shared" si="25"/>
        <v>2486</v>
      </c>
      <c r="C150" s="152">
        <f t="shared" si="26"/>
        <v>2300</v>
      </c>
      <c r="D150" s="152">
        <f t="shared" si="27"/>
        <v>3455</v>
      </c>
      <c r="E150" s="152"/>
      <c r="F150" s="152">
        <f t="shared" si="28"/>
        <v>2867</v>
      </c>
      <c r="G150" s="152">
        <f t="shared" si="29"/>
        <v>2777</v>
      </c>
      <c r="H150" s="152">
        <f t="shared" si="30"/>
        <v>2676.5</v>
      </c>
      <c r="I150" s="153">
        <f t="shared" si="31"/>
        <v>2777</v>
      </c>
      <c r="J150" s="154"/>
    </row>
    <row r="151" spans="1:41" ht="20.100000000000001" customHeight="1">
      <c r="A151" s="80">
        <v>2023</v>
      </c>
      <c r="B151" s="151">
        <f t="shared" si="25"/>
        <v>2262</v>
      </c>
      <c r="C151" s="152">
        <f t="shared" si="26"/>
        <v>2065</v>
      </c>
      <c r="D151" s="152">
        <f t="shared" si="27"/>
        <v>3336</v>
      </c>
      <c r="E151" s="152"/>
      <c r="F151" s="152">
        <f t="shared" si="28"/>
        <v>2715</v>
      </c>
      <c r="G151" s="152">
        <f t="shared" si="29"/>
        <v>2594.5</v>
      </c>
      <c r="H151" s="152">
        <f t="shared" si="30"/>
        <v>2488.5</v>
      </c>
      <c r="I151" s="153">
        <f t="shared" si="31"/>
        <v>2595</v>
      </c>
      <c r="J151" s="154"/>
      <c r="L151" s="55">
        <v>806200</v>
      </c>
    </row>
    <row r="152" spans="1:41" ht="20.100000000000001" customHeight="1">
      <c r="A152" s="80">
        <v>2024</v>
      </c>
      <c r="B152" s="151">
        <f t="shared" si="25"/>
        <v>2038</v>
      </c>
      <c r="C152" s="152">
        <f t="shared" si="26"/>
        <v>1829</v>
      </c>
      <c r="D152" s="152">
        <f t="shared" si="27"/>
        <v>3221</v>
      </c>
      <c r="E152" s="152"/>
      <c r="F152" s="152">
        <f t="shared" si="28"/>
        <v>2569</v>
      </c>
      <c r="G152" s="152">
        <f t="shared" si="29"/>
        <v>2414.3000000000002</v>
      </c>
      <c r="H152" s="152">
        <f t="shared" si="30"/>
        <v>2303.5</v>
      </c>
      <c r="I152" s="153">
        <f t="shared" si="31"/>
        <v>2414</v>
      </c>
      <c r="J152" s="154"/>
      <c r="K152" s="55">
        <v>51000</v>
      </c>
      <c r="L152" s="75">
        <f>+K152+E152</f>
        <v>51000</v>
      </c>
      <c r="M152" s="75"/>
    </row>
    <row r="153" spans="1:41" ht="20.100000000000001" customHeight="1">
      <c r="A153" s="80">
        <v>2025</v>
      </c>
      <c r="B153" s="151">
        <f t="shared" si="25"/>
        <v>1814</v>
      </c>
      <c r="C153" s="152">
        <f t="shared" si="26"/>
        <v>1594</v>
      </c>
      <c r="D153" s="152">
        <f t="shared" si="27"/>
        <v>3110</v>
      </c>
      <c r="E153" s="152"/>
      <c r="F153" s="152">
        <f t="shared" si="28"/>
        <v>2429</v>
      </c>
      <c r="G153" s="152">
        <f t="shared" si="29"/>
        <v>2236.8000000000002</v>
      </c>
      <c r="H153" s="152">
        <f t="shared" si="30"/>
        <v>2121.5</v>
      </c>
      <c r="I153" s="153">
        <f t="shared" si="31"/>
        <v>2237</v>
      </c>
      <c r="J153" s="154"/>
      <c r="L153" s="75">
        <f>+L151-L152</f>
        <v>755200</v>
      </c>
      <c r="M153" s="75"/>
    </row>
    <row r="154" spans="1:41" ht="20.100000000000001" customHeight="1">
      <c r="A154" s="155" t="s">
        <v>97</v>
      </c>
      <c r="B154" s="156"/>
      <c r="C154" s="157"/>
      <c r="D154" s="157"/>
      <c r="E154" s="157"/>
      <c r="F154" s="156"/>
      <c r="G154" s="158" t="s">
        <v>296</v>
      </c>
      <c r="H154" s="157"/>
      <c r="I154" s="159"/>
      <c r="J154" s="160"/>
      <c r="K154" s="161"/>
      <c r="L154" s="162">
        <f>B109</f>
        <v>6966</v>
      </c>
      <c r="M154" s="162">
        <f>+B110</f>
        <v>6795</v>
      </c>
      <c r="N154" s="162">
        <f>B111</f>
        <v>6582</v>
      </c>
      <c r="O154" s="161">
        <f>B112</f>
        <v>6343</v>
      </c>
      <c r="P154" s="162">
        <f>B113</f>
        <v>5994</v>
      </c>
      <c r="Q154" s="161">
        <f>B114</f>
        <v>5846</v>
      </c>
      <c r="R154" s="162">
        <f>B115</f>
        <v>5605</v>
      </c>
      <c r="S154" s="162"/>
      <c r="T154" s="162"/>
      <c r="U154" s="162"/>
      <c r="V154" s="162"/>
      <c r="W154" s="162"/>
      <c r="X154" s="162"/>
      <c r="Y154" s="161"/>
      <c r="Z154" s="161"/>
      <c r="AA154" s="161"/>
      <c r="AB154" s="161"/>
      <c r="AC154" s="161"/>
      <c r="AD154" s="161"/>
      <c r="AE154" s="161"/>
      <c r="AF154" s="161"/>
      <c r="AG154" s="161"/>
      <c r="AH154" s="161"/>
      <c r="AI154" s="161"/>
      <c r="AJ154" s="161"/>
      <c r="AK154" s="161"/>
      <c r="AL154" s="161"/>
      <c r="AM154" s="161"/>
      <c r="AN154" s="161"/>
    </row>
    <row r="155" spans="1:41" ht="20.100000000000001" hidden="1" customHeight="1">
      <c r="A155" s="85"/>
      <c r="B155" s="163"/>
      <c r="C155" s="164"/>
      <c r="D155" s="164"/>
      <c r="E155" s="164"/>
      <c r="F155" s="164"/>
      <c r="G155" s="164"/>
      <c r="H155" s="164"/>
      <c r="I155" s="165"/>
      <c r="J155" s="166"/>
      <c r="K155" s="161"/>
      <c r="L155" s="161"/>
      <c r="M155" s="161"/>
      <c r="N155" s="161"/>
      <c r="O155" s="161"/>
      <c r="P155" s="161"/>
      <c r="Q155" s="161"/>
      <c r="R155" s="161"/>
      <c r="S155" s="161"/>
      <c r="T155" s="161"/>
      <c r="U155" s="161"/>
      <c r="V155" s="161"/>
      <c r="W155" s="161"/>
      <c r="X155" s="161"/>
      <c r="Y155" s="161"/>
      <c r="Z155" s="161"/>
      <c r="AA155" s="161"/>
      <c r="AB155" s="161"/>
      <c r="AC155" s="161"/>
      <c r="AD155" s="161"/>
      <c r="AE155" s="161"/>
      <c r="AF155" s="161"/>
      <c r="AG155" s="161"/>
      <c r="AH155" s="161"/>
      <c r="AI155" s="161"/>
      <c r="AJ155" s="161"/>
      <c r="AK155" s="161"/>
      <c r="AL155" s="161"/>
      <c r="AM155" s="161"/>
      <c r="AN155" s="161"/>
    </row>
    <row r="156" spans="1:41" s="161" customFormat="1" ht="20.100000000000001" customHeight="1">
      <c r="A156" s="167" t="s">
        <v>98</v>
      </c>
      <c r="B156" s="168">
        <f>I4</f>
        <v>0.99129988288336113</v>
      </c>
      <c r="C156" s="169">
        <f>I30</f>
        <v>0.99252258585557551</v>
      </c>
      <c r="D156" s="169">
        <f>I56</f>
        <v>0.99125351801939232</v>
      </c>
      <c r="E156" s="169"/>
      <c r="F156" s="169">
        <f>I108</f>
        <v>0.98808877814276952</v>
      </c>
      <c r="G156" s="170"/>
      <c r="H156" s="171"/>
      <c r="I156" s="172"/>
      <c r="J156" s="173"/>
      <c r="K156" s="174">
        <f>MAX(B156:I156,F156)</f>
        <v>0.99252258585557551</v>
      </c>
      <c r="L156" s="161">
        <v>2002</v>
      </c>
      <c r="M156" s="161">
        <v>2003</v>
      </c>
      <c r="N156" s="161">
        <f t="shared" ref="N156:AI156" si="32">+M156+1</f>
        <v>2004</v>
      </c>
      <c r="O156" s="161">
        <f t="shared" si="32"/>
        <v>2005</v>
      </c>
      <c r="P156" s="161">
        <f t="shared" si="32"/>
        <v>2006</v>
      </c>
      <c r="Q156" s="161">
        <f t="shared" si="32"/>
        <v>2007</v>
      </c>
      <c r="R156" s="161">
        <f t="shared" si="32"/>
        <v>2008</v>
      </c>
      <c r="S156" s="161">
        <f t="shared" si="32"/>
        <v>2009</v>
      </c>
      <c r="T156" s="161">
        <f t="shared" si="32"/>
        <v>2010</v>
      </c>
      <c r="U156" s="161">
        <f t="shared" si="32"/>
        <v>2011</v>
      </c>
      <c r="V156" s="161">
        <f t="shared" si="32"/>
        <v>2012</v>
      </c>
      <c r="W156" s="161">
        <f t="shared" si="32"/>
        <v>2013</v>
      </c>
      <c r="X156" s="161">
        <f t="shared" si="32"/>
        <v>2014</v>
      </c>
      <c r="Y156" s="161">
        <f t="shared" si="32"/>
        <v>2015</v>
      </c>
      <c r="Z156" s="161">
        <f t="shared" si="32"/>
        <v>2016</v>
      </c>
      <c r="AA156" s="161">
        <f t="shared" si="32"/>
        <v>2017</v>
      </c>
      <c r="AB156" s="161">
        <f t="shared" si="32"/>
        <v>2018</v>
      </c>
      <c r="AC156" s="161">
        <f t="shared" si="32"/>
        <v>2019</v>
      </c>
      <c r="AD156" s="161">
        <f t="shared" si="32"/>
        <v>2020</v>
      </c>
      <c r="AE156" s="161">
        <f t="shared" si="32"/>
        <v>2021</v>
      </c>
      <c r="AF156" s="161">
        <f t="shared" si="32"/>
        <v>2022</v>
      </c>
      <c r="AG156" s="161">
        <f t="shared" si="32"/>
        <v>2023</v>
      </c>
      <c r="AH156" s="161">
        <f t="shared" si="32"/>
        <v>2024</v>
      </c>
      <c r="AI156" s="161">
        <f t="shared" si="32"/>
        <v>2025</v>
      </c>
    </row>
    <row r="157" spans="1:41" ht="20.100000000000001" customHeight="1">
      <c r="K157" s="161" t="s">
        <v>99</v>
      </c>
      <c r="L157" s="161"/>
      <c r="M157" s="161"/>
      <c r="N157" s="161"/>
      <c r="O157" s="161"/>
      <c r="P157" s="161"/>
      <c r="Q157" s="161">
        <f>+Q154</f>
        <v>5846</v>
      </c>
      <c r="R157" s="162">
        <f>+B11</f>
        <v>5622</v>
      </c>
      <c r="S157" s="162">
        <f>+B12</f>
        <v>5398</v>
      </c>
      <c r="T157" s="162">
        <f>+B13</f>
        <v>5174</v>
      </c>
      <c r="U157" s="162">
        <f>+B14</f>
        <v>4950</v>
      </c>
      <c r="V157" s="162">
        <f>+B15</f>
        <v>4726</v>
      </c>
      <c r="W157" s="162">
        <f>+B16</f>
        <v>4502</v>
      </c>
      <c r="X157" s="162">
        <f>+B17</f>
        <v>4278</v>
      </c>
      <c r="Y157" s="162">
        <f>+B18</f>
        <v>4054</v>
      </c>
      <c r="Z157" s="162">
        <f>+B19</f>
        <v>3830</v>
      </c>
      <c r="AA157" s="162">
        <f>+B20</f>
        <v>3606</v>
      </c>
      <c r="AB157" s="162">
        <f>+B21</f>
        <v>3382</v>
      </c>
      <c r="AC157" s="162">
        <f>+B22</f>
        <v>3158</v>
      </c>
      <c r="AD157" s="162">
        <f>+B23</f>
        <v>2934</v>
      </c>
      <c r="AE157" s="162">
        <f>+B24</f>
        <v>2710</v>
      </c>
      <c r="AF157" s="162">
        <f>+B25</f>
        <v>2486</v>
      </c>
      <c r="AG157" s="162">
        <f>+B26</f>
        <v>2262</v>
      </c>
      <c r="AH157" s="162">
        <f>+B27</f>
        <v>2038</v>
      </c>
      <c r="AI157" s="162">
        <f>+B28</f>
        <v>1814</v>
      </c>
      <c r="AJ157" s="162"/>
      <c r="AK157" s="162"/>
      <c r="AL157" s="162"/>
      <c r="AM157" s="162"/>
      <c r="AN157" s="162"/>
      <c r="AO157" s="161"/>
    </row>
    <row r="158" spans="1:41" ht="20.100000000000001" customHeight="1">
      <c r="K158" s="161" t="s">
        <v>100</v>
      </c>
      <c r="L158" s="161"/>
      <c r="M158" s="161"/>
      <c r="N158" s="161"/>
      <c r="O158" s="161"/>
      <c r="P158" s="161"/>
      <c r="Q158" s="161">
        <f>+Q157</f>
        <v>5846</v>
      </c>
      <c r="R158" s="162">
        <f>+B37</f>
        <v>5597</v>
      </c>
      <c r="S158" s="162">
        <f>+B38</f>
        <v>5361</v>
      </c>
      <c r="T158" s="162">
        <f>+B39</f>
        <v>5126</v>
      </c>
      <c r="U158" s="162">
        <f>+B40</f>
        <v>4890</v>
      </c>
      <c r="V158" s="162">
        <f>+B41</f>
        <v>4655</v>
      </c>
      <c r="W158" s="162">
        <f>+B42</f>
        <v>4419</v>
      </c>
      <c r="X158" s="162">
        <f>+B43</f>
        <v>4184</v>
      </c>
      <c r="Y158" s="162">
        <f>+B44</f>
        <v>3948</v>
      </c>
      <c r="Z158" s="162">
        <f>+B45</f>
        <v>3713</v>
      </c>
      <c r="AA158" s="162">
        <f>+B46</f>
        <v>3477</v>
      </c>
      <c r="AB158" s="162">
        <f>+B47</f>
        <v>3242</v>
      </c>
      <c r="AC158" s="162">
        <f>+B48</f>
        <v>3006</v>
      </c>
      <c r="AD158" s="162">
        <f>+B49</f>
        <v>2771</v>
      </c>
      <c r="AE158" s="162">
        <f>+B50</f>
        <v>2535</v>
      </c>
      <c r="AF158" s="162">
        <f>+B51</f>
        <v>2300</v>
      </c>
      <c r="AG158" s="162">
        <f>+B52</f>
        <v>2065</v>
      </c>
      <c r="AH158" s="162">
        <f>+B53</f>
        <v>1829</v>
      </c>
      <c r="AI158" s="162">
        <f>+B54</f>
        <v>1594</v>
      </c>
      <c r="AJ158" s="162"/>
      <c r="AK158" s="162"/>
      <c r="AL158" s="162"/>
      <c r="AM158" s="162"/>
      <c r="AN158" s="162"/>
      <c r="AO158" s="161"/>
    </row>
    <row r="159" spans="1:41" ht="20.100000000000001" customHeight="1">
      <c r="K159" s="161" t="s">
        <v>101</v>
      </c>
      <c r="L159" s="161"/>
      <c r="M159" s="161"/>
      <c r="N159" s="161"/>
      <c r="O159" s="161"/>
      <c r="P159" s="161"/>
      <c r="Q159" s="161">
        <f>+Q158</f>
        <v>5846</v>
      </c>
      <c r="R159" s="162">
        <f>+B63</f>
        <v>5645</v>
      </c>
      <c r="S159" s="162">
        <f>+B64</f>
        <v>5450</v>
      </c>
      <c r="T159" s="162">
        <f>+B65</f>
        <v>5262</v>
      </c>
      <c r="U159" s="162">
        <f>+B66</f>
        <v>5081</v>
      </c>
      <c r="V159" s="162">
        <f>+B67</f>
        <v>4906</v>
      </c>
      <c r="W159" s="162">
        <f>+B68</f>
        <v>4737</v>
      </c>
      <c r="X159" s="162">
        <f>+B69</f>
        <v>4574</v>
      </c>
      <c r="Y159" s="162">
        <f>+B70</f>
        <v>4416</v>
      </c>
      <c r="Z159" s="162">
        <f>+B71</f>
        <v>4264</v>
      </c>
      <c r="AA159" s="162">
        <f>+B72</f>
        <v>4117</v>
      </c>
      <c r="AB159" s="162">
        <f>+B73</f>
        <v>3975</v>
      </c>
      <c r="AC159" s="162">
        <f>+B74</f>
        <v>3838</v>
      </c>
      <c r="AD159" s="162">
        <f>+B75</f>
        <v>3706</v>
      </c>
      <c r="AE159" s="162">
        <f>+B76</f>
        <v>3579</v>
      </c>
      <c r="AF159" s="162">
        <f>+B77</f>
        <v>3455</v>
      </c>
      <c r="AG159" s="162">
        <f>+B78</f>
        <v>3336</v>
      </c>
      <c r="AH159" s="162">
        <f>+B79</f>
        <v>3221</v>
      </c>
      <c r="AI159" s="162">
        <f>+B80</f>
        <v>3110</v>
      </c>
      <c r="AJ159" s="162"/>
      <c r="AK159" s="162"/>
      <c r="AL159" s="162"/>
      <c r="AM159" s="162"/>
      <c r="AN159" s="162"/>
      <c r="AO159" s="161"/>
    </row>
    <row r="160" spans="1:41" ht="20.100000000000001" customHeight="1">
      <c r="K160" s="161" t="s">
        <v>102</v>
      </c>
      <c r="L160" s="161"/>
      <c r="M160" s="161"/>
      <c r="N160" s="161"/>
      <c r="O160" s="161"/>
      <c r="P160" s="161"/>
      <c r="Q160" s="161">
        <f>+Q159</f>
        <v>5846</v>
      </c>
      <c r="R160" s="162" t="e">
        <f>+B89</f>
        <v>#VALUE!</v>
      </c>
      <c r="S160" s="162" t="e">
        <f>+B90</f>
        <v>#VALUE!</v>
      </c>
      <c r="T160" s="162" t="e">
        <f>+B91</f>
        <v>#VALUE!</v>
      </c>
      <c r="U160" s="162" t="e">
        <f>+B92</f>
        <v>#VALUE!</v>
      </c>
      <c r="V160" s="162" t="e">
        <f>+B93</f>
        <v>#VALUE!</v>
      </c>
      <c r="W160" s="162" t="e">
        <f>+B94</f>
        <v>#VALUE!</v>
      </c>
      <c r="X160" s="162" t="e">
        <f>+B95</f>
        <v>#VALUE!</v>
      </c>
      <c r="Y160" s="162" t="e">
        <f>+B96</f>
        <v>#VALUE!</v>
      </c>
      <c r="Z160" s="162" t="e">
        <f>+B97</f>
        <v>#VALUE!</v>
      </c>
      <c r="AA160" s="162" t="e">
        <f>+B98</f>
        <v>#VALUE!</v>
      </c>
      <c r="AB160" s="162" t="e">
        <f>+B99</f>
        <v>#VALUE!</v>
      </c>
      <c r="AC160" s="162" t="e">
        <f>+B100</f>
        <v>#VALUE!</v>
      </c>
      <c r="AD160" s="162" t="e">
        <f>+B101</f>
        <v>#VALUE!</v>
      </c>
      <c r="AE160" s="162" t="e">
        <f>+B102</f>
        <v>#VALUE!</v>
      </c>
      <c r="AF160" s="162" t="e">
        <f>+B103</f>
        <v>#VALUE!</v>
      </c>
      <c r="AG160" s="162" t="e">
        <f>+B104</f>
        <v>#VALUE!</v>
      </c>
      <c r="AH160" s="162" t="e">
        <f>+B105</f>
        <v>#VALUE!</v>
      </c>
      <c r="AI160" s="162" t="e">
        <f>+B106</f>
        <v>#VALUE!</v>
      </c>
      <c r="AJ160" s="161"/>
      <c r="AK160" s="161"/>
      <c r="AL160" s="161"/>
      <c r="AM160" s="161"/>
      <c r="AN160" s="161"/>
      <c r="AO160" s="161"/>
    </row>
    <row r="161" spans="11:41" ht="20.100000000000001" customHeight="1">
      <c r="K161" s="161" t="s">
        <v>103</v>
      </c>
      <c r="L161" s="161"/>
      <c r="M161" s="161"/>
      <c r="N161" s="161"/>
      <c r="O161" s="161"/>
      <c r="P161" s="161"/>
      <c r="Q161" s="161">
        <f>+Q160</f>
        <v>5846</v>
      </c>
      <c r="R161" s="162">
        <f>+B115</f>
        <v>5605</v>
      </c>
      <c r="S161" s="162">
        <f>+B116</f>
        <v>5378</v>
      </c>
      <c r="T161" s="162">
        <f>+B117</f>
        <v>5154</v>
      </c>
      <c r="U161" s="162">
        <f>+B118</f>
        <v>4935</v>
      </c>
      <c r="V161" s="162">
        <f>+B119</f>
        <v>4720</v>
      </c>
      <c r="W161" s="162">
        <f>+B120</f>
        <v>4510</v>
      </c>
      <c r="X161" s="162">
        <f>+B121</f>
        <v>4304</v>
      </c>
      <c r="Y161" s="162">
        <f>+B122</f>
        <v>4104</v>
      </c>
      <c r="Z161" s="162">
        <f>+B123</f>
        <v>3910</v>
      </c>
      <c r="AA161" s="162">
        <f>+B124</f>
        <v>3721</v>
      </c>
      <c r="AB161" s="162">
        <f>+B125</f>
        <v>3538</v>
      </c>
      <c r="AC161" s="162">
        <f>+B126</f>
        <v>3361</v>
      </c>
      <c r="AD161" s="162">
        <f>+B127</f>
        <v>3190</v>
      </c>
      <c r="AE161" s="162">
        <f>+B128</f>
        <v>3025</v>
      </c>
      <c r="AF161" s="162">
        <f>+B129</f>
        <v>2867</v>
      </c>
      <c r="AG161" s="162">
        <f>+B130</f>
        <v>2715</v>
      </c>
      <c r="AH161" s="162">
        <f>+B131</f>
        <v>2569</v>
      </c>
      <c r="AI161" s="162">
        <f>+B132</f>
        <v>2429</v>
      </c>
      <c r="AJ161" s="162"/>
      <c r="AK161" s="162"/>
      <c r="AL161" s="162"/>
      <c r="AM161" s="162"/>
      <c r="AN161" s="162"/>
      <c r="AO161" s="161"/>
    </row>
    <row r="162" spans="11:41" ht="20.100000000000001" customHeight="1">
      <c r="K162" s="161" t="s">
        <v>95</v>
      </c>
      <c r="L162" s="161"/>
      <c r="M162" s="161"/>
      <c r="N162" s="161"/>
      <c r="O162" s="161"/>
      <c r="P162" s="161"/>
      <c r="Q162" s="161">
        <f>+Q161</f>
        <v>5846</v>
      </c>
      <c r="R162" s="206">
        <f>+H136</f>
        <v>5613.5</v>
      </c>
      <c r="S162" s="206">
        <f>+H137</f>
        <v>5388</v>
      </c>
      <c r="T162" s="206">
        <f>+H138</f>
        <v>5164</v>
      </c>
      <c r="U162" s="206">
        <f>+H139</f>
        <v>4942.5</v>
      </c>
      <c r="V162" s="206">
        <f>+H140</f>
        <v>4723</v>
      </c>
      <c r="W162" s="175">
        <f>+H141</f>
        <v>4506</v>
      </c>
      <c r="X162" s="206">
        <f>+H142</f>
        <v>4291</v>
      </c>
      <c r="Y162" s="206">
        <f>+H143</f>
        <v>4079</v>
      </c>
      <c r="Z162" s="206">
        <f>+H144</f>
        <v>3870</v>
      </c>
      <c r="AA162" s="206">
        <f>+H145</f>
        <v>3663.5</v>
      </c>
      <c r="AB162" s="206">
        <f>+H146</f>
        <v>3460</v>
      </c>
      <c r="AC162" s="206">
        <f>+H147</f>
        <v>3259.5</v>
      </c>
      <c r="AD162" s="206">
        <f>+H148</f>
        <v>3062</v>
      </c>
      <c r="AE162" s="206">
        <f>+H149</f>
        <v>2867.5</v>
      </c>
      <c r="AF162" s="206">
        <f>+H150</f>
        <v>2676.5</v>
      </c>
      <c r="AG162" s="206">
        <f>+H151</f>
        <v>2488.5</v>
      </c>
      <c r="AH162" s="206">
        <f>+H152</f>
        <v>2303.5</v>
      </c>
      <c r="AI162" s="206">
        <f>+H153</f>
        <v>2121.5</v>
      </c>
      <c r="AJ162" s="161"/>
      <c r="AK162" s="161"/>
      <c r="AL162" s="161"/>
      <c r="AM162" s="161"/>
      <c r="AN162" s="161"/>
      <c r="AO162" s="161" t="s">
        <v>95</v>
      </c>
    </row>
    <row r="163" spans="11:41" ht="20.100000000000001" customHeight="1"/>
    <row r="164" spans="11:41" ht="20.100000000000001" customHeight="1"/>
    <row r="165" spans="11:41" ht="20.100000000000001" customHeight="1"/>
    <row r="166" spans="11:41" ht="20.100000000000001" customHeight="1"/>
    <row r="167" spans="11:41" ht="20.100000000000001" customHeight="1"/>
    <row r="168" spans="11:41" ht="20.100000000000001" customHeight="1"/>
    <row r="169" spans="11:41" ht="20.100000000000001" customHeight="1"/>
    <row r="170" spans="11:41" ht="20.100000000000001" customHeight="1"/>
    <row r="171" spans="11:41" ht="20.100000000000001" customHeight="1"/>
    <row r="172" spans="11:41" ht="20.100000000000001" customHeight="1"/>
    <row r="173" spans="11:41" ht="20.100000000000001" customHeight="1"/>
    <row r="174" spans="11:41" ht="20.100000000000001" customHeight="1"/>
    <row r="175" spans="11:41" ht="20.100000000000001" customHeight="1"/>
    <row r="176" spans="11:41" ht="20.100000000000001" customHeight="1"/>
    <row r="177" ht="20.100000000000001" customHeight="1"/>
    <row r="178" ht="20.100000000000001" customHeight="1"/>
    <row r="179" ht="20.100000000000001" customHeight="1"/>
  </sheetData>
  <phoneticPr fontId="50" type="noConversion"/>
  <pageMargins left="0.74803149606299213" right="0.74803149606299213" top="0.78740157480314965" bottom="0.78740157480314965" header="0.51181102362204722" footer="0.51181102362204722"/>
  <pageSetup paperSize="9" scale="70" fitToHeight="3" orientation="portrait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>
  <sheetPr codeName="Sheet31">
    <tabColor indexed="46"/>
  </sheetPr>
  <dimension ref="A1:AX248"/>
  <sheetViews>
    <sheetView workbookViewId="0"/>
  </sheetViews>
  <sheetFormatPr defaultRowHeight="15" customHeight="1"/>
  <cols>
    <col min="1" max="1" width="8.88671875" style="55"/>
    <col min="2" max="2" width="9.21875" style="55" customWidth="1"/>
    <col min="3" max="3" width="9.5546875" style="55" customWidth="1"/>
    <col min="4" max="4" width="9" style="55" customWidth="1"/>
    <col min="5" max="5" width="11.33203125" style="55" customWidth="1"/>
    <col min="6" max="6" width="9.44140625" style="55" customWidth="1"/>
    <col min="7" max="7" width="15.109375" style="55" bestFit="1" customWidth="1"/>
    <col min="8" max="8" width="12.88671875" style="55" bestFit="1" customWidth="1"/>
    <col min="9" max="9" width="11.5546875" style="55" bestFit="1" customWidth="1"/>
    <col min="10" max="16384" width="8.88671875" style="55"/>
  </cols>
  <sheetData>
    <row r="1" spans="1:12" ht="15" customHeight="1">
      <c r="A1" s="54" t="s">
        <v>114</v>
      </c>
    </row>
    <row r="2" spans="1:12" ht="15" customHeight="1">
      <c r="A2" s="54"/>
    </row>
    <row r="3" spans="1:12" ht="15" customHeight="1">
      <c r="A3" s="56" t="s">
        <v>74</v>
      </c>
      <c r="B3" s="57"/>
    </row>
    <row r="4" spans="1:12" ht="15" customHeight="1">
      <c r="A4" s="58" t="s">
        <v>32</v>
      </c>
      <c r="B4" s="59" t="s">
        <v>40</v>
      </c>
      <c r="C4" s="59" t="s">
        <v>33</v>
      </c>
      <c r="D4" s="60"/>
      <c r="E4" s="60"/>
      <c r="F4" s="61"/>
      <c r="G4" s="62"/>
      <c r="H4" s="63" t="s">
        <v>104</v>
      </c>
      <c r="I4" s="64">
        <f>RSQ(I5:I24,B5:B24)</f>
        <v>0.97202206425387783</v>
      </c>
    </row>
    <row r="5" spans="1:12" ht="15" customHeight="1">
      <c r="A5" s="65">
        <f>과거인구현황!A6</f>
        <v>1988</v>
      </c>
      <c r="B5" s="66">
        <f>+VLOOKUP(A5,과거인구현황!$A$6:$W$26,16,FALSE)</f>
        <v>11745</v>
      </c>
      <c r="C5" s="67">
        <v>0</v>
      </c>
      <c r="D5" s="53" t="s">
        <v>75</v>
      </c>
      <c r="E5" s="68">
        <f>(B24-B5)/C24</f>
        <v>-364.15789473684208</v>
      </c>
      <c r="F5" s="69"/>
      <c r="G5" s="53"/>
      <c r="H5" s="69"/>
      <c r="I5" s="70">
        <f t="shared" ref="I5:I42" si="0">$E$5*C5+$E$6</f>
        <v>11745</v>
      </c>
      <c r="J5" s="71">
        <v>570570</v>
      </c>
      <c r="K5" s="55">
        <v>570570</v>
      </c>
      <c r="L5" s="55">
        <v>766</v>
      </c>
    </row>
    <row r="6" spans="1:12" ht="15" customHeight="1">
      <c r="A6" s="65">
        <f>과거인구현황!A7</f>
        <v>1989</v>
      </c>
      <c r="B6" s="66">
        <f>+VLOOKUP(A6,과거인구현황!$A$6:$W$26,16,FALSE)</f>
        <v>11162</v>
      </c>
      <c r="C6" s="67">
        <f t="shared" ref="C6:C42" si="1">C5+1</f>
        <v>1</v>
      </c>
      <c r="D6" s="53" t="s">
        <v>76</v>
      </c>
      <c r="E6" s="72">
        <f>B5</f>
        <v>11745</v>
      </c>
      <c r="F6" s="69"/>
      <c r="G6" s="53"/>
      <c r="H6" s="69"/>
      <c r="I6" s="70">
        <f t="shared" si="0"/>
        <v>11380.842105263158</v>
      </c>
      <c r="J6" s="71">
        <v>583230</v>
      </c>
      <c r="K6" s="55">
        <v>583230</v>
      </c>
      <c r="L6" s="55">
        <v>1094</v>
      </c>
    </row>
    <row r="7" spans="1:12" ht="15" customHeight="1">
      <c r="A7" s="65">
        <f>과거인구현황!A8</f>
        <v>1990</v>
      </c>
      <c r="B7" s="66">
        <f>+VLOOKUP(A7,과거인구현황!$A$6:$W$26,16,FALSE)</f>
        <v>10195</v>
      </c>
      <c r="C7" s="67">
        <f t="shared" si="1"/>
        <v>2</v>
      </c>
      <c r="D7" s="53" t="s">
        <v>77</v>
      </c>
      <c r="E7" s="73">
        <f>I4</f>
        <v>0.97202206425387783</v>
      </c>
      <c r="F7" s="69"/>
      <c r="G7" s="53"/>
      <c r="H7" s="69"/>
      <c r="I7" s="70">
        <f t="shared" si="0"/>
        <v>11016.684210526317</v>
      </c>
      <c r="J7" s="71">
        <v>590162</v>
      </c>
      <c r="K7" s="55">
        <v>590162</v>
      </c>
      <c r="L7" s="55">
        <v>1277</v>
      </c>
    </row>
    <row r="8" spans="1:12" ht="15" customHeight="1">
      <c r="A8" s="65">
        <f>과거인구현황!A9</f>
        <v>1991</v>
      </c>
      <c r="B8" s="66">
        <f>+VLOOKUP(A8,과거인구현황!$A$6:$W$26,16,FALSE)</f>
        <v>10052</v>
      </c>
      <c r="C8" s="67">
        <f t="shared" si="1"/>
        <v>3</v>
      </c>
      <c r="D8" s="53"/>
      <c r="E8" s="53"/>
      <c r="F8" s="69"/>
      <c r="G8" s="53"/>
      <c r="H8" s="69"/>
      <c r="I8" s="70">
        <f t="shared" si="0"/>
        <v>10652.526315789473</v>
      </c>
      <c r="J8" s="71">
        <v>600343</v>
      </c>
      <c r="K8" s="55">
        <v>600343</v>
      </c>
      <c r="L8" s="55">
        <v>1147</v>
      </c>
    </row>
    <row r="9" spans="1:12" ht="15" customHeight="1">
      <c r="A9" s="65">
        <f>과거인구현황!A10</f>
        <v>1992</v>
      </c>
      <c r="B9" s="66">
        <f>+VLOOKUP(A9,과거인구현황!$A$6:$W$26,16,FALSE)</f>
        <v>9545</v>
      </c>
      <c r="C9" s="67">
        <f t="shared" si="1"/>
        <v>4</v>
      </c>
      <c r="D9" s="53"/>
      <c r="E9" s="53"/>
      <c r="F9" s="69"/>
      <c r="G9" s="53"/>
      <c r="H9" s="69"/>
      <c r="I9" s="70">
        <f t="shared" si="0"/>
        <v>10288.368421052632</v>
      </c>
      <c r="J9" s="71">
        <v>611921</v>
      </c>
      <c r="K9" s="55">
        <v>611921</v>
      </c>
      <c r="L9" s="55">
        <v>1355</v>
      </c>
    </row>
    <row r="10" spans="1:12" ht="15" customHeight="1">
      <c r="A10" s="65">
        <f>과거인구현황!A11</f>
        <v>1993</v>
      </c>
      <c r="B10" s="66">
        <f>+VLOOKUP(A10,과거인구현황!$A$6:$W$26,16,FALSE)</f>
        <v>8957</v>
      </c>
      <c r="C10" s="67">
        <f t="shared" si="1"/>
        <v>5</v>
      </c>
      <c r="D10" s="53"/>
      <c r="E10" s="53"/>
      <c r="F10" s="69"/>
      <c r="G10" s="53"/>
      <c r="H10" s="69"/>
      <c r="I10" s="70">
        <f t="shared" si="0"/>
        <v>9924.21052631579</v>
      </c>
      <c r="J10" s="74">
        <v>622238</v>
      </c>
      <c r="K10" s="55">
        <v>622238</v>
      </c>
      <c r="L10" s="55">
        <v>1717</v>
      </c>
    </row>
    <row r="11" spans="1:12" ht="15" customHeight="1">
      <c r="A11" s="65">
        <f>과거인구현황!A12</f>
        <v>1994</v>
      </c>
      <c r="B11" s="66">
        <f>+VLOOKUP(A11,과거인구현황!$A$6:$W$26,16,FALSE)</f>
        <v>8517</v>
      </c>
      <c r="C11" s="67">
        <f t="shared" si="1"/>
        <v>6</v>
      </c>
      <c r="D11" s="53" t="s">
        <v>73</v>
      </c>
      <c r="E11" s="53"/>
      <c r="F11" s="69"/>
      <c r="G11" s="53"/>
      <c r="H11" s="69"/>
      <c r="I11" s="70">
        <f t="shared" si="0"/>
        <v>9560.0526315789466</v>
      </c>
      <c r="J11" s="74">
        <v>623897</v>
      </c>
      <c r="K11" s="55">
        <v>623897</v>
      </c>
      <c r="L11" s="55">
        <v>1614</v>
      </c>
    </row>
    <row r="12" spans="1:12" ht="15" customHeight="1">
      <c r="A12" s="65">
        <f>과거인구현황!A13</f>
        <v>1995</v>
      </c>
      <c r="B12" s="66">
        <f>+VLOOKUP(A12,과거인구현황!$A$6:$W$26,16,FALSE)</f>
        <v>8096</v>
      </c>
      <c r="C12" s="67">
        <f t="shared" si="1"/>
        <v>7</v>
      </c>
      <c r="D12" s="53"/>
      <c r="E12" s="53"/>
      <c r="F12" s="69"/>
      <c r="G12" s="53"/>
      <c r="H12" s="69"/>
      <c r="I12" s="70">
        <f t="shared" si="0"/>
        <v>9195.894736842105</v>
      </c>
      <c r="J12" s="74">
        <v>626069</v>
      </c>
      <c r="K12" s="55">
        <v>626069</v>
      </c>
      <c r="L12" s="55">
        <v>1584</v>
      </c>
    </row>
    <row r="13" spans="1:12" ht="15" customHeight="1">
      <c r="A13" s="65">
        <f>과거인구현황!A14</f>
        <v>1996</v>
      </c>
      <c r="B13" s="66">
        <f>+VLOOKUP(A13,과거인구현황!$A$6:$W$26,16,FALSE)</f>
        <v>7628</v>
      </c>
      <c r="C13" s="67">
        <f t="shared" si="1"/>
        <v>8</v>
      </c>
      <c r="D13" s="53"/>
      <c r="E13" s="53"/>
      <c r="F13" s="69"/>
      <c r="G13" s="53"/>
      <c r="H13" s="69"/>
      <c r="I13" s="70">
        <f t="shared" si="0"/>
        <v>8831.7368421052633</v>
      </c>
      <c r="J13" s="74">
        <v>618816</v>
      </c>
      <c r="K13" s="55">
        <v>620374</v>
      </c>
      <c r="L13" s="75">
        <v>1555</v>
      </c>
    </row>
    <row r="14" spans="1:12" ht="15" customHeight="1">
      <c r="A14" s="65">
        <f>과거인구현황!A15</f>
        <v>1997</v>
      </c>
      <c r="B14" s="66">
        <f>+VLOOKUP(A14,과거인구현황!$A$6:$W$26,16,FALSE)</f>
        <v>7375</v>
      </c>
      <c r="C14" s="67">
        <f t="shared" si="1"/>
        <v>9</v>
      </c>
      <c r="D14" s="53"/>
      <c r="E14" s="53"/>
      <c r="F14" s="69"/>
      <c r="G14" s="53"/>
      <c r="H14" s="69"/>
      <c r="I14" s="70">
        <f t="shared" si="0"/>
        <v>8467.5789473684217</v>
      </c>
      <c r="J14" s="74">
        <v>622472</v>
      </c>
      <c r="K14" s="55">
        <v>624260</v>
      </c>
      <c r="L14" s="75">
        <v>1788</v>
      </c>
    </row>
    <row r="15" spans="1:12" ht="15" customHeight="1">
      <c r="A15" s="65">
        <f>과거인구현황!A16</f>
        <v>1998</v>
      </c>
      <c r="B15" s="66">
        <f>+VLOOKUP(A15,과거인구현황!$A$6:$W$26,16,FALSE)</f>
        <v>7030</v>
      </c>
      <c r="C15" s="67">
        <f t="shared" si="1"/>
        <v>10</v>
      </c>
      <c r="D15" s="53"/>
      <c r="E15" s="53"/>
      <c r="F15" s="69"/>
      <c r="G15" s="53"/>
      <c r="H15" s="69"/>
      <c r="I15" s="70">
        <f t="shared" si="0"/>
        <v>8103.4210526315792</v>
      </c>
      <c r="K15" s="55">
        <v>623804</v>
      </c>
      <c r="L15" s="75">
        <f>+J15-K15</f>
        <v>-623804</v>
      </c>
    </row>
    <row r="16" spans="1:12" ht="15" customHeight="1">
      <c r="A16" s="65">
        <f>과거인구현황!A17</f>
        <v>1999</v>
      </c>
      <c r="B16" s="66">
        <f>+VLOOKUP(A16,과거인구현황!$A$6:$W$26,16,FALSE)</f>
        <v>6695</v>
      </c>
      <c r="C16" s="67">
        <f t="shared" si="1"/>
        <v>11</v>
      </c>
      <c r="D16" s="53"/>
      <c r="E16" s="53"/>
      <c r="F16" s="69"/>
      <c r="G16" s="53"/>
      <c r="H16" s="69"/>
      <c r="I16" s="70">
        <f t="shared" si="0"/>
        <v>7739.2631578947367</v>
      </c>
      <c r="L16" s="75"/>
    </row>
    <row r="17" spans="1:12" ht="15" customHeight="1">
      <c r="A17" s="65">
        <f>과거인구현황!A18</f>
        <v>2000</v>
      </c>
      <c r="B17" s="66">
        <f>+VLOOKUP(A17,과거인구현황!$A$6:$W$26,16,FALSE)</f>
        <v>6281</v>
      </c>
      <c r="C17" s="67">
        <f t="shared" si="1"/>
        <v>12</v>
      </c>
      <c r="D17" s="53"/>
      <c r="E17" s="53"/>
      <c r="F17" s="69"/>
      <c r="G17" s="53"/>
      <c r="H17" s="69"/>
      <c r="I17" s="70">
        <f t="shared" si="0"/>
        <v>7375.105263157895</v>
      </c>
      <c r="L17" s="75"/>
    </row>
    <row r="18" spans="1:12" ht="15" customHeight="1">
      <c r="A18" s="65">
        <f>과거인구현황!A19</f>
        <v>2001</v>
      </c>
      <c r="B18" s="66">
        <f>+VLOOKUP(A18,과거인구현황!$A$6:$W$26,16,FALSE)</f>
        <v>5959</v>
      </c>
      <c r="C18" s="67">
        <f t="shared" si="1"/>
        <v>13</v>
      </c>
      <c r="D18" s="53"/>
      <c r="E18" s="53"/>
      <c r="F18" s="69"/>
      <c r="G18" s="53"/>
      <c r="H18" s="69"/>
      <c r="I18" s="70">
        <f t="shared" si="0"/>
        <v>7010.9473684210534</v>
      </c>
      <c r="L18" s="75"/>
    </row>
    <row r="19" spans="1:12" ht="15" customHeight="1">
      <c r="A19" s="65">
        <f>과거인구현황!A20</f>
        <v>2002</v>
      </c>
      <c r="B19" s="66">
        <f>+VLOOKUP(A19,과거인구현황!$A$6:$W$26,16,FALSE)</f>
        <v>5578</v>
      </c>
      <c r="C19" s="67">
        <f t="shared" si="1"/>
        <v>14</v>
      </c>
      <c r="D19" s="53"/>
      <c r="E19" s="53"/>
      <c r="F19" s="69"/>
      <c r="G19" s="53"/>
      <c r="H19" s="69"/>
      <c r="I19" s="70">
        <f t="shared" si="0"/>
        <v>6646.7894736842109</v>
      </c>
      <c r="L19" s="75"/>
    </row>
    <row r="20" spans="1:12" ht="15" customHeight="1">
      <c r="A20" s="65">
        <f>과거인구현황!A21</f>
        <v>2003</v>
      </c>
      <c r="B20" s="66">
        <f>+VLOOKUP(A20,과거인구현황!$A$6:$W$26,16,FALSE)</f>
        <v>5267</v>
      </c>
      <c r="C20" s="67">
        <f t="shared" si="1"/>
        <v>15</v>
      </c>
      <c r="D20" s="53"/>
      <c r="E20" s="53"/>
      <c r="F20" s="69"/>
      <c r="G20" s="53"/>
      <c r="H20" s="69"/>
      <c r="I20" s="70">
        <f t="shared" si="0"/>
        <v>6282.6315789473683</v>
      </c>
      <c r="L20" s="75"/>
    </row>
    <row r="21" spans="1:12" ht="15" customHeight="1">
      <c r="A21" s="65">
        <f>과거인구현황!A22</f>
        <v>2004</v>
      </c>
      <c r="B21" s="66">
        <f>+VLOOKUP(A21,과거인구현황!$A$6:$W$26,16,FALSE)</f>
        <v>5105</v>
      </c>
      <c r="C21" s="67">
        <f t="shared" si="1"/>
        <v>16</v>
      </c>
      <c r="D21" s="53"/>
      <c r="E21" s="53"/>
      <c r="F21" s="69"/>
      <c r="G21" s="53"/>
      <c r="H21" s="69"/>
      <c r="I21" s="70">
        <f t="shared" si="0"/>
        <v>5918.4736842105267</v>
      </c>
      <c r="L21" s="75"/>
    </row>
    <row r="22" spans="1:12" ht="15" customHeight="1">
      <c r="A22" s="65">
        <f>과거인구현황!A23</f>
        <v>2005</v>
      </c>
      <c r="B22" s="66">
        <f>+VLOOKUP(A22,과거인구현황!$A$6:$W$26,16,FALSE)</f>
        <v>4844</v>
      </c>
      <c r="C22" s="67">
        <f t="shared" si="1"/>
        <v>17</v>
      </c>
      <c r="D22" s="53"/>
      <c r="E22" s="53"/>
      <c r="F22" s="69"/>
      <c r="G22" s="53"/>
      <c r="H22" s="69"/>
      <c r="I22" s="70">
        <f t="shared" si="0"/>
        <v>5554.3157894736851</v>
      </c>
      <c r="L22" s="75"/>
    </row>
    <row r="23" spans="1:12" ht="15" customHeight="1">
      <c r="A23" s="65">
        <f>과거인구현황!A24</f>
        <v>2006</v>
      </c>
      <c r="B23" s="66">
        <f>+VLOOKUP(A23,과거인구현황!$A$6:$W$26,16,FALSE)</f>
        <v>4774</v>
      </c>
      <c r="C23" s="67">
        <f t="shared" si="1"/>
        <v>18</v>
      </c>
      <c r="D23" s="53"/>
      <c r="E23" s="53"/>
      <c r="F23" s="69"/>
      <c r="G23" s="53"/>
      <c r="H23" s="69"/>
      <c r="I23" s="70">
        <f t="shared" si="0"/>
        <v>5190.1578947368425</v>
      </c>
      <c r="L23" s="75"/>
    </row>
    <row r="24" spans="1:12" ht="15" customHeight="1" thickBot="1">
      <c r="A24" s="97">
        <f>과거인구현황!A25</f>
        <v>2007</v>
      </c>
      <c r="B24" s="185">
        <f>+VLOOKUP(A24,과거인구현황!$A$6:$W$26,16,FALSE)</f>
        <v>4826</v>
      </c>
      <c r="C24" s="99">
        <f t="shared" si="1"/>
        <v>19</v>
      </c>
      <c r="D24" s="101"/>
      <c r="E24" s="101"/>
      <c r="F24" s="100"/>
      <c r="G24" s="101"/>
      <c r="H24" s="100"/>
      <c r="I24" s="102">
        <f t="shared" si="0"/>
        <v>4826</v>
      </c>
      <c r="L24" s="75"/>
    </row>
    <row r="25" spans="1:12" ht="15" customHeight="1" thickTop="1">
      <c r="A25" s="255">
        <v>2008</v>
      </c>
      <c r="B25" s="81">
        <f t="shared" ref="B25:B42" si="2">ROUND($E$5*C25+$E$6,0)</f>
        <v>4462</v>
      </c>
      <c r="C25" s="77">
        <f t="shared" si="1"/>
        <v>20</v>
      </c>
      <c r="D25" s="256"/>
      <c r="E25" s="256"/>
      <c r="F25" s="78"/>
      <c r="G25" s="256"/>
      <c r="H25" s="78"/>
      <c r="I25" s="79">
        <f t="shared" si="0"/>
        <v>4461.8421052631584</v>
      </c>
      <c r="L25" s="75"/>
    </row>
    <row r="26" spans="1:12" ht="15" customHeight="1">
      <c r="A26" s="80">
        <v>2009</v>
      </c>
      <c r="B26" s="81">
        <f t="shared" si="2"/>
        <v>4098</v>
      </c>
      <c r="C26" s="67">
        <f>C25+1</f>
        <v>21</v>
      </c>
      <c r="D26" s="69"/>
      <c r="E26" s="69"/>
      <c r="F26" s="69"/>
      <c r="G26" s="69"/>
      <c r="H26" s="69"/>
      <c r="I26" s="70">
        <f t="shared" si="0"/>
        <v>4097.6842105263167</v>
      </c>
    </row>
    <row r="27" spans="1:12" ht="15" customHeight="1">
      <c r="A27" s="80">
        <v>2010</v>
      </c>
      <c r="B27" s="81">
        <f t="shared" si="2"/>
        <v>3734</v>
      </c>
      <c r="C27" s="82">
        <f t="shared" si="1"/>
        <v>22</v>
      </c>
      <c r="D27" s="69"/>
      <c r="E27" s="69"/>
      <c r="F27" s="69"/>
      <c r="G27" s="69"/>
      <c r="H27" s="69"/>
      <c r="I27" s="70">
        <f t="shared" si="0"/>
        <v>3733.5263157894742</v>
      </c>
    </row>
    <row r="28" spans="1:12" ht="15" customHeight="1">
      <c r="A28" s="80">
        <v>2011</v>
      </c>
      <c r="B28" s="81">
        <f t="shared" si="2"/>
        <v>3369</v>
      </c>
      <c r="C28" s="82">
        <f t="shared" si="1"/>
        <v>23</v>
      </c>
      <c r="D28" s="69"/>
      <c r="E28" s="69"/>
      <c r="F28" s="69"/>
      <c r="G28" s="69"/>
      <c r="H28" s="69"/>
      <c r="I28" s="70">
        <f t="shared" si="0"/>
        <v>3369.3684210526317</v>
      </c>
    </row>
    <row r="29" spans="1:12" ht="15" customHeight="1">
      <c r="A29" s="80">
        <v>2012</v>
      </c>
      <c r="B29" s="81">
        <f t="shared" si="2"/>
        <v>3005</v>
      </c>
      <c r="C29" s="82">
        <f t="shared" si="1"/>
        <v>24</v>
      </c>
      <c r="D29" s="69"/>
      <c r="E29" s="69"/>
      <c r="F29" s="69"/>
      <c r="G29" s="69"/>
      <c r="H29" s="69"/>
      <c r="I29" s="70">
        <f t="shared" si="0"/>
        <v>3005.21052631579</v>
      </c>
    </row>
    <row r="30" spans="1:12" ht="15" customHeight="1">
      <c r="A30" s="80">
        <v>2013</v>
      </c>
      <c r="B30" s="81">
        <f t="shared" si="2"/>
        <v>2641</v>
      </c>
      <c r="C30" s="82">
        <f t="shared" si="1"/>
        <v>25</v>
      </c>
      <c r="D30" s="69"/>
      <c r="E30" s="69"/>
      <c r="F30" s="69"/>
      <c r="G30" s="69"/>
      <c r="H30" s="69"/>
      <c r="I30" s="70">
        <f t="shared" si="0"/>
        <v>2641.0526315789484</v>
      </c>
    </row>
    <row r="31" spans="1:12" ht="15" customHeight="1">
      <c r="A31" s="80">
        <v>2014</v>
      </c>
      <c r="B31" s="81">
        <f t="shared" si="2"/>
        <v>2277</v>
      </c>
      <c r="C31" s="82">
        <f t="shared" si="1"/>
        <v>26</v>
      </c>
      <c r="D31" s="69"/>
      <c r="E31" s="69"/>
      <c r="F31" s="69"/>
      <c r="G31" s="69"/>
      <c r="H31" s="69"/>
      <c r="I31" s="70">
        <f t="shared" si="0"/>
        <v>2276.8947368421068</v>
      </c>
    </row>
    <row r="32" spans="1:12" ht="15" customHeight="1">
      <c r="A32" s="80">
        <v>2015</v>
      </c>
      <c r="B32" s="81">
        <f t="shared" si="2"/>
        <v>1913</v>
      </c>
      <c r="C32" s="82">
        <f t="shared" si="1"/>
        <v>27</v>
      </c>
      <c r="D32" s="69"/>
      <c r="E32" s="69"/>
      <c r="F32" s="69"/>
      <c r="G32" s="69"/>
      <c r="H32" s="69"/>
      <c r="I32" s="70">
        <f t="shared" si="0"/>
        <v>1912.7368421052633</v>
      </c>
    </row>
    <row r="33" spans="1:9" ht="15" customHeight="1">
      <c r="A33" s="80">
        <v>2016</v>
      </c>
      <c r="B33" s="81">
        <f t="shared" si="2"/>
        <v>1549</v>
      </c>
      <c r="C33" s="82">
        <f t="shared" si="1"/>
        <v>28</v>
      </c>
      <c r="D33" s="69"/>
      <c r="E33" s="69"/>
      <c r="F33" s="69"/>
      <c r="G33" s="69"/>
      <c r="H33" s="69"/>
      <c r="I33" s="70">
        <f t="shared" si="0"/>
        <v>1548.5789473684217</v>
      </c>
    </row>
    <row r="34" spans="1:9" ht="15" customHeight="1">
      <c r="A34" s="80">
        <v>2017</v>
      </c>
      <c r="B34" s="81">
        <f t="shared" si="2"/>
        <v>1184</v>
      </c>
      <c r="C34" s="82">
        <f t="shared" si="1"/>
        <v>29</v>
      </c>
      <c r="D34" s="69"/>
      <c r="E34" s="69"/>
      <c r="F34" s="69"/>
      <c r="G34" s="69"/>
      <c r="H34" s="69"/>
      <c r="I34" s="70">
        <f t="shared" si="0"/>
        <v>1184.4210526315801</v>
      </c>
    </row>
    <row r="35" spans="1:9" ht="15" customHeight="1">
      <c r="A35" s="80">
        <v>2018</v>
      </c>
      <c r="B35" s="81">
        <f t="shared" si="2"/>
        <v>820</v>
      </c>
      <c r="C35" s="82">
        <f t="shared" si="1"/>
        <v>30</v>
      </c>
      <c r="D35" s="69"/>
      <c r="E35" s="69"/>
      <c r="F35" s="69"/>
      <c r="G35" s="69"/>
      <c r="H35" s="69"/>
      <c r="I35" s="70">
        <f t="shared" si="0"/>
        <v>820.26315789473665</v>
      </c>
    </row>
    <row r="36" spans="1:9" ht="15" customHeight="1">
      <c r="A36" s="80">
        <v>2019</v>
      </c>
      <c r="B36" s="81">
        <f t="shared" si="2"/>
        <v>456</v>
      </c>
      <c r="C36" s="82">
        <f t="shared" si="1"/>
        <v>31</v>
      </c>
      <c r="D36" s="69"/>
      <c r="E36" s="69"/>
      <c r="F36" s="69"/>
      <c r="G36" s="69"/>
      <c r="H36" s="69"/>
      <c r="I36" s="70">
        <f t="shared" si="0"/>
        <v>456.10526315789502</v>
      </c>
    </row>
    <row r="37" spans="1:9" ht="15" customHeight="1">
      <c r="A37" s="80">
        <v>2020</v>
      </c>
      <c r="B37" s="81">
        <f t="shared" si="2"/>
        <v>92</v>
      </c>
      <c r="C37" s="82">
        <f t="shared" si="1"/>
        <v>32</v>
      </c>
      <c r="D37" s="69"/>
      <c r="E37" s="69"/>
      <c r="F37" s="69"/>
      <c r="G37" s="69"/>
      <c r="H37" s="69"/>
      <c r="I37" s="70">
        <f t="shared" si="0"/>
        <v>91.947368421053397</v>
      </c>
    </row>
    <row r="38" spans="1:9" ht="15" customHeight="1">
      <c r="A38" s="80">
        <v>2021</v>
      </c>
      <c r="B38" s="81">
        <f t="shared" si="2"/>
        <v>-272</v>
      </c>
      <c r="C38" s="82">
        <f t="shared" si="1"/>
        <v>33</v>
      </c>
      <c r="D38" s="69"/>
      <c r="E38" s="69"/>
      <c r="F38" s="69"/>
      <c r="G38" s="69"/>
      <c r="H38" s="69"/>
      <c r="I38" s="70">
        <f t="shared" si="0"/>
        <v>-272.21052631578823</v>
      </c>
    </row>
    <row r="39" spans="1:9" ht="15" customHeight="1">
      <c r="A39" s="80">
        <v>2022</v>
      </c>
      <c r="B39" s="81">
        <f t="shared" si="2"/>
        <v>-636</v>
      </c>
      <c r="C39" s="82">
        <f t="shared" si="1"/>
        <v>34</v>
      </c>
      <c r="D39" s="69"/>
      <c r="E39" s="69"/>
      <c r="F39" s="69"/>
      <c r="G39" s="69"/>
      <c r="H39" s="69"/>
      <c r="I39" s="70">
        <f t="shared" si="0"/>
        <v>-636.36842105262986</v>
      </c>
    </row>
    <row r="40" spans="1:9" ht="15" customHeight="1">
      <c r="A40" s="80">
        <v>2023</v>
      </c>
      <c r="B40" s="81">
        <f t="shared" si="2"/>
        <v>-1001</v>
      </c>
      <c r="C40" s="82">
        <f t="shared" si="1"/>
        <v>35</v>
      </c>
      <c r="D40" s="69"/>
      <c r="E40" s="69"/>
      <c r="F40" s="69"/>
      <c r="G40" s="69"/>
      <c r="H40" s="69"/>
      <c r="I40" s="70">
        <f t="shared" si="0"/>
        <v>-1000.5263157894733</v>
      </c>
    </row>
    <row r="41" spans="1:9" ht="15" customHeight="1">
      <c r="A41" s="80">
        <v>2024</v>
      </c>
      <c r="B41" s="81">
        <f t="shared" si="2"/>
        <v>-1365</v>
      </c>
      <c r="C41" s="67">
        <f t="shared" si="1"/>
        <v>36</v>
      </c>
      <c r="D41" s="83"/>
      <c r="E41" s="69"/>
      <c r="F41" s="69"/>
      <c r="G41" s="69"/>
      <c r="H41" s="84"/>
      <c r="I41" s="70">
        <f t="shared" si="0"/>
        <v>-1364.6842105263149</v>
      </c>
    </row>
    <row r="42" spans="1:9" ht="15" customHeight="1">
      <c r="A42" s="85">
        <v>2025</v>
      </c>
      <c r="B42" s="86">
        <f t="shared" si="2"/>
        <v>-1729</v>
      </c>
      <c r="C42" s="87">
        <f t="shared" si="1"/>
        <v>37</v>
      </c>
      <c r="D42" s="88"/>
      <c r="E42" s="89"/>
      <c r="F42" s="89"/>
      <c r="G42" s="89"/>
      <c r="H42" s="90"/>
      <c r="I42" s="91">
        <f t="shared" si="0"/>
        <v>-1728.8421052631566</v>
      </c>
    </row>
    <row r="43" spans="1:9" ht="15" customHeight="1">
      <c r="A43" s="56" t="s">
        <v>78</v>
      </c>
      <c r="B43" s="92"/>
      <c r="I43" s="89"/>
    </row>
    <row r="44" spans="1:9" ht="15" customHeight="1">
      <c r="A44" s="58" t="s">
        <v>32</v>
      </c>
      <c r="B44" s="59" t="s">
        <v>40</v>
      </c>
      <c r="C44" s="59" t="s">
        <v>33</v>
      </c>
      <c r="D44" s="60"/>
      <c r="E44" s="60"/>
      <c r="F44" s="61"/>
      <c r="G44" s="62"/>
      <c r="H44" s="63" t="s">
        <v>104</v>
      </c>
      <c r="I44" s="64">
        <f>RSQ(I45:I65,B45:B65)</f>
        <v>0.97574394578245205</v>
      </c>
    </row>
    <row r="45" spans="1:9" ht="15" customHeight="1">
      <c r="A45" s="65">
        <f t="shared" ref="A45:B60" si="3">A5</f>
        <v>1988</v>
      </c>
      <c r="B45" s="93">
        <f t="shared" si="3"/>
        <v>11745</v>
      </c>
      <c r="C45" s="67">
        <v>0</v>
      </c>
      <c r="D45" s="53" t="s">
        <v>75</v>
      </c>
      <c r="E45" s="68">
        <f>INDEX(LINEST(B45:B64,C45:C64),1)</f>
        <v>-370.09548872180449</v>
      </c>
      <c r="F45" s="69"/>
      <c r="G45" s="53"/>
      <c r="H45" s="69"/>
      <c r="I45" s="94">
        <f t="shared" ref="I45:I82" si="4">$E$45*C45+$E$46</f>
        <v>10997.457142857143</v>
      </c>
    </row>
    <row r="46" spans="1:9" ht="15" customHeight="1">
      <c r="A46" s="65">
        <f t="shared" si="3"/>
        <v>1989</v>
      </c>
      <c r="B46" s="93">
        <f t="shared" si="3"/>
        <v>11162</v>
      </c>
      <c r="C46" s="67">
        <f t="shared" ref="C46:C82" si="5">C45+1</f>
        <v>1</v>
      </c>
      <c r="D46" s="53" t="s">
        <v>76</v>
      </c>
      <c r="E46" s="72">
        <f>INDEX(LINEST(B45:B64,C45:C64),2)</f>
        <v>10997.457142857143</v>
      </c>
      <c r="F46" s="69"/>
      <c r="G46" s="53"/>
      <c r="H46" s="69"/>
      <c r="I46" s="70">
        <f t="shared" si="4"/>
        <v>10627.361654135339</v>
      </c>
    </row>
    <row r="47" spans="1:9" ht="15" customHeight="1">
      <c r="A47" s="65">
        <f t="shared" si="3"/>
        <v>1990</v>
      </c>
      <c r="B47" s="93">
        <f t="shared" si="3"/>
        <v>10195</v>
      </c>
      <c r="C47" s="67">
        <f t="shared" si="5"/>
        <v>2</v>
      </c>
      <c r="D47" s="53" t="s">
        <v>77</v>
      </c>
      <c r="E47" s="73">
        <f>I44</f>
        <v>0.97574394578245205</v>
      </c>
      <c r="F47" s="69"/>
      <c r="G47" s="53"/>
      <c r="H47" s="69"/>
      <c r="I47" s="70">
        <f t="shared" si="4"/>
        <v>10257.266165413534</v>
      </c>
    </row>
    <row r="48" spans="1:9" ht="15" customHeight="1">
      <c r="A48" s="65">
        <f t="shared" si="3"/>
        <v>1991</v>
      </c>
      <c r="B48" s="93">
        <f t="shared" si="3"/>
        <v>10052</v>
      </c>
      <c r="C48" s="67">
        <f t="shared" si="5"/>
        <v>3</v>
      </c>
      <c r="D48" s="53"/>
      <c r="E48" s="53"/>
      <c r="F48" s="69"/>
      <c r="G48" s="53"/>
      <c r="H48" s="69"/>
      <c r="I48" s="70">
        <f t="shared" si="4"/>
        <v>9887.1706766917305</v>
      </c>
    </row>
    <row r="49" spans="1:9" ht="15" customHeight="1">
      <c r="A49" s="65">
        <f t="shared" si="3"/>
        <v>1992</v>
      </c>
      <c r="B49" s="93">
        <f t="shared" si="3"/>
        <v>9545</v>
      </c>
      <c r="C49" s="67">
        <f t="shared" si="5"/>
        <v>4</v>
      </c>
      <c r="D49" s="53"/>
      <c r="E49" s="53"/>
      <c r="F49" s="69"/>
      <c r="G49" s="95"/>
      <c r="H49" s="69"/>
      <c r="I49" s="70">
        <f t="shared" si="4"/>
        <v>9517.0751879699255</v>
      </c>
    </row>
    <row r="50" spans="1:9" ht="15" customHeight="1">
      <c r="A50" s="65">
        <f t="shared" si="3"/>
        <v>1993</v>
      </c>
      <c r="B50" s="93">
        <f t="shared" si="3"/>
        <v>8957</v>
      </c>
      <c r="C50" s="67">
        <f t="shared" si="5"/>
        <v>5</v>
      </c>
      <c r="D50" s="53"/>
      <c r="E50" s="53"/>
      <c r="F50" s="69"/>
      <c r="G50" s="53"/>
      <c r="H50" s="69"/>
      <c r="I50" s="70">
        <f t="shared" si="4"/>
        <v>9146.9796992481206</v>
      </c>
    </row>
    <row r="51" spans="1:9" ht="15" customHeight="1">
      <c r="A51" s="65">
        <f t="shared" si="3"/>
        <v>1994</v>
      </c>
      <c r="B51" s="93">
        <f t="shared" si="3"/>
        <v>8517</v>
      </c>
      <c r="C51" s="67">
        <f t="shared" si="5"/>
        <v>6</v>
      </c>
      <c r="D51" s="53" t="s">
        <v>73</v>
      </c>
      <c r="E51" s="53"/>
      <c r="F51" s="69"/>
      <c r="G51" s="53"/>
      <c r="H51" s="69"/>
      <c r="I51" s="70">
        <f t="shared" si="4"/>
        <v>8776.8842105263175</v>
      </c>
    </row>
    <row r="52" spans="1:9" ht="15" customHeight="1">
      <c r="A52" s="65">
        <f t="shared" si="3"/>
        <v>1995</v>
      </c>
      <c r="B52" s="93">
        <f t="shared" si="3"/>
        <v>8096</v>
      </c>
      <c r="C52" s="67">
        <f t="shared" si="5"/>
        <v>7</v>
      </c>
      <c r="D52" s="53"/>
      <c r="E52" s="53"/>
      <c r="F52" s="69"/>
      <c r="G52" s="53"/>
      <c r="H52" s="69"/>
      <c r="I52" s="70">
        <f t="shared" si="4"/>
        <v>8406.7887218045125</v>
      </c>
    </row>
    <row r="53" spans="1:9" ht="15" customHeight="1">
      <c r="A53" s="65">
        <f t="shared" si="3"/>
        <v>1996</v>
      </c>
      <c r="B53" s="93">
        <f t="shared" si="3"/>
        <v>7628</v>
      </c>
      <c r="C53" s="67">
        <f t="shared" si="5"/>
        <v>8</v>
      </c>
      <c r="D53" s="53"/>
      <c r="E53" s="53"/>
      <c r="F53" s="69"/>
      <c r="G53" s="53"/>
      <c r="H53" s="69"/>
      <c r="I53" s="70">
        <f t="shared" si="4"/>
        <v>8036.6932330827076</v>
      </c>
    </row>
    <row r="54" spans="1:9" ht="15" customHeight="1">
      <c r="A54" s="65">
        <f t="shared" si="3"/>
        <v>1997</v>
      </c>
      <c r="B54" s="93">
        <f t="shared" si="3"/>
        <v>7375</v>
      </c>
      <c r="C54" s="67">
        <f t="shared" si="5"/>
        <v>9</v>
      </c>
      <c r="D54" s="69"/>
      <c r="E54" s="69"/>
      <c r="F54" s="69"/>
      <c r="G54" s="53"/>
      <c r="H54" s="53"/>
      <c r="I54" s="70">
        <f t="shared" si="4"/>
        <v>7666.5977443609027</v>
      </c>
    </row>
    <row r="55" spans="1:9" ht="15" customHeight="1">
      <c r="A55" s="65">
        <f t="shared" si="3"/>
        <v>1998</v>
      </c>
      <c r="B55" s="93">
        <f t="shared" si="3"/>
        <v>7030</v>
      </c>
      <c r="C55" s="67">
        <f t="shared" si="5"/>
        <v>10</v>
      </c>
      <c r="D55" s="69"/>
      <c r="E55" s="69"/>
      <c r="F55" s="69"/>
      <c r="G55" s="53"/>
      <c r="H55" s="53"/>
      <c r="I55" s="70">
        <f t="shared" si="4"/>
        <v>7296.5022556390986</v>
      </c>
    </row>
    <row r="56" spans="1:9" ht="15" customHeight="1">
      <c r="A56" s="65">
        <f t="shared" si="3"/>
        <v>1999</v>
      </c>
      <c r="B56" s="93">
        <f t="shared" si="3"/>
        <v>6695</v>
      </c>
      <c r="C56" s="67">
        <f t="shared" si="5"/>
        <v>11</v>
      </c>
      <c r="D56" s="69"/>
      <c r="E56" s="69"/>
      <c r="F56" s="69"/>
      <c r="G56" s="53"/>
      <c r="H56" s="53"/>
      <c r="I56" s="70">
        <f t="shared" si="4"/>
        <v>6926.4067669172946</v>
      </c>
    </row>
    <row r="57" spans="1:9" ht="15" customHeight="1">
      <c r="A57" s="65">
        <f t="shared" si="3"/>
        <v>2000</v>
      </c>
      <c r="B57" s="93">
        <f t="shared" si="3"/>
        <v>6281</v>
      </c>
      <c r="C57" s="67">
        <f t="shared" si="5"/>
        <v>12</v>
      </c>
      <c r="D57" s="69"/>
      <c r="E57" s="69"/>
      <c r="F57" s="69"/>
      <c r="G57" s="53"/>
      <c r="H57" s="53"/>
      <c r="I57" s="70">
        <f t="shared" si="4"/>
        <v>6556.3112781954896</v>
      </c>
    </row>
    <row r="58" spans="1:9" ht="15" customHeight="1">
      <c r="A58" s="65">
        <f t="shared" si="3"/>
        <v>2001</v>
      </c>
      <c r="B58" s="93">
        <f t="shared" si="3"/>
        <v>5959</v>
      </c>
      <c r="C58" s="67">
        <f t="shared" si="5"/>
        <v>13</v>
      </c>
      <c r="D58" s="69"/>
      <c r="E58" s="96"/>
      <c r="F58" s="69"/>
      <c r="G58" s="53"/>
      <c r="H58" s="53"/>
      <c r="I58" s="70">
        <f t="shared" si="4"/>
        <v>6186.2157894736847</v>
      </c>
    </row>
    <row r="59" spans="1:9" ht="15" customHeight="1">
      <c r="A59" s="65">
        <f t="shared" si="3"/>
        <v>2002</v>
      </c>
      <c r="B59" s="93">
        <f t="shared" si="3"/>
        <v>5578</v>
      </c>
      <c r="C59" s="67">
        <f t="shared" si="5"/>
        <v>14</v>
      </c>
      <c r="D59" s="69"/>
      <c r="E59" s="69"/>
      <c r="F59" s="69"/>
      <c r="G59" s="53"/>
      <c r="H59" s="53"/>
      <c r="I59" s="70">
        <f t="shared" si="4"/>
        <v>5816.1203007518807</v>
      </c>
    </row>
    <row r="60" spans="1:9" ht="15" customHeight="1">
      <c r="A60" s="65">
        <f t="shared" si="3"/>
        <v>2003</v>
      </c>
      <c r="B60" s="93">
        <f t="shared" si="3"/>
        <v>5267</v>
      </c>
      <c r="C60" s="67">
        <f t="shared" si="5"/>
        <v>15</v>
      </c>
      <c r="D60" s="69"/>
      <c r="E60" s="69"/>
      <c r="F60" s="69"/>
      <c r="G60" s="53"/>
      <c r="H60" s="53"/>
      <c r="I60" s="70">
        <f t="shared" si="4"/>
        <v>5446.0248120300766</v>
      </c>
    </row>
    <row r="61" spans="1:9" ht="15" customHeight="1">
      <c r="A61" s="65">
        <f t="shared" ref="A61:B65" si="6">A21</f>
        <v>2004</v>
      </c>
      <c r="B61" s="93">
        <f t="shared" si="6"/>
        <v>5105</v>
      </c>
      <c r="C61" s="67">
        <f t="shared" si="5"/>
        <v>16</v>
      </c>
      <c r="D61" s="69"/>
      <c r="E61" s="69"/>
      <c r="F61" s="69"/>
      <c r="G61" s="53"/>
      <c r="H61" s="53"/>
      <c r="I61" s="70">
        <f t="shared" si="4"/>
        <v>5075.9293233082717</v>
      </c>
    </row>
    <row r="62" spans="1:9" ht="15" customHeight="1">
      <c r="A62" s="65">
        <f t="shared" si="6"/>
        <v>2005</v>
      </c>
      <c r="B62" s="93">
        <f t="shared" si="6"/>
        <v>4844</v>
      </c>
      <c r="C62" s="67">
        <f t="shared" si="5"/>
        <v>17</v>
      </c>
      <c r="D62" s="69"/>
      <c r="E62" s="69"/>
      <c r="F62" s="69"/>
      <c r="G62" s="53"/>
      <c r="H62" s="53"/>
      <c r="I62" s="70">
        <f t="shared" si="4"/>
        <v>4705.8338345864668</v>
      </c>
    </row>
    <row r="63" spans="1:9" ht="15" customHeight="1">
      <c r="A63" s="65">
        <f t="shared" si="6"/>
        <v>2006</v>
      </c>
      <c r="B63" s="93">
        <f t="shared" si="6"/>
        <v>4774</v>
      </c>
      <c r="C63" s="67">
        <f t="shared" si="5"/>
        <v>18</v>
      </c>
      <c r="D63" s="69"/>
      <c r="E63" s="69"/>
      <c r="F63" s="69"/>
      <c r="G63" s="53"/>
      <c r="H63" s="53"/>
      <c r="I63" s="70">
        <f t="shared" si="4"/>
        <v>4335.7383458646627</v>
      </c>
    </row>
    <row r="64" spans="1:9" ht="15" customHeight="1" thickBot="1">
      <c r="A64" s="97">
        <f t="shared" si="6"/>
        <v>2007</v>
      </c>
      <c r="B64" s="98">
        <f t="shared" si="6"/>
        <v>4826</v>
      </c>
      <c r="C64" s="99">
        <f t="shared" si="5"/>
        <v>19</v>
      </c>
      <c r="D64" s="100"/>
      <c r="E64" s="100"/>
      <c r="F64" s="100"/>
      <c r="G64" s="101"/>
      <c r="H64" s="101"/>
      <c r="I64" s="102">
        <f t="shared" si="4"/>
        <v>3965.6428571428587</v>
      </c>
    </row>
    <row r="65" spans="1:9" ht="15" customHeight="1" thickTop="1">
      <c r="A65" s="255">
        <f t="shared" si="6"/>
        <v>2008</v>
      </c>
      <c r="B65" s="81">
        <f t="shared" ref="B65:B82" si="7">ROUND(E$45*C65+E$46,0)</f>
        <v>3596</v>
      </c>
      <c r="C65" s="77">
        <f t="shared" si="5"/>
        <v>20</v>
      </c>
      <c r="D65" s="78"/>
      <c r="E65" s="78"/>
      <c r="F65" s="78"/>
      <c r="G65" s="256"/>
      <c r="H65" s="256"/>
      <c r="I65" s="79">
        <f t="shared" si="4"/>
        <v>3595.5473684210538</v>
      </c>
    </row>
    <row r="66" spans="1:9" ht="15" customHeight="1">
      <c r="A66" s="80">
        <v>2009</v>
      </c>
      <c r="B66" s="81">
        <f t="shared" si="7"/>
        <v>3225</v>
      </c>
      <c r="C66" s="82">
        <f t="shared" si="5"/>
        <v>21</v>
      </c>
      <c r="D66" s="69"/>
      <c r="E66" s="69"/>
      <c r="F66" s="69"/>
      <c r="G66" s="69"/>
      <c r="H66" s="69"/>
      <c r="I66" s="70">
        <f t="shared" si="4"/>
        <v>3225.4518796992488</v>
      </c>
    </row>
    <row r="67" spans="1:9" ht="15" customHeight="1">
      <c r="A67" s="80">
        <v>2010</v>
      </c>
      <c r="B67" s="81">
        <f t="shared" si="7"/>
        <v>2855</v>
      </c>
      <c r="C67" s="82">
        <f t="shared" si="5"/>
        <v>22</v>
      </c>
      <c r="D67" s="69"/>
      <c r="E67" s="69"/>
      <c r="F67" s="69"/>
      <c r="G67" s="69"/>
      <c r="H67" s="69"/>
      <c r="I67" s="70">
        <f t="shared" si="4"/>
        <v>2855.3563909774448</v>
      </c>
    </row>
    <row r="68" spans="1:9" ht="15" customHeight="1">
      <c r="A68" s="80">
        <v>2011</v>
      </c>
      <c r="B68" s="81">
        <f t="shared" si="7"/>
        <v>2485</v>
      </c>
      <c r="C68" s="82">
        <f t="shared" si="5"/>
        <v>23</v>
      </c>
      <c r="D68" s="69"/>
      <c r="E68" s="69"/>
      <c r="F68" s="69"/>
      <c r="G68" s="69"/>
      <c r="H68" s="69"/>
      <c r="I68" s="70">
        <f t="shared" si="4"/>
        <v>2485.2609022556408</v>
      </c>
    </row>
    <row r="69" spans="1:9" ht="15" customHeight="1">
      <c r="A69" s="80">
        <v>2012</v>
      </c>
      <c r="B69" s="81">
        <f t="shared" si="7"/>
        <v>2115</v>
      </c>
      <c r="C69" s="82">
        <f t="shared" si="5"/>
        <v>24</v>
      </c>
      <c r="D69" s="69"/>
      <c r="E69" s="69"/>
      <c r="F69" s="69"/>
      <c r="G69" s="69"/>
      <c r="H69" s="69"/>
      <c r="I69" s="70">
        <f t="shared" si="4"/>
        <v>2115.1654135338358</v>
      </c>
    </row>
    <row r="70" spans="1:9" ht="15" customHeight="1">
      <c r="A70" s="80">
        <v>2013</v>
      </c>
      <c r="B70" s="81">
        <f t="shared" si="7"/>
        <v>1745</v>
      </c>
      <c r="C70" s="82">
        <f t="shared" si="5"/>
        <v>25</v>
      </c>
      <c r="D70" s="69"/>
      <c r="E70" s="69"/>
      <c r="F70" s="69"/>
      <c r="G70" s="69"/>
      <c r="H70" s="69"/>
      <c r="I70" s="70">
        <f t="shared" si="4"/>
        <v>1745.0699248120309</v>
      </c>
    </row>
    <row r="71" spans="1:9" ht="15" customHeight="1">
      <c r="A71" s="80">
        <v>2014</v>
      </c>
      <c r="B71" s="81">
        <f t="shared" si="7"/>
        <v>1375</v>
      </c>
      <c r="C71" s="82">
        <f t="shared" si="5"/>
        <v>26</v>
      </c>
      <c r="D71" s="69"/>
      <c r="E71" s="69"/>
      <c r="F71" s="69"/>
      <c r="G71" s="69"/>
      <c r="H71" s="69"/>
      <c r="I71" s="70">
        <f t="shared" si="4"/>
        <v>1374.9744360902259</v>
      </c>
    </row>
    <row r="72" spans="1:9" ht="15" customHeight="1">
      <c r="A72" s="80">
        <v>2015</v>
      </c>
      <c r="B72" s="81">
        <f t="shared" si="7"/>
        <v>1005</v>
      </c>
      <c r="C72" s="82">
        <f t="shared" si="5"/>
        <v>27</v>
      </c>
      <c r="D72" s="69"/>
      <c r="E72" s="69"/>
      <c r="F72" s="69"/>
      <c r="G72" s="69"/>
      <c r="H72" s="69"/>
      <c r="I72" s="70">
        <f t="shared" si="4"/>
        <v>1004.8789473684228</v>
      </c>
    </row>
    <row r="73" spans="1:9" ht="15" customHeight="1">
      <c r="A73" s="80">
        <v>2016</v>
      </c>
      <c r="B73" s="81">
        <f t="shared" si="7"/>
        <v>635</v>
      </c>
      <c r="C73" s="82">
        <f t="shared" si="5"/>
        <v>28</v>
      </c>
      <c r="D73" s="69"/>
      <c r="E73" s="69"/>
      <c r="F73" s="69"/>
      <c r="G73" s="69"/>
      <c r="H73" s="69"/>
      <c r="I73" s="70">
        <f t="shared" si="4"/>
        <v>634.78345864661787</v>
      </c>
    </row>
    <row r="74" spans="1:9" ht="15" customHeight="1">
      <c r="A74" s="80">
        <v>2017</v>
      </c>
      <c r="B74" s="81">
        <f t="shared" si="7"/>
        <v>265</v>
      </c>
      <c r="C74" s="82">
        <f t="shared" si="5"/>
        <v>29</v>
      </c>
      <c r="D74" s="69"/>
      <c r="E74" s="69"/>
      <c r="F74" s="69"/>
      <c r="G74" s="69"/>
      <c r="H74" s="69"/>
      <c r="I74" s="70">
        <f t="shared" si="4"/>
        <v>264.68796992481293</v>
      </c>
    </row>
    <row r="75" spans="1:9" ht="15" customHeight="1">
      <c r="A75" s="80">
        <v>2018</v>
      </c>
      <c r="B75" s="81">
        <f t="shared" si="7"/>
        <v>-105</v>
      </c>
      <c r="C75" s="82">
        <f t="shared" si="5"/>
        <v>30</v>
      </c>
      <c r="D75" s="69"/>
      <c r="E75" s="69"/>
      <c r="F75" s="69"/>
      <c r="G75" s="69"/>
      <c r="H75" s="69"/>
      <c r="I75" s="70">
        <f t="shared" si="4"/>
        <v>-105.40751879699019</v>
      </c>
    </row>
    <row r="76" spans="1:9" ht="15" customHeight="1">
      <c r="A76" s="80">
        <v>2019</v>
      </c>
      <c r="B76" s="81">
        <f t="shared" si="7"/>
        <v>-476</v>
      </c>
      <c r="C76" s="82">
        <f t="shared" si="5"/>
        <v>31</v>
      </c>
      <c r="D76" s="69"/>
      <c r="E76" s="69"/>
      <c r="F76" s="69"/>
      <c r="G76" s="69"/>
      <c r="H76" s="69"/>
      <c r="I76" s="70">
        <f t="shared" si="4"/>
        <v>-475.50300751879513</v>
      </c>
    </row>
    <row r="77" spans="1:9" ht="15" customHeight="1">
      <c r="A77" s="80">
        <v>2020</v>
      </c>
      <c r="B77" s="81">
        <f t="shared" si="7"/>
        <v>-846</v>
      </c>
      <c r="C77" s="82">
        <f t="shared" si="5"/>
        <v>32</v>
      </c>
      <c r="D77" s="69"/>
      <c r="E77" s="69"/>
      <c r="F77" s="69"/>
      <c r="G77" s="69"/>
      <c r="H77" s="69"/>
      <c r="I77" s="70">
        <f t="shared" si="4"/>
        <v>-845.59849624060007</v>
      </c>
    </row>
    <row r="78" spans="1:9" ht="15" customHeight="1">
      <c r="A78" s="80">
        <v>2021</v>
      </c>
      <c r="B78" s="81">
        <f t="shared" si="7"/>
        <v>-1216</v>
      </c>
      <c r="C78" s="82">
        <f t="shared" si="5"/>
        <v>33</v>
      </c>
      <c r="D78" s="69"/>
      <c r="E78" s="69"/>
      <c r="F78" s="69"/>
      <c r="G78" s="69"/>
      <c r="H78" s="69"/>
      <c r="I78" s="70">
        <f t="shared" si="4"/>
        <v>-1215.693984962405</v>
      </c>
    </row>
    <row r="79" spans="1:9" ht="15" customHeight="1">
      <c r="A79" s="80">
        <v>2022</v>
      </c>
      <c r="B79" s="81">
        <f t="shared" si="7"/>
        <v>-1586</v>
      </c>
      <c r="C79" s="82">
        <f t="shared" si="5"/>
        <v>34</v>
      </c>
      <c r="D79" s="69"/>
      <c r="E79" s="69"/>
      <c r="F79" s="69"/>
      <c r="G79" s="69"/>
      <c r="H79" s="69"/>
      <c r="I79" s="70">
        <f t="shared" si="4"/>
        <v>-1585.78947368421</v>
      </c>
    </row>
    <row r="80" spans="1:9" ht="15" customHeight="1">
      <c r="A80" s="80">
        <v>2023</v>
      </c>
      <c r="B80" s="81">
        <f t="shared" si="7"/>
        <v>-1956</v>
      </c>
      <c r="C80" s="82">
        <f t="shared" si="5"/>
        <v>35</v>
      </c>
      <c r="D80" s="69"/>
      <c r="E80" s="69"/>
      <c r="F80" s="69"/>
      <c r="G80" s="69"/>
      <c r="H80" s="69"/>
      <c r="I80" s="70">
        <f t="shared" si="4"/>
        <v>-1955.8849624060131</v>
      </c>
    </row>
    <row r="81" spans="1:11" ht="15" customHeight="1">
      <c r="A81" s="80">
        <v>2024</v>
      </c>
      <c r="B81" s="81">
        <f t="shared" si="7"/>
        <v>-2326</v>
      </c>
      <c r="C81" s="67">
        <f t="shared" si="5"/>
        <v>36</v>
      </c>
      <c r="D81" s="69"/>
      <c r="E81" s="69"/>
      <c r="F81" s="69"/>
      <c r="G81" s="69"/>
      <c r="H81" s="69"/>
      <c r="I81" s="70">
        <f t="shared" si="4"/>
        <v>-2325.980451127818</v>
      </c>
    </row>
    <row r="82" spans="1:11" ht="15" customHeight="1">
      <c r="A82" s="85">
        <v>2025</v>
      </c>
      <c r="B82" s="86">
        <f t="shared" si="7"/>
        <v>-2696</v>
      </c>
      <c r="C82" s="87">
        <f t="shared" si="5"/>
        <v>37</v>
      </c>
      <c r="D82" s="89"/>
      <c r="E82" s="89"/>
      <c r="F82" s="89"/>
      <c r="G82" s="89"/>
      <c r="H82" s="89"/>
      <c r="I82" s="91">
        <f t="shared" si="4"/>
        <v>-2696.075939849623</v>
      </c>
    </row>
    <row r="83" spans="1:11" ht="15" customHeight="1">
      <c r="A83" s="56" t="s">
        <v>79</v>
      </c>
      <c r="B83" s="57"/>
    </row>
    <row r="84" spans="1:11" ht="15" customHeight="1">
      <c r="A84" s="58" t="s">
        <v>32</v>
      </c>
      <c r="B84" s="59" t="s">
        <v>40</v>
      </c>
      <c r="C84" s="59" t="s">
        <v>34</v>
      </c>
      <c r="D84" s="59" t="s">
        <v>33</v>
      </c>
      <c r="E84" s="103"/>
      <c r="F84" s="60"/>
      <c r="G84" s="61"/>
      <c r="H84" s="63" t="s">
        <v>104</v>
      </c>
      <c r="I84" s="64">
        <f>RSQ(I85:I105,B85:B105)</f>
        <v>0.99415480642501464</v>
      </c>
    </row>
    <row r="85" spans="1:11" ht="15" customHeight="1">
      <c r="A85" s="65">
        <f t="shared" ref="A85:B100" si="8">A5</f>
        <v>1988</v>
      </c>
      <c r="B85" s="104">
        <f t="shared" si="8"/>
        <v>11745</v>
      </c>
      <c r="C85" s="105">
        <f t="shared" ref="C85:C122" si="9">LN(B85)</f>
        <v>9.3711828970930124</v>
      </c>
      <c r="D85" s="67">
        <v>0</v>
      </c>
      <c r="E85" s="106" t="s">
        <v>37</v>
      </c>
      <c r="F85" s="73">
        <f>ROUND((B104/B85)^(1/D104)-1,5)</f>
        <v>-4.573E-2</v>
      </c>
      <c r="G85" s="107"/>
      <c r="H85" s="108"/>
      <c r="I85" s="109">
        <f t="shared" ref="I85:I122" si="10">ROUND($F$86*(1+$F$85)^(D85),1)</f>
        <v>11745</v>
      </c>
    </row>
    <row r="86" spans="1:11" ht="15" customHeight="1">
      <c r="A86" s="65">
        <f t="shared" si="8"/>
        <v>1989</v>
      </c>
      <c r="B86" s="104">
        <f t="shared" si="8"/>
        <v>11162</v>
      </c>
      <c r="C86" s="105">
        <f t="shared" si="9"/>
        <v>9.3202704313483782</v>
      </c>
      <c r="D86" s="67">
        <f t="shared" ref="D86:D122" si="11">D85+1</f>
        <v>1</v>
      </c>
      <c r="E86" s="106" t="s">
        <v>80</v>
      </c>
      <c r="F86" s="110">
        <f>B85</f>
        <v>11745</v>
      </c>
      <c r="G86" s="107"/>
      <c r="H86" s="108"/>
      <c r="I86" s="109">
        <f t="shared" si="10"/>
        <v>11207.9</v>
      </c>
      <c r="K86" s="111"/>
    </row>
    <row r="87" spans="1:11" ht="15" customHeight="1">
      <c r="A87" s="65">
        <f t="shared" si="8"/>
        <v>1990</v>
      </c>
      <c r="B87" s="104">
        <f t="shared" si="8"/>
        <v>10195</v>
      </c>
      <c r="C87" s="105">
        <f t="shared" si="9"/>
        <v>9.2296526830085561</v>
      </c>
      <c r="D87" s="67">
        <f t="shared" si="11"/>
        <v>2</v>
      </c>
      <c r="E87" s="106" t="s">
        <v>77</v>
      </c>
      <c r="F87" s="73">
        <f>I84</f>
        <v>0.99415480642501464</v>
      </c>
      <c r="G87" s="108"/>
      <c r="H87" s="108"/>
      <c r="I87" s="109">
        <f t="shared" si="10"/>
        <v>10695.4</v>
      </c>
    </row>
    <row r="88" spans="1:11" ht="15" customHeight="1">
      <c r="A88" s="65">
        <f t="shared" si="8"/>
        <v>1991</v>
      </c>
      <c r="B88" s="104">
        <f t="shared" si="8"/>
        <v>10052</v>
      </c>
      <c r="C88" s="105">
        <f t="shared" si="9"/>
        <v>9.215526898663482</v>
      </c>
      <c r="D88" s="67">
        <f t="shared" si="11"/>
        <v>3</v>
      </c>
      <c r="E88" s="106"/>
      <c r="F88" s="73"/>
      <c r="G88" s="108"/>
      <c r="H88" s="108"/>
      <c r="I88" s="109">
        <f t="shared" si="10"/>
        <v>10206.299999999999</v>
      </c>
    </row>
    <row r="89" spans="1:11" ht="15" customHeight="1">
      <c r="A89" s="65">
        <f t="shared" si="8"/>
        <v>1992</v>
      </c>
      <c r="B89" s="104">
        <f t="shared" si="8"/>
        <v>9545</v>
      </c>
      <c r="C89" s="105">
        <f t="shared" si="9"/>
        <v>9.1637727361598476</v>
      </c>
      <c r="D89" s="67">
        <f t="shared" si="11"/>
        <v>4</v>
      </c>
      <c r="E89" s="106" t="s">
        <v>81</v>
      </c>
      <c r="F89" s="72"/>
      <c r="G89" s="108"/>
      <c r="H89" s="108"/>
      <c r="I89" s="109">
        <f t="shared" si="10"/>
        <v>9739.5</v>
      </c>
    </row>
    <row r="90" spans="1:11" ht="15" customHeight="1">
      <c r="A90" s="65">
        <f t="shared" si="8"/>
        <v>1993</v>
      </c>
      <c r="B90" s="104">
        <f t="shared" si="8"/>
        <v>8957</v>
      </c>
      <c r="C90" s="105">
        <f t="shared" si="9"/>
        <v>9.100190628475195</v>
      </c>
      <c r="D90" s="67">
        <f t="shared" si="11"/>
        <v>5</v>
      </c>
      <c r="E90" s="112"/>
      <c r="F90" s="113"/>
      <c r="G90" s="108"/>
      <c r="H90" s="108"/>
      <c r="I90" s="109">
        <f t="shared" si="10"/>
        <v>9294.1</v>
      </c>
    </row>
    <row r="91" spans="1:11" ht="15" customHeight="1">
      <c r="A91" s="65">
        <f t="shared" si="8"/>
        <v>1994</v>
      </c>
      <c r="B91" s="104">
        <f t="shared" si="8"/>
        <v>8517</v>
      </c>
      <c r="C91" s="105">
        <f t="shared" si="9"/>
        <v>9.0498194451410807</v>
      </c>
      <c r="D91" s="67">
        <f t="shared" si="11"/>
        <v>6</v>
      </c>
      <c r="E91" s="114"/>
      <c r="F91" s="113"/>
      <c r="G91" s="108"/>
      <c r="H91" s="108"/>
      <c r="I91" s="109">
        <f t="shared" si="10"/>
        <v>8869.1</v>
      </c>
    </row>
    <row r="92" spans="1:11" ht="15" customHeight="1">
      <c r="A92" s="65">
        <f t="shared" si="8"/>
        <v>1995</v>
      </c>
      <c r="B92" s="104">
        <f t="shared" si="8"/>
        <v>8096</v>
      </c>
      <c r="C92" s="105">
        <f t="shared" si="9"/>
        <v>8.9991253915272473</v>
      </c>
      <c r="D92" s="67">
        <f t="shared" si="11"/>
        <v>7</v>
      </c>
      <c r="E92" s="114"/>
      <c r="F92" s="113"/>
      <c r="G92" s="108"/>
      <c r="H92" s="108"/>
      <c r="I92" s="109">
        <f t="shared" si="10"/>
        <v>8463.5</v>
      </c>
    </row>
    <row r="93" spans="1:11" ht="15" customHeight="1">
      <c r="A93" s="65">
        <f t="shared" si="8"/>
        <v>1996</v>
      </c>
      <c r="B93" s="104">
        <f t="shared" si="8"/>
        <v>7628</v>
      </c>
      <c r="C93" s="105">
        <f t="shared" si="9"/>
        <v>8.9395809667203103</v>
      </c>
      <c r="D93" s="67">
        <f t="shared" si="11"/>
        <v>8</v>
      </c>
      <c r="E93" s="108"/>
      <c r="F93" s="108"/>
      <c r="G93" s="115"/>
      <c r="H93" s="108"/>
      <c r="I93" s="109">
        <f t="shared" si="10"/>
        <v>8076.5</v>
      </c>
    </row>
    <row r="94" spans="1:11" ht="15" customHeight="1">
      <c r="A94" s="65">
        <f t="shared" si="8"/>
        <v>1997</v>
      </c>
      <c r="B94" s="104">
        <f t="shared" si="8"/>
        <v>7375</v>
      </c>
      <c r="C94" s="105">
        <f t="shared" si="9"/>
        <v>8.9058511812080212</v>
      </c>
      <c r="D94" s="67">
        <f t="shared" si="11"/>
        <v>9</v>
      </c>
      <c r="E94" s="108"/>
      <c r="F94" s="108"/>
      <c r="G94" s="115"/>
      <c r="H94" s="108"/>
      <c r="I94" s="109">
        <f t="shared" si="10"/>
        <v>7707.2</v>
      </c>
    </row>
    <row r="95" spans="1:11" ht="15" customHeight="1">
      <c r="A95" s="65">
        <f t="shared" si="8"/>
        <v>1998</v>
      </c>
      <c r="B95" s="104">
        <f t="shared" si="8"/>
        <v>7030</v>
      </c>
      <c r="C95" s="105">
        <f t="shared" si="9"/>
        <v>8.857941984804711</v>
      </c>
      <c r="D95" s="67">
        <f t="shared" si="11"/>
        <v>10</v>
      </c>
      <c r="E95" s="108"/>
      <c r="F95" s="108"/>
      <c r="G95" s="115"/>
      <c r="H95" s="108"/>
      <c r="I95" s="109">
        <f t="shared" si="10"/>
        <v>7354.7</v>
      </c>
    </row>
    <row r="96" spans="1:11" ht="15" customHeight="1">
      <c r="A96" s="65">
        <f t="shared" si="8"/>
        <v>1999</v>
      </c>
      <c r="B96" s="104">
        <f t="shared" si="8"/>
        <v>6695</v>
      </c>
      <c r="C96" s="105">
        <f t="shared" si="9"/>
        <v>8.8091162581252735</v>
      </c>
      <c r="D96" s="67">
        <f t="shared" si="11"/>
        <v>11</v>
      </c>
      <c r="E96" s="108"/>
      <c r="F96" s="108"/>
      <c r="G96" s="115"/>
      <c r="H96" s="108"/>
      <c r="I96" s="109">
        <f t="shared" si="10"/>
        <v>7018.4</v>
      </c>
    </row>
    <row r="97" spans="1:9" ht="15" customHeight="1">
      <c r="A97" s="65">
        <f t="shared" si="8"/>
        <v>2000</v>
      </c>
      <c r="B97" s="104">
        <f t="shared" si="8"/>
        <v>6281</v>
      </c>
      <c r="C97" s="105">
        <f t="shared" si="9"/>
        <v>8.7452844824543803</v>
      </c>
      <c r="D97" s="67">
        <f t="shared" si="11"/>
        <v>12</v>
      </c>
      <c r="E97" s="108"/>
      <c r="F97" s="108"/>
      <c r="G97" s="115"/>
      <c r="H97" s="108"/>
      <c r="I97" s="109">
        <f t="shared" si="10"/>
        <v>6697.4</v>
      </c>
    </row>
    <row r="98" spans="1:9" ht="15" customHeight="1">
      <c r="A98" s="65">
        <f t="shared" si="8"/>
        <v>2001</v>
      </c>
      <c r="B98" s="104">
        <f t="shared" si="8"/>
        <v>5959</v>
      </c>
      <c r="C98" s="105">
        <f t="shared" si="9"/>
        <v>8.6926579607469794</v>
      </c>
      <c r="D98" s="67">
        <f t="shared" si="11"/>
        <v>13</v>
      </c>
      <c r="E98" s="108"/>
      <c r="F98" s="108"/>
      <c r="G98" s="115"/>
      <c r="H98" s="108"/>
      <c r="I98" s="109">
        <f t="shared" si="10"/>
        <v>6391.2</v>
      </c>
    </row>
    <row r="99" spans="1:9" ht="15" customHeight="1">
      <c r="A99" s="65">
        <f t="shared" si="8"/>
        <v>2002</v>
      </c>
      <c r="B99" s="104">
        <f t="shared" si="8"/>
        <v>5578</v>
      </c>
      <c r="C99" s="105">
        <f t="shared" si="9"/>
        <v>8.6265855681874335</v>
      </c>
      <c r="D99" s="67">
        <f t="shared" si="11"/>
        <v>14</v>
      </c>
      <c r="E99" s="108"/>
      <c r="F99" s="108"/>
      <c r="G99" s="115"/>
      <c r="H99" s="108"/>
      <c r="I99" s="109">
        <f t="shared" si="10"/>
        <v>6098.9</v>
      </c>
    </row>
    <row r="100" spans="1:9" ht="15" customHeight="1">
      <c r="A100" s="65">
        <f t="shared" si="8"/>
        <v>2003</v>
      </c>
      <c r="B100" s="104">
        <f t="shared" si="8"/>
        <v>5267</v>
      </c>
      <c r="C100" s="105">
        <f t="shared" si="9"/>
        <v>8.5692162194833887</v>
      </c>
      <c r="D100" s="67">
        <f t="shared" si="11"/>
        <v>15</v>
      </c>
      <c r="E100" s="108"/>
      <c r="F100" s="108"/>
      <c r="G100" s="115"/>
      <c r="H100" s="108"/>
      <c r="I100" s="109">
        <f t="shared" si="10"/>
        <v>5820</v>
      </c>
    </row>
    <row r="101" spans="1:9" ht="15" customHeight="1">
      <c r="A101" s="65">
        <f t="shared" ref="A101:B105" si="12">A21</f>
        <v>2004</v>
      </c>
      <c r="B101" s="104">
        <f t="shared" si="12"/>
        <v>5105</v>
      </c>
      <c r="C101" s="105">
        <f t="shared" si="9"/>
        <v>8.5379757305987667</v>
      </c>
      <c r="D101" s="67">
        <f t="shared" si="11"/>
        <v>16</v>
      </c>
      <c r="E101" s="108"/>
      <c r="F101" s="108"/>
      <c r="G101" s="115"/>
      <c r="H101" s="108"/>
      <c r="I101" s="109">
        <f t="shared" si="10"/>
        <v>5553.8</v>
      </c>
    </row>
    <row r="102" spans="1:9" ht="15" customHeight="1">
      <c r="A102" s="65">
        <f t="shared" si="12"/>
        <v>2005</v>
      </c>
      <c r="B102" s="104">
        <f t="shared" si="12"/>
        <v>4844</v>
      </c>
      <c r="C102" s="105">
        <f t="shared" si="9"/>
        <v>8.4854961046729827</v>
      </c>
      <c r="D102" s="67">
        <f t="shared" si="11"/>
        <v>17</v>
      </c>
      <c r="E102" s="108"/>
      <c r="F102" s="108"/>
      <c r="G102" s="115"/>
      <c r="H102" s="108"/>
      <c r="I102" s="109">
        <f t="shared" si="10"/>
        <v>5299.9</v>
      </c>
    </row>
    <row r="103" spans="1:9" ht="15" customHeight="1">
      <c r="A103" s="65">
        <f t="shared" si="12"/>
        <v>2006</v>
      </c>
      <c r="B103" s="104">
        <f t="shared" si="12"/>
        <v>4774</v>
      </c>
      <c r="C103" s="105">
        <f t="shared" si="9"/>
        <v>8.4709398068987749</v>
      </c>
      <c r="D103" s="67">
        <f t="shared" si="11"/>
        <v>18</v>
      </c>
      <c r="E103" s="108"/>
      <c r="F103" s="108"/>
      <c r="G103" s="115"/>
      <c r="H103" s="108"/>
      <c r="I103" s="109">
        <f t="shared" si="10"/>
        <v>5057.5</v>
      </c>
    </row>
    <row r="104" spans="1:9" ht="15" customHeight="1" thickBot="1">
      <c r="A104" s="65">
        <f t="shared" si="12"/>
        <v>2007</v>
      </c>
      <c r="B104" s="104">
        <f t="shared" si="12"/>
        <v>4826</v>
      </c>
      <c r="C104" s="105">
        <f t="shared" si="9"/>
        <v>8.4817732461849769</v>
      </c>
      <c r="D104" s="67">
        <f t="shared" si="11"/>
        <v>19</v>
      </c>
      <c r="E104" s="108"/>
      <c r="F104" s="108"/>
      <c r="G104" s="115"/>
      <c r="H104" s="108"/>
      <c r="I104" s="109">
        <f t="shared" si="10"/>
        <v>4826.2</v>
      </c>
    </row>
    <row r="105" spans="1:9" ht="15" customHeight="1" thickTop="1">
      <c r="A105" s="255">
        <f t="shared" si="12"/>
        <v>2008</v>
      </c>
      <c r="B105" s="76">
        <f t="shared" ref="B105:B122" si="13">ROUND(F$86*(1+F$85)^D105,0)</f>
        <v>4606</v>
      </c>
      <c r="C105" s="121">
        <f t="shared" si="9"/>
        <v>8.4351150803806298</v>
      </c>
      <c r="D105" s="77">
        <f t="shared" si="11"/>
        <v>20</v>
      </c>
      <c r="E105" s="259"/>
      <c r="F105" s="259"/>
      <c r="G105" s="260"/>
      <c r="H105" s="259"/>
      <c r="I105" s="123">
        <f t="shared" si="10"/>
        <v>4605.5</v>
      </c>
    </row>
    <row r="106" spans="1:9" ht="15" customHeight="1">
      <c r="A106" s="80">
        <v>2009</v>
      </c>
      <c r="B106" s="81">
        <f t="shared" si="13"/>
        <v>4395</v>
      </c>
      <c r="C106" s="105">
        <f t="shared" si="9"/>
        <v>8.3882228101192773</v>
      </c>
      <c r="D106" s="67">
        <f t="shared" si="11"/>
        <v>21</v>
      </c>
      <c r="E106" s="83"/>
      <c r="F106" s="69"/>
      <c r="G106" s="69"/>
      <c r="H106" s="69"/>
      <c r="I106" s="109">
        <f t="shared" si="10"/>
        <v>4394.8999999999996</v>
      </c>
    </row>
    <row r="107" spans="1:9" ht="15" customHeight="1">
      <c r="A107" s="80">
        <v>2010</v>
      </c>
      <c r="B107" s="81">
        <f t="shared" si="13"/>
        <v>4194</v>
      </c>
      <c r="C107" s="105">
        <f t="shared" si="9"/>
        <v>8.3414102114618647</v>
      </c>
      <c r="D107" s="67">
        <f t="shared" si="11"/>
        <v>22</v>
      </c>
      <c r="E107" s="83"/>
      <c r="F107" s="69"/>
      <c r="G107" s="69"/>
      <c r="H107" s="69"/>
      <c r="I107" s="109">
        <f t="shared" si="10"/>
        <v>4193.8999999999996</v>
      </c>
    </row>
    <row r="108" spans="1:9" ht="15" customHeight="1">
      <c r="A108" s="80">
        <v>2011</v>
      </c>
      <c r="B108" s="81">
        <f t="shared" si="13"/>
        <v>4002</v>
      </c>
      <c r="C108" s="105">
        <f t="shared" si="9"/>
        <v>8.2945495151436788</v>
      </c>
      <c r="D108" s="67">
        <f t="shared" si="11"/>
        <v>23</v>
      </c>
      <c r="E108" s="83"/>
      <c r="F108" s="69"/>
      <c r="G108" s="69"/>
      <c r="H108" s="69"/>
      <c r="I108" s="109">
        <f t="shared" si="10"/>
        <v>4002.1</v>
      </c>
    </row>
    <row r="109" spans="1:9" ht="15" customHeight="1">
      <c r="A109" s="80">
        <v>2012</v>
      </c>
      <c r="B109" s="81">
        <f t="shared" si="13"/>
        <v>3819</v>
      </c>
      <c r="C109" s="105">
        <f t="shared" si="9"/>
        <v>8.247743887225516</v>
      </c>
      <c r="D109" s="67">
        <f t="shared" si="11"/>
        <v>24</v>
      </c>
      <c r="E109" s="83"/>
      <c r="F109" s="69"/>
      <c r="G109" s="69"/>
      <c r="H109" s="69"/>
      <c r="I109" s="109">
        <f t="shared" si="10"/>
        <v>3819.1</v>
      </c>
    </row>
    <row r="110" spans="1:9" ht="15" customHeight="1">
      <c r="A110" s="80">
        <v>2013</v>
      </c>
      <c r="B110" s="81">
        <f t="shared" si="13"/>
        <v>3644</v>
      </c>
      <c r="C110" s="105">
        <f t="shared" si="9"/>
        <v>8.200837258379849</v>
      </c>
      <c r="D110" s="67">
        <f t="shared" si="11"/>
        <v>25</v>
      </c>
      <c r="E110" s="83"/>
      <c r="F110" s="69"/>
      <c r="G110" s="69"/>
      <c r="H110" s="69"/>
      <c r="I110" s="109">
        <f t="shared" si="10"/>
        <v>3644.5</v>
      </c>
    </row>
    <row r="111" spans="1:9" ht="15" customHeight="1">
      <c r="A111" s="80">
        <v>2014</v>
      </c>
      <c r="B111" s="81">
        <f t="shared" si="13"/>
        <v>3478</v>
      </c>
      <c r="C111" s="105">
        <f t="shared" si="9"/>
        <v>8.1542126949142286</v>
      </c>
      <c r="D111" s="67">
        <f t="shared" si="11"/>
        <v>26</v>
      </c>
      <c r="E111" s="83"/>
      <c r="F111" s="69"/>
      <c r="G111" s="69"/>
      <c r="H111" s="69"/>
      <c r="I111" s="109">
        <f t="shared" si="10"/>
        <v>3477.8</v>
      </c>
    </row>
    <row r="112" spans="1:9" ht="15" customHeight="1">
      <c r="A112" s="80">
        <v>2015</v>
      </c>
      <c r="B112" s="81">
        <f t="shared" si="13"/>
        <v>3319</v>
      </c>
      <c r="C112" s="105">
        <f t="shared" si="9"/>
        <v>8.1074188117199739</v>
      </c>
      <c r="D112" s="67">
        <f t="shared" si="11"/>
        <v>27</v>
      </c>
      <c r="E112" s="83"/>
      <c r="F112" s="69"/>
      <c r="G112" s="69"/>
      <c r="H112" s="69"/>
      <c r="I112" s="109">
        <f t="shared" si="10"/>
        <v>3318.8</v>
      </c>
    </row>
    <row r="113" spans="1:9" ht="15" customHeight="1">
      <c r="A113" s="80">
        <v>2016</v>
      </c>
      <c r="B113" s="81">
        <f t="shared" si="13"/>
        <v>3167</v>
      </c>
      <c r="C113" s="105">
        <f t="shared" si="9"/>
        <v>8.0605400465386392</v>
      </c>
      <c r="D113" s="67">
        <f t="shared" si="11"/>
        <v>28</v>
      </c>
      <c r="E113" s="83"/>
      <c r="F113" s="69"/>
      <c r="G113" s="69"/>
      <c r="H113" s="69"/>
      <c r="I113" s="109">
        <f t="shared" si="10"/>
        <v>3167</v>
      </c>
    </row>
    <row r="114" spans="1:9" ht="15" customHeight="1">
      <c r="A114" s="80">
        <v>2017</v>
      </c>
      <c r="B114" s="81">
        <f t="shared" si="13"/>
        <v>3022</v>
      </c>
      <c r="C114" s="105">
        <f t="shared" si="9"/>
        <v>8.0136741428326843</v>
      </c>
      <c r="D114" s="67">
        <f t="shared" si="11"/>
        <v>29</v>
      </c>
      <c r="E114" s="83"/>
      <c r="F114" s="69"/>
      <c r="G114" s="69"/>
      <c r="H114" s="69"/>
      <c r="I114" s="109">
        <f t="shared" si="10"/>
        <v>3022.2</v>
      </c>
    </row>
    <row r="115" spans="1:9" ht="15" customHeight="1">
      <c r="A115" s="80">
        <v>2018</v>
      </c>
      <c r="B115" s="81">
        <f t="shared" si="13"/>
        <v>2884</v>
      </c>
      <c r="C115" s="105">
        <f t="shared" si="9"/>
        <v>7.9669334984048401</v>
      </c>
      <c r="D115" s="67">
        <f t="shared" si="11"/>
        <v>30</v>
      </c>
      <c r="E115" s="83"/>
      <c r="F115" s="69"/>
      <c r="G115" s="69"/>
      <c r="H115" s="69"/>
      <c r="I115" s="109">
        <f t="shared" si="10"/>
        <v>2884</v>
      </c>
    </row>
    <row r="116" spans="1:9" ht="15" customHeight="1">
      <c r="A116" s="80">
        <v>2019</v>
      </c>
      <c r="B116" s="81">
        <f t="shared" si="13"/>
        <v>2752</v>
      </c>
      <c r="C116" s="105">
        <f t="shared" si="9"/>
        <v>7.9200831990532343</v>
      </c>
      <c r="D116" s="67">
        <f t="shared" si="11"/>
        <v>31</v>
      </c>
      <c r="E116" s="83"/>
      <c r="F116" s="69"/>
      <c r="G116" s="69"/>
      <c r="H116" s="69"/>
      <c r="I116" s="109">
        <f t="shared" si="10"/>
        <v>2752.1</v>
      </c>
    </row>
    <row r="117" spans="1:9" ht="15" customHeight="1">
      <c r="A117" s="80">
        <v>2020</v>
      </c>
      <c r="B117" s="81">
        <f t="shared" si="13"/>
        <v>2626</v>
      </c>
      <c r="C117" s="105">
        <f t="shared" si="9"/>
        <v>7.8732170548627414</v>
      </c>
      <c r="D117" s="67">
        <f t="shared" si="11"/>
        <v>32</v>
      </c>
      <c r="E117" s="83"/>
      <c r="F117" s="69"/>
      <c r="G117" s="69"/>
      <c r="H117" s="69"/>
      <c r="I117" s="109">
        <f t="shared" si="10"/>
        <v>2626.2</v>
      </c>
    </row>
    <row r="118" spans="1:9" ht="15" customHeight="1">
      <c r="A118" s="80">
        <v>2021</v>
      </c>
      <c r="B118" s="81">
        <f t="shared" si="13"/>
        <v>2506</v>
      </c>
      <c r="C118" s="105">
        <f t="shared" si="9"/>
        <v>7.8264431354560138</v>
      </c>
      <c r="D118" s="67">
        <f t="shared" si="11"/>
        <v>33</v>
      </c>
      <c r="E118" s="83"/>
      <c r="F118" s="69"/>
      <c r="G118" s="69"/>
      <c r="H118" s="69"/>
      <c r="I118" s="109">
        <f t="shared" si="10"/>
        <v>2506.1</v>
      </c>
    </row>
    <row r="119" spans="1:9" ht="15" customHeight="1">
      <c r="A119" s="80">
        <v>2022</v>
      </c>
      <c r="B119" s="81">
        <f t="shared" si="13"/>
        <v>2392</v>
      </c>
      <c r="C119" s="105">
        <f t="shared" si="9"/>
        <v>7.7798851150705222</v>
      </c>
      <c r="D119" s="67">
        <f t="shared" si="11"/>
        <v>34</v>
      </c>
      <c r="E119" s="83"/>
      <c r="F119" s="69"/>
      <c r="G119" s="69"/>
      <c r="H119" s="69"/>
      <c r="I119" s="109">
        <f t="shared" si="10"/>
        <v>2391.5</v>
      </c>
    </row>
    <row r="120" spans="1:9" ht="15" customHeight="1">
      <c r="A120" s="80">
        <v>2023</v>
      </c>
      <c r="B120" s="81">
        <f t="shared" si="13"/>
        <v>2282</v>
      </c>
      <c r="C120" s="105">
        <f t="shared" si="9"/>
        <v>7.7328075304220212</v>
      </c>
      <c r="D120" s="67">
        <f t="shared" si="11"/>
        <v>35</v>
      </c>
      <c r="E120" s="83"/>
      <c r="F120" s="69"/>
      <c r="G120" s="69"/>
      <c r="H120" s="69"/>
      <c r="I120" s="109">
        <f t="shared" si="10"/>
        <v>2282.1999999999998</v>
      </c>
    </row>
    <row r="121" spans="1:9" ht="15" customHeight="1">
      <c r="A121" s="80">
        <v>2024</v>
      </c>
      <c r="B121" s="81">
        <f t="shared" si="13"/>
        <v>2178</v>
      </c>
      <c r="C121" s="105">
        <f t="shared" si="9"/>
        <v>7.6861623034929059</v>
      </c>
      <c r="D121" s="67">
        <f t="shared" si="11"/>
        <v>36</v>
      </c>
      <c r="E121" s="69"/>
      <c r="F121" s="69"/>
      <c r="G121" s="69"/>
      <c r="H121" s="69"/>
      <c r="I121" s="109">
        <f t="shared" si="10"/>
        <v>2177.8000000000002</v>
      </c>
    </row>
    <row r="122" spans="1:9" ht="15" customHeight="1">
      <c r="A122" s="85">
        <v>2025</v>
      </c>
      <c r="B122" s="86">
        <f t="shared" si="13"/>
        <v>2078</v>
      </c>
      <c r="C122" s="124">
        <f t="shared" si="9"/>
        <v>7.6391611716591727</v>
      </c>
      <c r="D122" s="87">
        <f t="shared" si="11"/>
        <v>37</v>
      </c>
      <c r="E122" s="89"/>
      <c r="F122" s="89"/>
      <c r="G122" s="89"/>
      <c r="H122" s="89"/>
      <c r="I122" s="125">
        <f t="shared" si="10"/>
        <v>2078.1999999999998</v>
      </c>
    </row>
    <row r="123" spans="1:9" ht="15" customHeight="1">
      <c r="A123" s="56" t="s">
        <v>82</v>
      </c>
      <c r="B123" s="57"/>
    </row>
    <row r="124" spans="1:9" ht="15" customHeight="1">
      <c r="A124" s="58" t="s">
        <v>32</v>
      </c>
      <c r="B124" s="59" t="s">
        <v>40</v>
      </c>
      <c r="C124" s="59" t="s">
        <v>83</v>
      </c>
      <c r="D124" s="59" t="s">
        <v>33</v>
      </c>
      <c r="E124" s="59" t="s">
        <v>35</v>
      </c>
      <c r="F124" s="103"/>
      <c r="G124" s="60"/>
      <c r="H124" s="63" t="s">
        <v>104</v>
      </c>
      <c r="I124" s="64" t="e">
        <f>RSQ(I125:I144,B125:B144)</f>
        <v>#VALUE!</v>
      </c>
    </row>
    <row r="125" spans="1:9" ht="15" customHeight="1">
      <c r="A125" s="65">
        <f t="shared" ref="A125:B140" si="14">A5</f>
        <v>1988</v>
      </c>
      <c r="B125" s="104">
        <f t="shared" si="14"/>
        <v>11745</v>
      </c>
      <c r="C125" s="126"/>
      <c r="D125" s="67">
        <v>0</v>
      </c>
      <c r="E125" s="67"/>
      <c r="F125" s="106" t="s">
        <v>75</v>
      </c>
      <c r="G125" s="73" t="e">
        <f>INDEX(LINEST(C126:C144,E126:E144),1)</f>
        <v>#VALUE!</v>
      </c>
      <c r="H125" s="127"/>
      <c r="I125" s="128" t="e">
        <f t="shared" ref="I125:I162" si="15">$B$125+$G$129*D125^$G$125</f>
        <v>#VALUE!</v>
      </c>
    </row>
    <row r="126" spans="1:9" ht="15" customHeight="1">
      <c r="A126" s="65">
        <f t="shared" si="14"/>
        <v>1989</v>
      </c>
      <c r="B126" s="104">
        <f t="shared" si="14"/>
        <v>11162</v>
      </c>
      <c r="C126" s="126" t="e">
        <f t="shared" ref="C126:C144" si="16">LN(-B$125+B126)</f>
        <v>#NUM!</v>
      </c>
      <c r="D126" s="67">
        <f t="shared" ref="D126:D162" si="17">D125+1</f>
        <v>1</v>
      </c>
      <c r="E126" s="67">
        <f t="shared" ref="E126:E145" si="18">LN(D126)</f>
        <v>0</v>
      </c>
      <c r="F126" s="106" t="s">
        <v>76</v>
      </c>
      <c r="G126" s="73" t="e">
        <f>INDEX(LINEST(C126:C144,E126:E144),2)</f>
        <v>#VALUE!</v>
      </c>
      <c r="H126" s="129" t="s">
        <v>84</v>
      </c>
      <c r="I126" s="128" t="e">
        <f t="shared" si="15"/>
        <v>#VALUE!</v>
      </c>
    </row>
    <row r="127" spans="1:9" ht="15" customHeight="1">
      <c r="A127" s="65">
        <f t="shared" si="14"/>
        <v>1990</v>
      </c>
      <c r="B127" s="104">
        <f t="shared" si="14"/>
        <v>10195</v>
      </c>
      <c r="C127" s="126" t="e">
        <f t="shared" si="16"/>
        <v>#NUM!</v>
      </c>
      <c r="D127" s="67">
        <f t="shared" si="17"/>
        <v>2</v>
      </c>
      <c r="E127" s="67">
        <f t="shared" si="18"/>
        <v>0.69314718055994529</v>
      </c>
      <c r="F127" s="69"/>
      <c r="G127" s="130"/>
      <c r="H127" s="127"/>
      <c r="I127" s="128" t="e">
        <f t="shared" si="15"/>
        <v>#VALUE!</v>
      </c>
    </row>
    <row r="128" spans="1:9" ht="15" customHeight="1">
      <c r="A128" s="65">
        <f t="shared" si="14"/>
        <v>1991</v>
      </c>
      <c r="B128" s="104">
        <f t="shared" si="14"/>
        <v>10052</v>
      </c>
      <c r="C128" s="126" t="e">
        <f t="shared" si="16"/>
        <v>#NUM!</v>
      </c>
      <c r="D128" s="67">
        <f t="shared" si="17"/>
        <v>3</v>
      </c>
      <c r="E128" s="67">
        <f t="shared" si="18"/>
        <v>1.0986122886681098</v>
      </c>
      <c r="F128" s="106" t="s">
        <v>77</v>
      </c>
      <c r="G128" s="73" t="e">
        <f>I124</f>
        <v>#VALUE!</v>
      </c>
      <c r="H128" s="127"/>
      <c r="I128" s="128" t="e">
        <f t="shared" si="15"/>
        <v>#VALUE!</v>
      </c>
    </row>
    <row r="129" spans="1:9" ht="15" customHeight="1">
      <c r="A129" s="65">
        <f t="shared" si="14"/>
        <v>1992</v>
      </c>
      <c r="B129" s="104">
        <f t="shared" si="14"/>
        <v>9545</v>
      </c>
      <c r="C129" s="126" t="e">
        <f t="shared" si="16"/>
        <v>#NUM!</v>
      </c>
      <c r="D129" s="67">
        <f t="shared" si="17"/>
        <v>4</v>
      </c>
      <c r="E129" s="67">
        <f t="shared" si="18"/>
        <v>1.3862943611198906</v>
      </c>
      <c r="F129" s="106" t="s">
        <v>38</v>
      </c>
      <c r="G129" s="131" t="e">
        <f>EXP(G126)</f>
        <v>#VALUE!</v>
      </c>
      <c r="H129" s="127"/>
      <c r="I129" s="128" t="e">
        <f t="shared" si="15"/>
        <v>#VALUE!</v>
      </c>
    </row>
    <row r="130" spans="1:9" ht="15" customHeight="1">
      <c r="A130" s="65">
        <f t="shared" si="14"/>
        <v>1993</v>
      </c>
      <c r="B130" s="104">
        <f t="shared" si="14"/>
        <v>8957</v>
      </c>
      <c r="C130" s="126" t="e">
        <f t="shared" si="16"/>
        <v>#NUM!</v>
      </c>
      <c r="D130" s="67">
        <f t="shared" si="17"/>
        <v>5</v>
      </c>
      <c r="E130" s="67">
        <f t="shared" si="18"/>
        <v>1.6094379124341003</v>
      </c>
      <c r="F130" s="106"/>
      <c r="G130" s="53"/>
      <c r="H130" s="127"/>
      <c r="I130" s="128" t="e">
        <f t="shared" si="15"/>
        <v>#VALUE!</v>
      </c>
    </row>
    <row r="131" spans="1:9" ht="15" customHeight="1">
      <c r="A131" s="65">
        <f t="shared" si="14"/>
        <v>1994</v>
      </c>
      <c r="B131" s="104">
        <f t="shared" si="14"/>
        <v>8517</v>
      </c>
      <c r="C131" s="126" t="e">
        <f t="shared" si="16"/>
        <v>#NUM!</v>
      </c>
      <c r="D131" s="67">
        <f t="shared" si="17"/>
        <v>6</v>
      </c>
      <c r="E131" s="67">
        <f t="shared" si="18"/>
        <v>1.791759469228055</v>
      </c>
      <c r="F131" s="106"/>
      <c r="G131" s="53"/>
      <c r="H131" s="127"/>
      <c r="I131" s="128" t="e">
        <f t="shared" si="15"/>
        <v>#VALUE!</v>
      </c>
    </row>
    <row r="132" spans="1:9" ht="15" customHeight="1">
      <c r="A132" s="65">
        <f t="shared" si="14"/>
        <v>1995</v>
      </c>
      <c r="B132" s="104">
        <f t="shared" si="14"/>
        <v>8096</v>
      </c>
      <c r="C132" s="126" t="e">
        <f t="shared" si="16"/>
        <v>#NUM!</v>
      </c>
      <c r="D132" s="67">
        <f t="shared" si="17"/>
        <v>7</v>
      </c>
      <c r="E132" s="67">
        <f t="shared" si="18"/>
        <v>1.9459101490553132</v>
      </c>
      <c r="F132" s="132" t="s">
        <v>85</v>
      </c>
      <c r="G132" s="53"/>
      <c r="H132" s="127"/>
      <c r="I132" s="128" t="e">
        <f t="shared" si="15"/>
        <v>#VALUE!</v>
      </c>
    </row>
    <row r="133" spans="1:9" ht="15" customHeight="1">
      <c r="A133" s="65">
        <f t="shared" si="14"/>
        <v>1996</v>
      </c>
      <c r="B133" s="104">
        <f t="shared" si="14"/>
        <v>7628</v>
      </c>
      <c r="C133" s="126" t="e">
        <f t="shared" si="16"/>
        <v>#NUM!</v>
      </c>
      <c r="D133" s="67">
        <f t="shared" si="17"/>
        <v>8</v>
      </c>
      <c r="E133" s="67">
        <f t="shared" si="18"/>
        <v>2.0794415416798357</v>
      </c>
      <c r="F133" s="132" t="s">
        <v>86</v>
      </c>
      <c r="G133" s="53"/>
      <c r="H133" s="127"/>
      <c r="I133" s="128" t="e">
        <f t="shared" si="15"/>
        <v>#VALUE!</v>
      </c>
    </row>
    <row r="134" spans="1:9" ht="15" customHeight="1">
      <c r="A134" s="65">
        <f t="shared" si="14"/>
        <v>1997</v>
      </c>
      <c r="B134" s="104">
        <f t="shared" si="14"/>
        <v>7375</v>
      </c>
      <c r="C134" s="126" t="e">
        <f t="shared" si="16"/>
        <v>#NUM!</v>
      </c>
      <c r="D134" s="67">
        <f t="shared" si="17"/>
        <v>9</v>
      </c>
      <c r="E134" s="67">
        <f t="shared" si="18"/>
        <v>2.1972245773362196</v>
      </c>
      <c r="F134" s="132"/>
      <c r="G134" s="53"/>
      <c r="H134" s="127"/>
      <c r="I134" s="128" t="e">
        <f t="shared" si="15"/>
        <v>#VALUE!</v>
      </c>
    </row>
    <row r="135" spans="1:9" ht="15" customHeight="1">
      <c r="A135" s="65">
        <f t="shared" si="14"/>
        <v>1998</v>
      </c>
      <c r="B135" s="104">
        <f t="shared" si="14"/>
        <v>7030</v>
      </c>
      <c r="C135" s="126" t="e">
        <f t="shared" si="16"/>
        <v>#NUM!</v>
      </c>
      <c r="D135" s="67">
        <f t="shared" si="17"/>
        <v>10</v>
      </c>
      <c r="E135" s="67">
        <f t="shared" si="18"/>
        <v>2.3025850929940459</v>
      </c>
      <c r="F135" s="132"/>
      <c r="G135" s="53"/>
      <c r="H135" s="127"/>
      <c r="I135" s="128" t="e">
        <f t="shared" si="15"/>
        <v>#VALUE!</v>
      </c>
    </row>
    <row r="136" spans="1:9" ht="15" customHeight="1">
      <c r="A136" s="65">
        <f t="shared" si="14"/>
        <v>1999</v>
      </c>
      <c r="B136" s="104">
        <f t="shared" si="14"/>
        <v>6695</v>
      </c>
      <c r="C136" s="126" t="e">
        <f t="shared" si="16"/>
        <v>#NUM!</v>
      </c>
      <c r="D136" s="67">
        <f t="shared" si="17"/>
        <v>11</v>
      </c>
      <c r="E136" s="67">
        <f t="shared" si="18"/>
        <v>2.3978952727983707</v>
      </c>
      <c r="F136" s="132"/>
      <c r="G136" s="53"/>
      <c r="H136" s="127"/>
      <c r="I136" s="128" t="e">
        <f t="shared" si="15"/>
        <v>#VALUE!</v>
      </c>
    </row>
    <row r="137" spans="1:9" ht="15" customHeight="1">
      <c r="A137" s="65">
        <f t="shared" si="14"/>
        <v>2000</v>
      </c>
      <c r="B137" s="104">
        <f t="shared" si="14"/>
        <v>6281</v>
      </c>
      <c r="C137" s="126" t="e">
        <f t="shared" si="16"/>
        <v>#NUM!</v>
      </c>
      <c r="D137" s="67">
        <f t="shared" si="17"/>
        <v>12</v>
      </c>
      <c r="E137" s="67">
        <f t="shared" si="18"/>
        <v>2.4849066497880004</v>
      </c>
      <c r="F137" s="132"/>
      <c r="G137" s="53"/>
      <c r="H137" s="127"/>
      <c r="I137" s="128" t="e">
        <f t="shared" si="15"/>
        <v>#VALUE!</v>
      </c>
    </row>
    <row r="138" spans="1:9" ht="15" customHeight="1">
      <c r="A138" s="65">
        <f t="shared" si="14"/>
        <v>2001</v>
      </c>
      <c r="B138" s="104">
        <f t="shared" si="14"/>
        <v>5959</v>
      </c>
      <c r="C138" s="126" t="e">
        <f t="shared" si="16"/>
        <v>#NUM!</v>
      </c>
      <c r="D138" s="67">
        <f t="shared" si="17"/>
        <v>13</v>
      </c>
      <c r="E138" s="67">
        <f t="shared" si="18"/>
        <v>2.5649493574615367</v>
      </c>
      <c r="F138" s="132"/>
      <c r="G138" s="53"/>
      <c r="H138" s="127"/>
      <c r="I138" s="128" t="e">
        <f t="shared" si="15"/>
        <v>#VALUE!</v>
      </c>
    </row>
    <row r="139" spans="1:9" ht="15" customHeight="1">
      <c r="A139" s="65">
        <f t="shared" si="14"/>
        <v>2002</v>
      </c>
      <c r="B139" s="104">
        <f t="shared" si="14"/>
        <v>5578</v>
      </c>
      <c r="C139" s="126" t="e">
        <f t="shared" si="16"/>
        <v>#NUM!</v>
      </c>
      <c r="D139" s="67">
        <f t="shared" si="17"/>
        <v>14</v>
      </c>
      <c r="E139" s="67">
        <f t="shared" si="18"/>
        <v>2.6390573296152584</v>
      </c>
      <c r="F139" s="132"/>
      <c r="G139" s="53"/>
      <c r="H139" s="127"/>
      <c r="I139" s="128" t="e">
        <f t="shared" si="15"/>
        <v>#VALUE!</v>
      </c>
    </row>
    <row r="140" spans="1:9" ht="15" customHeight="1">
      <c r="A140" s="65">
        <f t="shared" si="14"/>
        <v>2003</v>
      </c>
      <c r="B140" s="104">
        <f t="shared" si="14"/>
        <v>5267</v>
      </c>
      <c r="C140" s="126" t="e">
        <f t="shared" si="16"/>
        <v>#NUM!</v>
      </c>
      <c r="D140" s="67">
        <f t="shared" si="17"/>
        <v>15</v>
      </c>
      <c r="E140" s="67">
        <f t="shared" si="18"/>
        <v>2.7080502011022101</v>
      </c>
      <c r="F140" s="132"/>
      <c r="G140" s="53"/>
      <c r="H140" s="127"/>
      <c r="I140" s="128" t="e">
        <f t="shared" si="15"/>
        <v>#VALUE!</v>
      </c>
    </row>
    <row r="141" spans="1:9" ht="15" customHeight="1">
      <c r="A141" s="65">
        <f t="shared" ref="A141:B145" si="19">A21</f>
        <v>2004</v>
      </c>
      <c r="B141" s="104">
        <f t="shared" si="19"/>
        <v>5105</v>
      </c>
      <c r="C141" s="126" t="e">
        <f t="shared" si="16"/>
        <v>#NUM!</v>
      </c>
      <c r="D141" s="67">
        <f t="shared" si="17"/>
        <v>16</v>
      </c>
      <c r="E141" s="67">
        <f t="shared" si="18"/>
        <v>2.7725887222397811</v>
      </c>
      <c r="F141" s="132"/>
      <c r="G141" s="53"/>
      <c r="H141" s="127"/>
      <c r="I141" s="128" t="e">
        <f t="shared" si="15"/>
        <v>#VALUE!</v>
      </c>
    </row>
    <row r="142" spans="1:9" ht="15" customHeight="1">
      <c r="A142" s="65">
        <f t="shared" si="19"/>
        <v>2005</v>
      </c>
      <c r="B142" s="104">
        <f t="shared" si="19"/>
        <v>4844</v>
      </c>
      <c r="C142" s="126" t="e">
        <f t="shared" si="16"/>
        <v>#NUM!</v>
      </c>
      <c r="D142" s="67">
        <f t="shared" si="17"/>
        <v>17</v>
      </c>
      <c r="E142" s="67">
        <f t="shared" si="18"/>
        <v>2.8332133440562162</v>
      </c>
      <c r="F142" s="132"/>
      <c r="G142" s="53"/>
      <c r="H142" s="127"/>
      <c r="I142" s="128" t="e">
        <f t="shared" si="15"/>
        <v>#VALUE!</v>
      </c>
    </row>
    <row r="143" spans="1:9" ht="15" customHeight="1">
      <c r="A143" s="65">
        <f t="shared" si="19"/>
        <v>2006</v>
      </c>
      <c r="B143" s="104">
        <f t="shared" si="19"/>
        <v>4774</v>
      </c>
      <c r="C143" s="126" t="e">
        <f t="shared" si="16"/>
        <v>#NUM!</v>
      </c>
      <c r="D143" s="67">
        <f t="shared" si="17"/>
        <v>18</v>
      </c>
      <c r="E143" s="67">
        <f t="shared" si="18"/>
        <v>2.8903717578961645</v>
      </c>
      <c r="F143" s="132"/>
      <c r="G143" s="53"/>
      <c r="H143" s="127"/>
      <c r="I143" s="128" t="e">
        <f t="shared" si="15"/>
        <v>#VALUE!</v>
      </c>
    </row>
    <row r="144" spans="1:9" ht="15" customHeight="1" thickBot="1">
      <c r="A144" s="97">
        <f t="shared" si="19"/>
        <v>2007</v>
      </c>
      <c r="B144" s="116">
        <f t="shared" si="19"/>
        <v>4826</v>
      </c>
      <c r="C144" s="141" t="e">
        <f t="shared" si="16"/>
        <v>#NUM!</v>
      </c>
      <c r="D144" s="99">
        <f t="shared" si="17"/>
        <v>19</v>
      </c>
      <c r="E144" s="99">
        <f t="shared" si="18"/>
        <v>2.9444389791664403</v>
      </c>
      <c r="F144" s="182"/>
      <c r="G144" s="101"/>
      <c r="H144" s="143"/>
      <c r="I144" s="144" t="e">
        <f t="shared" si="15"/>
        <v>#VALUE!</v>
      </c>
    </row>
    <row r="145" spans="1:9" ht="15" customHeight="1" thickTop="1">
      <c r="A145" s="255">
        <f t="shared" si="19"/>
        <v>2008</v>
      </c>
      <c r="B145" s="81" t="e">
        <f>ROUND(LOOKUP(0,D$125:D$144,B$125:B$144)+G$129*D144^G$125,0)</f>
        <v>#VALUE!</v>
      </c>
      <c r="C145" s="257"/>
      <c r="D145" s="77">
        <f t="shared" si="17"/>
        <v>20</v>
      </c>
      <c r="E145" s="77">
        <f t="shared" si="18"/>
        <v>2.9957322735539909</v>
      </c>
      <c r="F145" s="122"/>
      <c r="G145" s="78"/>
      <c r="H145" s="258"/>
      <c r="I145" s="133" t="e">
        <f t="shared" si="15"/>
        <v>#VALUE!</v>
      </c>
    </row>
    <row r="146" spans="1:9" ht="15" customHeight="1">
      <c r="A146" s="80">
        <v>2009</v>
      </c>
      <c r="B146" s="81" t="e">
        <f>ROUND(LOOKUP(0,D$125:D$144,B$125:B$144)+G$129*D145^G$125,0)</f>
        <v>#VALUE!</v>
      </c>
      <c r="C146" s="134"/>
      <c r="D146" s="67">
        <f t="shared" si="17"/>
        <v>21</v>
      </c>
      <c r="E146" s="67"/>
      <c r="F146" s="83"/>
      <c r="G146" s="69"/>
      <c r="H146" s="84"/>
      <c r="I146" s="128" t="e">
        <f t="shared" si="15"/>
        <v>#VALUE!</v>
      </c>
    </row>
    <row r="147" spans="1:9" ht="15" customHeight="1">
      <c r="A147" s="80">
        <v>2010</v>
      </c>
      <c r="B147" s="81" t="e">
        <f t="shared" ref="B147:B162" si="20">ROUND(LOOKUP(0,D$125:D$144,B$125:B$144)+G$129*D146^G$125,0)</f>
        <v>#VALUE!</v>
      </c>
      <c r="C147" s="134"/>
      <c r="D147" s="67">
        <f t="shared" si="17"/>
        <v>22</v>
      </c>
      <c r="E147" s="67"/>
      <c r="F147" s="83"/>
      <c r="G147" s="69"/>
      <c r="H147" s="84"/>
      <c r="I147" s="128" t="e">
        <f t="shared" si="15"/>
        <v>#VALUE!</v>
      </c>
    </row>
    <row r="148" spans="1:9" ht="15" customHeight="1">
      <c r="A148" s="80">
        <v>2011</v>
      </c>
      <c r="B148" s="81" t="e">
        <f t="shared" si="20"/>
        <v>#VALUE!</v>
      </c>
      <c r="C148" s="134"/>
      <c r="D148" s="67">
        <f t="shared" si="17"/>
        <v>23</v>
      </c>
      <c r="E148" s="67"/>
      <c r="F148" s="83"/>
      <c r="G148" s="69"/>
      <c r="H148" s="84"/>
      <c r="I148" s="128" t="e">
        <f t="shared" si="15"/>
        <v>#VALUE!</v>
      </c>
    </row>
    <row r="149" spans="1:9" ht="15" customHeight="1">
      <c r="A149" s="80">
        <v>2012</v>
      </c>
      <c r="B149" s="81" t="e">
        <f t="shared" si="20"/>
        <v>#VALUE!</v>
      </c>
      <c r="C149" s="134"/>
      <c r="D149" s="67">
        <f t="shared" si="17"/>
        <v>24</v>
      </c>
      <c r="E149" s="67"/>
      <c r="F149" s="83"/>
      <c r="G149" s="69"/>
      <c r="H149" s="84"/>
      <c r="I149" s="128" t="e">
        <f t="shared" si="15"/>
        <v>#VALUE!</v>
      </c>
    </row>
    <row r="150" spans="1:9" ht="15" customHeight="1">
      <c r="A150" s="80">
        <v>2013</v>
      </c>
      <c r="B150" s="81" t="e">
        <f t="shared" si="20"/>
        <v>#VALUE!</v>
      </c>
      <c r="C150" s="134"/>
      <c r="D150" s="67">
        <f t="shared" si="17"/>
        <v>25</v>
      </c>
      <c r="E150" s="67"/>
      <c r="F150" s="83"/>
      <c r="G150" s="69"/>
      <c r="H150" s="84"/>
      <c r="I150" s="128" t="e">
        <f t="shared" si="15"/>
        <v>#VALUE!</v>
      </c>
    </row>
    <row r="151" spans="1:9" ht="15" customHeight="1">
      <c r="A151" s="80">
        <v>2014</v>
      </c>
      <c r="B151" s="81" t="e">
        <f t="shared" si="20"/>
        <v>#VALUE!</v>
      </c>
      <c r="C151" s="134"/>
      <c r="D151" s="67">
        <f t="shared" si="17"/>
        <v>26</v>
      </c>
      <c r="E151" s="67"/>
      <c r="F151" s="83"/>
      <c r="G151" s="69"/>
      <c r="H151" s="84"/>
      <c r="I151" s="128" t="e">
        <f t="shared" si="15"/>
        <v>#VALUE!</v>
      </c>
    </row>
    <row r="152" spans="1:9" ht="15" customHeight="1">
      <c r="A152" s="80">
        <v>2015</v>
      </c>
      <c r="B152" s="81" t="e">
        <f t="shared" si="20"/>
        <v>#VALUE!</v>
      </c>
      <c r="C152" s="134"/>
      <c r="D152" s="67">
        <f t="shared" si="17"/>
        <v>27</v>
      </c>
      <c r="E152" s="67"/>
      <c r="F152" s="83"/>
      <c r="G152" s="69"/>
      <c r="H152" s="84"/>
      <c r="I152" s="128" t="e">
        <f t="shared" si="15"/>
        <v>#VALUE!</v>
      </c>
    </row>
    <row r="153" spans="1:9" ht="15" customHeight="1">
      <c r="A153" s="80">
        <v>2016</v>
      </c>
      <c r="B153" s="81" t="e">
        <f t="shared" si="20"/>
        <v>#VALUE!</v>
      </c>
      <c r="C153" s="134"/>
      <c r="D153" s="67">
        <f t="shared" si="17"/>
        <v>28</v>
      </c>
      <c r="E153" s="67"/>
      <c r="F153" s="83"/>
      <c r="G153" s="69"/>
      <c r="H153" s="84"/>
      <c r="I153" s="128" t="e">
        <f t="shared" si="15"/>
        <v>#VALUE!</v>
      </c>
    </row>
    <row r="154" spans="1:9" ht="15" customHeight="1">
      <c r="A154" s="80">
        <v>2017</v>
      </c>
      <c r="B154" s="81" t="e">
        <f t="shared" si="20"/>
        <v>#VALUE!</v>
      </c>
      <c r="C154" s="134"/>
      <c r="D154" s="67">
        <f t="shared" si="17"/>
        <v>29</v>
      </c>
      <c r="E154" s="67"/>
      <c r="F154" s="83"/>
      <c r="G154" s="69"/>
      <c r="H154" s="84"/>
      <c r="I154" s="128" t="e">
        <f t="shared" si="15"/>
        <v>#VALUE!</v>
      </c>
    </row>
    <row r="155" spans="1:9" ht="15" customHeight="1">
      <c r="A155" s="80">
        <v>2018</v>
      </c>
      <c r="B155" s="81" t="e">
        <f t="shared" si="20"/>
        <v>#VALUE!</v>
      </c>
      <c r="C155" s="134"/>
      <c r="D155" s="67">
        <f t="shared" si="17"/>
        <v>30</v>
      </c>
      <c r="E155" s="67"/>
      <c r="F155" s="83"/>
      <c r="G155" s="69"/>
      <c r="H155" s="84"/>
      <c r="I155" s="128" t="e">
        <f t="shared" si="15"/>
        <v>#VALUE!</v>
      </c>
    </row>
    <row r="156" spans="1:9" ht="15" customHeight="1">
      <c r="A156" s="80">
        <v>2019</v>
      </c>
      <c r="B156" s="81" t="e">
        <f t="shared" si="20"/>
        <v>#VALUE!</v>
      </c>
      <c r="C156" s="134"/>
      <c r="D156" s="67">
        <f t="shared" si="17"/>
        <v>31</v>
      </c>
      <c r="E156" s="67"/>
      <c r="F156" s="83"/>
      <c r="G156" s="69"/>
      <c r="H156" s="84"/>
      <c r="I156" s="128" t="e">
        <f t="shared" si="15"/>
        <v>#VALUE!</v>
      </c>
    </row>
    <row r="157" spans="1:9" ht="15" customHeight="1">
      <c r="A157" s="80">
        <v>2020</v>
      </c>
      <c r="B157" s="81" t="e">
        <f t="shared" si="20"/>
        <v>#VALUE!</v>
      </c>
      <c r="C157" s="134"/>
      <c r="D157" s="67">
        <f t="shared" si="17"/>
        <v>32</v>
      </c>
      <c r="E157" s="67"/>
      <c r="F157" s="83"/>
      <c r="G157" s="69"/>
      <c r="H157" s="84"/>
      <c r="I157" s="128" t="e">
        <f t="shared" si="15"/>
        <v>#VALUE!</v>
      </c>
    </row>
    <row r="158" spans="1:9" ht="15" customHeight="1">
      <c r="A158" s="80">
        <v>2021</v>
      </c>
      <c r="B158" s="81" t="e">
        <f t="shared" si="20"/>
        <v>#VALUE!</v>
      </c>
      <c r="C158" s="134"/>
      <c r="D158" s="67">
        <f t="shared" si="17"/>
        <v>33</v>
      </c>
      <c r="E158" s="67"/>
      <c r="F158" s="83"/>
      <c r="G158" s="69"/>
      <c r="H158" s="84"/>
      <c r="I158" s="128" t="e">
        <f t="shared" si="15"/>
        <v>#VALUE!</v>
      </c>
    </row>
    <row r="159" spans="1:9" ht="15" customHeight="1">
      <c r="A159" s="80">
        <v>2022</v>
      </c>
      <c r="B159" s="81" t="e">
        <f t="shared" si="20"/>
        <v>#VALUE!</v>
      </c>
      <c r="C159" s="134"/>
      <c r="D159" s="67">
        <f t="shared" si="17"/>
        <v>34</v>
      </c>
      <c r="E159" s="67"/>
      <c r="F159" s="83"/>
      <c r="G159" s="69"/>
      <c r="H159" s="84"/>
      <c r="I159" s="128" t="e">
        <f t="shared" si="15"/>
        <v>#VALUE!</v>
      </c>
    </row>
    <row r="160" spans="1:9" ht="15" customHeight="1">
      <c r="A160" s="80">
        <v>2023</v>
      </c>
      <c r="B160" s="81" t="e">
        <f t="shared" si="20"/>
        <v>#VALUE!</v>
      </c>
      <c r="C160" s="134"/>
      <c r="D160" s="67">
        <f t="shared" si="17"/>
        <v>35</v>
      </c>
      <c r="E160" s="67"/>
      <c r="F160" s="83"/>
      <c r="G160" s="69"/>
      <c r="H160" s="84"/>
      <c r="I160" s="128" t="e">
        <f t="shared" si="15"/>
        <v>#VALUE!</v>
      </c>
    </row>
    <row r="161" spans="1:11" ht="15" customHeight="1">
      <c r="A161" s="80">
        <v>2024</v>
      </c>
      <c r="B161" s="81" t="e">
        <f t="shared" si="20"/>
        <v>#VALUE!</v>
      </c>
      <c r="C161" s="135"/>
      <c r="D161" s="67">
        <f t="shared" si="17"/>
        <v>36</v>
      </c>
      <c r="E161" s="67"/>
      <c r="F161" s="69"/>
      <c r="G161" s="69"/>
      <c r="H161" s="69"/>
      <c r="I161" s="136" t="e">
        <f t="shared" si="15"/>
        <v>#VALUE!</v>
      </c>
    </row>
    <row r="162" spans="1:11" ht="15" customHeight="1">
      <c r="A162" s="85">
        <v>2025</v>
      </c>
      <c r="B162" s="81" t="e">
        <f t="shared" si="20"/>
        <v>#VALUE!</v>
      </c>
      <c r="C162" s="137"/>
      <c r="D162" s="87">
        <f t="shared" si="17"/>
        <v>37</v>
      </c>
      <c r="E162" s="87"/>
      <c r="F162" s="89"/>
      <c r="G162" s="89"/>
      <c r="H162" s="89"/>
      <c r="I162" s="138" t="e">
        <f t="shared" si="15"/>
        <v>#VALUE!</v>
      </c>
      <c r="K162" s="207"/>
    </row>
    <row r="163" spans="1:11" ht="15" customHeight="1">
      <c r="A163" s="56" t="s">
        <v>87</v>
      </c>
      <c r="B163" s="57"/>
    </row>
    <row r="164" spans="1:11" ht="15" customHeight="1">
      <c r="A164" s="58" t="s">
        <v>32</v>
      </c>
      <c r="B164" s="59" t="s">
        <v>40</v>
      </c>
      <c r="C164" s="59" t="s">
        <v>36</v>
      </c>
      <c r="D164" s="59" t="s">
        <v>33</v>
      </c>
      <c r="E164" s="103"/>
      <c r="F164" s="60"/>
      <c r="G164" s="61"/>
      <c r="H164" s="63" t="s">
        <v>104</v>
      </c>
      <c r="I164" s="64">
        <f>RSQ(I165:I185,B165:B185)</f>
        <v>0.99000652384192422</v>
      </c>
    </row>
    <row r="165" spans="1:11" ht="15" customHeight="1">
      <c r="A165" s="65">
        <f t="shared" ref="A165:A185" si="21">A5</f>
        <v>1988</v>
      </c>
      <c r="B165" s="104">
        <f t="shared" ref="B165:B184" si="22">+B5</f>
        <v>11745</v>
      </c>
      <c r="C165" s="126">
        <f t="shared" ref="C165:C184" si="23">LN(F$168/B165-1)</f>
        <v>0</v>
      </c>
      <c r="D165" s="67">
        <v>0</v>
      </c>
      <c r="E165" s="106" t="s">
        <v>75</v>
      </c>
      <c r="F165" s="139">
        <f>INDEX(LINEST(C165:C184,D165:D184),1)</f>
        <v>7.3717316166950472E-2</v>
      </c>
      <c r="G165" s="140" t="s">
        <v>88</v>
      </c>
      <c r="H165" s="127"/>
      <c r="I165" s="128">
        <f t="shared" ref="I165:I202" si="24">$F$168/(1+EXP($F$166+$F$165*D165))</f>
        <v>11203.413834891197</v>
      </c>
    </row>
    <row r="166" spans="1:11" ht="15" customHeight="1">
      <c r="A166" s="65">
        <f t="shared" si="21"/>
        <v>1989</v>
      </c>
      <c r="B166" s="104">
        <f t="shared" si="22"/>
        <v>11162</v>
      </c>
      <c r="C166" s="126">
        <f t="shared" si="23"/>
        <v>9.9357945651572979E-2</v>
      </c>
      <c r="D166" s="67">
        <f t="shared" ref="D166:D202" si="25">D165+1</f>
        <v>1</v>
      </c>
      <c r="E166" s="106" t="s">
        <v>76</v>
      </c>
      <c r="F166" s="139">
        <f>INDEX(LINEST(C165:C184,D165:D184),2)</f>
        <v>9.2289573063980224E-2</v>
      </c>
      <c r="G166" s="69"/>
      <c r="H166" s="127"/>
      <c r="I166" s="128">
        <f t="shared" si="24"/>
        <v>10772.357215155966</v>
      </c>
    </row>
    <row r="167" spans="1:11" ht="15" customHeight="1">
      <c r="A167" s="65">
        <f t="shared" si="21"/>
        <v>1990</v>
      </c>
      <c r="B167" s="104">
        <f t="shared" si="22"/>
        <v>10195</v>
      </c>
      <c r="C167" s="126">
        <f t="shared" si="23"/>
        <v>0.26549062066856466</v>
      </c>
      <c r="D167" s="67">
        <f t="shared" si="25"/>
        <v>2</v>
      </c>
      <c r="E167" s="106" t="s">
        <v>77</v>
      </c>
      <c r="F167" s="73">
        <f>I164</f>
        <v>0.99000652384192422</v>
      </c>
      <c r="G167" s="69"/>
      <c r="H167" s="127"/>
      <c r="I167" s="128">
        <f t="shared" si="24"/>
        <v>10343.922908583165</v>
      </c>
    </row>
    <row r="168" spans="1:11" ht="15" customHeight="1">
      <c r="A168" s="65">
        <f t="shared" si="21"/>
        <v>1991</v>
      </c>
      <c r="B168" s="104">
        <f t="shared" si="22"/>
        <v>10052</v>
      </c>
      <c r="C168" s="126">
        <f t="shared" si="23"/>
        <v>0.29031489481661255</v>
      </c>
      <c r="D168" s="67">
        <f t="shared" si="25"/>
        <v>3</v>
      </c>
      <c r="E168" s="106" t="s">
        <v>39</v>
      </c>
      <c r="F168" s="110">
        <f>MAX(B165:B184)*2</f>
        <v>23490</v>
      </c>
      <c r="G168" s="69"/>
      <c r="H168" s="127"/>
      <c r="I168" s="128">
        <f t="shared" si="24"/>
        <v>9919.2380008850087</v>
      </c>
    </row>
    <row r="169" spans="1:11" ht="15" customHeight="1">
      <c r="A169" s="65">
        <f t="shared" si="21"/>
        <v>1992</v>
      </c>
      <c r="B169" s="104">
        <f t="shared" si="22"/>
        <v>9545</v>
      </c>
      <c r="C169" s="126">
        <f t="shared" si="23"/>
        <v>0.37910356390174149</v>
      </c>
      <c r="D169" s="67">
        <f t="shared" si="25"/>
        <v>4</v>
      </c>
      <c r="E169" s="106"/>
      <c r="F169" s="53"/>
      <c r="G169" s="69"/>
      <c r="H169" s="127"/>
      <c r="I169" s="128">
        <f t="shared" si="24"/>
        <v>9499.3898107442092</v>
      </c>
    </row>
    <row r="170" spans="1:11" ht="15" customHeight="1">
      <c r="A170" s="65">
        <f t="shared" si="21"/>
        <v>1993</v>
      </c>
      <c r="B170" s="104">
        <f t="shared" si="22"/>
        <v>8957</v>
      </c>
      <c r="C170" s="126">
        <f t="shared" si="23"/>
        <v>0.48398657615097523</v>
      </c>
      <c r="D170" s="67">
        <f t="shared" si="25"/>
        <v>5</v>
      </c>
      <c r="E170" s="106"/>
      <c r="F170" s="53"/>
      <c r="G170" s="69"/>
      <c r="H170" s="127"/>
      <c r="I170" s="128">
        <f t="shared" si="24"/>
        <v>9085.4151353005673</v>
      </c>
    </row>
    <row r="171" spans="1:11" ht="15" customHeight="1">
      <c r="A171" s="65">
        <f t="shared" si="21"/>
        <v>1994</v>
      </c>
      <c r="B171" s="104">
        <f t="shared" si="22"/>
        <v>8517</v>
      </c>
      <c r="C171" s="126">
        <f t="shared" si="23"/>
        <v>0.56418441299663813</v>
      </c>
      <c r="D171" s="67">
        <f t="shared" si="25"/>
        <v>6</v>
      </c>
      <c r="E171" s="132" t="s">
        <v>89</v>
      </c>
      <c r="F171" s="53"/>
      <c r="G171" s="69"/>
      <c r="H171" s="127"/>
      <c r="I171" s="128">
        <f t="shared" si="24"/>
        <v>8678.2905987497361</v>
      </c>
    </row>
    <row r="172" spans="1:11" ht="15" customHeight="1">
      <c r="A172" s="65">
        <f t="shared" si="21"/>
        <v>1995</v>
      </c>
      <c r="B172" s="104">
        <f t="shared" si="22"/>
        <v>8096</v>
      </c>
      <c r="C172" s="126">
        <f t="shared" si="23"/>
        <v>0.64260771056701604</v>
      </c>
      <c r="D172" s="67">
        <f t="shared" si="25"/>
        <v>7</v>
      </c>
      <c r="E172" s="132" t="s">
        <v>90</v>
      </c>
      <c r="F172" s="53"/>
      <c r="G172" s="69"/>
      <c r="H172" s="127"/>
      <c r="I172" s="128">
        <f t="shared" si="24"/>
        <v>8278.9242798838386</v>
      </c>
    </row>
    <row r="173" spans="1:11" ht="15" customHeight="1">
      <c r="A173" s="65">
        <f t="shared" si="21"/>
        <v>1996</v>
      </c>
      <c r="B173" s="104">
        <f t="shared" si="22"/>
        <v>7628</v>
      </c>
      <c r="C173" s="126">
        <f t="shared" si="23"/>
        <v>0.73210062392295516</v>
      </c>
      <c r="D173" s="67">
        <f t="shared" si="25"/>
        <v>8</v>
      </c>
      <c r="E173" s="132"/>
      <c r="F173" s="53"/>
      <c r="G173" s="69"/>
      <c r="H173" s="127"/>
      <c r="I173" s="128">
        <f t="shared" si="24"/>
        <v>7888.1487489827514</v>
      </c>
    </row>
    <row r="174" spans="1:11" ht="15" customHeight="1">
      <c r="A174" s="65">
        <f t="shared" si="21"/>
        <v>1997</v>
      </c>
      <c r="B174" s="104">
        <f t="shared" si="22"/>
        <v>7375</v>
      </c>
      <c r="C174" s="126">
        <f t="shared" si="23"/>
        <v>0.78165461304151762</v>
      </c>
      <c r="D174" s="67">
        <f t="shared" si="25"/>
        <v>9</v>
      </c>
      <c r="E174" s="132"/>
      <c r="F174" s="53"/>
      <c r="G174" s="69"/>
      <c r="H174" s="127"/>
      <c r="I174" s="128">
        <f t="shared" si="24"/>
        <v>7506.7155966057462</v>
      </c>
    </row>
    <row r="175" spans="1:11" ht="15" customHeight="1">
      <c r="A175" s="65">
        <f t="shared" si="21"/>
        <v>1998</v>
      </c>
      <c r="B175" s="104">
        <f t="shared" si="22"/>
        <v>7030</v>
      </c>
      <c r="C175" s="126">
        <f t="shared" si="23"/>
        <v>0.85074648942635023</v>
      </c>
      <c r="D175" s="67">
        <f t="shared" si="25"/>
        <v>10</v>
      </c>
      <c r="E175" s="132"/>
      <c r="F175" s="53"/>
      <c r="G175" s="69"/>
      <c r="H175" s="127"/>
      <c r="I175" s="128">
        <f t="shared" si="24"/>
        <v>7135.2914889102076</v>
      </c>
    </row>
    <row r="176" spans="1:11" ht="15" customHeight="1">
      <c r="A176" s="65">
        <f t="shared" si="21"/>
        <v>1999</v>
      </c>
      <c r="B176" s="104">
        <f t="shared" si="22"/>
        <v>6695</v>
      </c>
      <c r="C176" s="126">
        <f t="shared" si="23"/>
        <v>0.91972024392112028</v>
      </c>
      <c r="D176" s="67">
        <f t="shared" si="25"/>
        <v>11</v>
      </c>
      <c r="E176" s="132"/>
      <c r="F176" s="53"/>
      <c r="G176" s="69"/>
      <c r="H176" s="127"/>
      <c r="I176" s="128">
        <f t="shared" si="24"/>
        <v>6774.4557383349647</v>
      </c>
    </row>
    <row r="177" spans="1:9" ht="15" customHeight="1">
      <c r="A177" s="65">
        <f t="shared" si="21"/>
        <v>2000</v>
      </c>
      <c r="B177" s="104">
        <f t="shared" si="22"/>
        <v>6281</v>
      </c>
      <c r="C177" s="126">
        <f t="shared" si="23"/>
        <v>1.0079032993105304</v>
      </c>
      <c r="D177" s="67">
        <f t="shared" si="25"/>
        <v>12</v>
      </c>
      <c r="E177" s="132"/>
      <c r="F177" s="53"/>
      <c r="G177" s="69"/>
      <c r="H177" s="127"/>
      <c r="I177" s="128">
        <f t="shared" si="24"/>
        <v>6424.699336722977</v>
      </c>
    </row>
    <row r="178" spans="1:9" ht="15" customHeight="1">
      <c r="A178" s="65">
        <f t="shared" si="21"/>
        <v>2001</v>
      </c>
      <c r="B178" s="104">
        <f t="shared" si="22"/>
        <v>5959</v>
      </c>
      <c r="C178" s="126">
        <f t="shared" si="23"/>
        <v>1.0790680606068952</v>
      </c>
      <c r="D178" s="67">
        <f t="shared" si="25"/>
        <v>13</v>
      </c>
      <c r="E178" s="132"/>
      <c r="F178" s="53"/>
      <c r="G178" s="69"/>
      <c r="H178" s="127"/>
      <c r="I178" s="128">
        <f t="shared" si="24"/>
        <v>6086.4253617136719</v>
      </c>
    </row>
    <row r="179" spans="1:9" ht="15" customHeight="1">
      <c r="A179" s="65">
        <f t="shared" si="21"/>
        <v>2002</v>
      </c>
      <c r="B179" s="104">
        <f t="shared" si="22"/>
        <v>5578</v>
      </c>
      <c r="C179" s="126">
        <f t="shared" si="23"/>
        <v>1.1666405900911565</v>
      </c>
      <c r="D179" s="67">
        <f t="shared" si="25"/>
        <v>14</v>
      </c>
      <c r="E179" s="132"/>
      <c r="F179" s="53"/>
      <c r="G179" s="69"/>
      <c r="H179" s="127"/>
      <c r="I179" s="128">
        <f t="shared" si="24"/>
        <v>5759.9506375491428</v>
      </c>
    </row>
    <row r="180" spans="1:9" ht="15" customHeight="1">
      <c r="A180" s="65">
        <f t="shared" si="21"/>
        <v>2003</v>
      </c>
      <c r="B180" s="104">
        <f t="shared" si="22"/>
        <v>5267</v>
      </c>
      <c r="C180" s="126">
        <f t="shared" si="23"/>
        <v>1.2412235920026657</v>
      </c>
      <c r="D180" s="67">
        <f t="shared" si="25"/>
        <v>15</v>
      </c>
      <c r="E180" s="132"/>
      <c r="F180" s="53"/>
      <c r="G180" s="69"/>
      <c r="H180" s="127"/>
      <c r="I180" s="128">
        <f t="shared" si="24"/>
        <v>5445.508508885332</v>
      </c>
    </row>
    <row r="181" spans="1:9" ht="15" customHeight="1">
      <c r="A181" s="65">
        <f t="shared" si="21"/>
        <v>2004</v>
      </c>
      <c r="B181" s="104">
        <f t="shared" si="22"/>
        <v>5105</v>
      </c>
      <c r="C181" s="126">
        <f t="shared" si="23"/>
        <v>1.2813146631366064</v>
      </c>
      <c r="D181" s="67">
        <f t="shared" si="25"/>
        <v>16</v>
      </c>
      <c r="E181" s="106"/>
      <c r="F181" s="53"/>
      <c r="G181" s="69"/>
      <c r="H181" s="127"/>
      <c r="I181" s="128">
        <f t="shared" si="24"/>
        <v>5143.2525709126576</v>
      </c>
    </row>
    <row r="182" spans="1:9" ht="15" customHeight="1">
      <c r="A182" s="65">
        <f t="shared" si="21"/>
        <v>2005</v>
      </c>
      <c r="B182" s="104">
        <f t="shared" si="22"/>
        <v>4844</v>
      </c>
      <c r="C182" s="126">
        <f t="shared" si="23"/>
        <v>1.3478908201836559</v>
      </c>
      <c r="D182" s="67">
        <f t="shared" si="25"/>
        <v>17</v>
      </c>
      <c r="E182" s="83"/>
      <c r="F182" s="69"/>
      <c r="G182" s="69"/>
      <c r="H182" s="127"/>
      <c r="I182" s="128">
        <f t="shared" si="24"/>
        <v>4853.2611908140543</v>
      </c>
    </row>
    <row r="183" spans="1:9" ht="15" customHeight="1">
      <c r="A183" s="65">
        <f t="shared" si="21"/>
        <v>2006</v>
      </c>
      <c r="B183" s="104">
        <f t="shared" si="22"/>
        <v>4774</v>
      </c>
      <c r="C183" s="126">
        <f t="shared" si="23"/>
        <v>1.3661942450873317</v>
      </c>
      <c r="D183" s="67">
        <f t="shared" si="25"/>
        <v>18</v>
      </c>
      <c r="E183" s="83"/>
      <c r="F183" s="69"/>
      <c r="G183" s="69"/>
      <c r="H183" s="127"/>
      <c r="I183" s="128">
        <f t="shared" si="24"/>
        <v>4575.542653749173</v>
      </c>
    </row>
    <row r="184" spans="1:9" ht="15" customHeight="1" thickBot="1">
      <c r="A184" s="97">
        <f t="shared" si="21"/>
        <v>2007</v>
      </c>
      <c r="B184" s="116">
        <f t="shared" si="22"/>
        <v>4826</v>
      </c>
      <c r="C184" s="141">
        <f t="shared" si="23"/>
        <v>1.3525785675162889</v>
      </c>
      <c r="D184" s="99">
        <f t="shared" si="25"/>
        <v>19</v>
      </c>
      <c r="E184" s="142"/>
      <c r="F184" s="100"/>
      <c r="G184" s="100"/>
      <c r="H184" s="143"/>
      <c r="I184" s="144">
        <f t="shared" si="24"/>
        <v>4310.040770343493</v>
      </c>
    </row>
    <row r="185" spans="1:9" ht="15" customHeight="1" thickTop="1">
      <c r="A185" s="255">
        <f t="shared" si="21"/>
        <v>2008</v>
      </c>
      <c r="B185" s="81">
        <f t="shared" ref="B185:B202" si="26">ROUND(F$168/(1+EXP(F$166+F$165*D185)),0)</f>
        <v>4057</v>
      </c>
      <c r="C185" s="257"/>
      <c r="D185" s="77">
        <f t="shared" si="25"/>
        <v>20</v>
      </c>
      <c r="E185" s="122"/>
      <c r="F185" s="78"/>
      <c r="G185" s="78"/>
      <c r="H185" s="258"/>
      <c r="I185" s="133">
        <f t="shared" si="24"/>
        <v>4056.6407911232768</v>
      </c>
    </row>
    <row r="186" spans="1:9" ht="15" customHeight="1">
      <c r="A186" s="80">
        <v>2009</v>
      </c>
      <c r="B186" s="81">
        <f t="shared" si="26"/>
        <v>3815</v>
      </c>
      <c r="C186" s="134"/>
      <c r="D186" s="67">
        <f t="shared" si="25"/>
        <v>21</v>
      </c>
      <c r="E186" s="83"/>
      <c r="F186" s="69"/>
      <c r="G186" s="69"/>
      <c r="H186" s="84"/>
      <c r="I186" s="128">
        <f t="shared" si="24"/>
        <v>3815.1754854443966</v>
      </c>
    </row>
    <row r="187" spans="1:9" ht="15" customHeight="1">
      <c r="A187" s="80">
        <v>2010</v>
      </c>
      <c r="B187" s="81">
        <f t="shared" si="26"/>
        <v>3585</v>
      </c>
      <c r="C187" s="134"/>
      <c r="D187" s="67">
        <f t="shared" si="25"/>
        <v>22</v>
      </c>
      <c r="E187" s="83"/>
      <c r="F187" s="69"/>
      <c r="G187" s="69"/>
      <c r="H187" s="84"/>
      <c r="I187" s="128">
        <f t="shared" si="24"/>
        <v>3585.4312571882551</v>
      </c>
    </row>
    <row r="188" spans="1:9" ht="15" customHeight="1">
      <c r="A188" s="80">
        <v>2011</v>
      </c>
      <c r="B188" s="81">
        <f t="shared" si="26"/>
        <v>3367</v>
      </c>
      <c r="C188" s="134"/>
      <c r="D188" s="67">
        <f t="shared" si="25"/>
        <v>23</v>
      </c>
      <c r="E188" s="83"/>
      <c r="F188" s="69"/>
      <c r="G188" s="69"/>
      <c r="H188" s="84"/>
      <c r="I188" s="128">
        <f t="shared" si="24"/>
        <v>3367.1541858707105</v>
      </c>
    </row>
    <row r="189" spans="1:9" ht="15" customHeight="1">
      <c r="A189" s="80">
        <v>2012</v>
      </c>
      <c r="B189" s="81">
        <f t="shared" si="26"/>
        <v>3160</v>
      </c>
      <c r="C189" s="134"/>
      <c r="D189" s="67">
        <f t="shared" si="25"/>
        <v>24</v>
      </c>
      <c r="E189" s="83"/>
      <c r="F189" s="69"/>
      <c r="G189" s="69"/>
      <c r="H189" s="84"/>
      <c r="I189" s="128">
        <f t="shared" si="24"/>
        <v>3160.0558989575002</v>
      </c>
    </row>
    <row r="190" spans="1:9" ht="15" customHeight="1">
      <c r="A190" s="80">
        <v>2013</v>
      </c>
      <c r="B190" s="81">
        <f t="shared" si="26"/>
        <v>2964</v>
      </c>
      <c r="C190" s="134"/>
      <c r="D190" s="67">
        <f t="shared" si="25"/>
        <v>25</v>
      </c>
      <c r="E190" s="83"/>
      <c r="F190" s="69"/>
      <c r="G190" s="69"/>
      <c r="H190" s="84"/>
      <c r="I190" s="128">
        <f t="shared" si="24"/>
        <v>2963.8191983547986</v>
      </c>
    </row>
    <row r="191" spans="1:9" ht="15" customHeight="1">
      <c r="A191" s="80">
        <v>2014</v>
      </c>
      <c r="B191" s="81">
        <f t="shared" si="26"/>
        <v>2778</v>
      </c>
      <c r="C191" s="134"/>
      <c r="D191" s="67">
        <f t="shared" si="25"/>
        <v>26</v>
      </c>
      <c r="E191" s="83"/>
      <c r="F191" s="69"/>
      <c r="G191" s="69"/>
      <c r="H191" s="84"/>
      <c r="I191" s="128">
        <f t="shared" si="24"/>
        <v>2778.1033806370597</v>
      </c>
    </row>
    <row r="192" spans="1:9" ht="15" customHeight="1">
      <c r="A192" s="80">
        <v>2015</v>
      </c>
      <c r="B192" s="81">
        <f t="shared" si="26"/>
        <v>2603</v>
      </c>
      <c r="C192" s="134"/>
      <c r="D192" s="67">
        <f t="shared" si="25"/>
        <v>27</v>
      </c>
      <c r="E192" s="83"/>
      <c r="F192" s="69"/>
      <c r="G192" s="69"/>
      <c r="H192" s="84"/>
      <c r="I192" s="128">
        <f t="shared" si="24"/>
        <v>2602.5492061185314</v>
      </c>
    </row>
    <row r="193" spans="1:10" ht="15" customHeight="1">
      <c r="A193" s="80">
        <v>2016</v>
      </c>
      <c r="B193" s="81">
        <f t="shared" si="26"/>
        <v>2437</v>
      </c>
      <c r="C193" s="134"/>
      <c r="D193" s="67">
        <f t="shared" si="25"/>
        <v>28</v>
      </c>
      <c r="E193" s="83"/>
      <c r="F193" s="69"/>
      <c r="G193" s="69"/>
      <c r="H193" s="84"/>
      <c r="I193" s="128">
        <f t="shared" si="24"/>
        <v>2436.7834860365224</v>
      </c>
    </row>
    <row r="194" spans="1:10" ht="15" customHeight="1">
      <c r="A194" s="80">
        <v>2017</v>
      </c>
      <c r="B194" s="81">
        <f t="shared" si="26"/>
        <v>2280</v>
      </c>
      <c r="C194" s="134"/>
      <c r="D194" s="67">
        <f t="shared" si="25"/>
        <v>29</v>
      </c>
      <c r="E194" s="83"/>
      <c r="F194" s="69"/>
      <c r="G194" s="69"/>
      <c r="H194" s="84"/>
      <c r="I194" s="128">
        <f t="shared" si="24"/>
        <v>2280.4232696825429</v>
      </c>
    </row>
    <row r="195" spans="1:10" ht="15" customHeight="1">
      <c r="A195" s="80">
        <v>2018</v>
      </c>
      <c r="B195" s="81">
        <f t="shared" si="26"/>
        <v>2133</v>
      </c>
      <c r="C195" s="134"/>
      <c r="D195" s="67">
        <f t="shared" si="25"/>
        <v>30</v>
      </c>
      <c r="E195" s="83"/>
      <c r="F195" s="69"/>
      <c r="G195" s="69"/>
      <c r="H195" s="84"/>
      <c r="I195" s="128">
        <f t="shared" si="24"/>
        <v>2133.0796241865437</v>
      </c>
    </row>
    <row r="196" spans="1:10" ht="15" customHeight="1">
      <c r="A196" s="80">
        <v>2019</v>
      </c>
      <c r="B196" s="81">
        <f t="shared" si="26"/>
        <v>1994</v>
      </c>
      <c r="C196" s="134"/>
      <c r="D196" s="67">
        <f t="shared" si="25"/>
        <v>31</v>
      </c>
      <c r="E196" s="83"/>
      <c r="F196" s="69"/>
      <c r="G196" s="69"/>
      <c r="H196" s="84"/>
      <c r="I196" s="128">
        <f t="shared" si="24"/>
        <v>1994.3610088111138</v>
      </c>
    </row>
    <row r="197" spans="1:10" ht="15" customHeight="1">
      <c r="A197" s="80">
        <v>2020</v>
      </c>
      <c r="B197" s="81">
        <f t="shared" si="26"/>
        <v>1864</v>
      </c>
      <c r="C197" s="134"/>
      <c r="D197" s="67">
        <f t="shared" si="25"/>
        <v>32</v>
      </c>
      <c r="E197" s="83"/>
      <c r="F197" s="69"/>
      <c r="G197" s="69"/>
      <c r="H197" s="84"/>
      <c r="I197" s="128">
        <f t="shared" si="24"/>
        <v>1863.8762530969611</v>
      </c>
    </row>
    <row r="198" spans="1:10" ht="15" customHeight="1">
      <c r="A198" s="80">
        <v>2021</v>
      </c>
      <c r="B198" s="81">
        <f t="shared" si="26"/>
        <v>1741</v>
      </c>
      <c r="C198" s="134"/>
      <c r="D198" s="67">
        <f t="shared" si="25"/>
        <v>33</v>
      </c>
      <c r="E198" s="83"/>
      <c r="F198" s="69"/>
      <c r="G198" s="69"/>
      <c r="H198" s="84"/>
      <c r="I198" s="128">
        <f t="shared" si="24"/>
        <v>1741.2371541192374</v>
      </c>
    </row>
    <row r="199" spans="1:10" ht="15" customHeight="1">
      <c r="A199" s="80">
        <v>2022</v>
      </c>
      <c r="B199" s="81">
        <f t="shared" si="26"/>
        <v>1626</v>
      </c>
      <c r="C199" s="134"/>
      <c r="D199" s="67">
        <f t="shared" si="25"/>
        <v>34</v>
      </c>
      <c r="E199" s="83"/>
      <c r="F199" s="69"/>
      <c r="G199" s="69"/>
      <c r="H199" s="84"/>
      <c r="I199" s="128">
        <f t="shared" si="24"/>
        <v>1626.0607126017976</v>
      </c>
    </row>
    <row r="200" spans="1:10" ht="15" customHeight="1">
      <c r="A200" s="80">
        <v>2023</v>
      </c>
      <c r="B200" s="81">
        <f t="shared" si="26"/>
        <v>1518</v>
      </c>
      <c r="C200" s="134"/>
      <c r="D200" s="67">
        <f t="shared" si="25"/>
        <v>35</v>
      </c>
      <c r="E200" s="83"/>
      <c r="F200" s="69"/>
      <c r="G200" s="69"/>
      <c r="H200" s="84"/>
      <c r="I200" s="128">
        <f t="shared" si="24"/>
        <v>1517.9710308500391</v>
      </c>
    </row>
    <row r="201" spans="1:10" ht="15" customHeight="1">
      <c r="A201" s="80">
        <v>2024</v>
      </c>
      <c r="B201" s="81">
        <f t="shared" si="26"/>
        <v>1417</v>
      </c>
      <c r="C201" s="135"/>
      <c r="D201" s="67">
        <f t="shared" si="25"/>
        <v>36</v>
      </c>
      <c r="E201" s="69"/>
      <c r="F201" s="69"/>
      <c r="G201" s="69"/>
      <c r="H201" s="69"/>
      <c r="I201" s="136">
        <f t="shared" si="24"/>
        <v>1416.6008975686891</v>
      </c>
    </row>
    <row r="202" spans="1:10" ht="15" customHeight="1">
      <c r="A202" s="85">
        <v>2025</v>
      </c>
      <c r="B202" s="86">
        <f t="shared" si="26"/>
        <v>1322</v>
      </c>
      <c r="C202" s="137"/>
      <c r="D202" s="87">
        <f t="shared" si="25"/>
        <v>37</v>
      </c>
      <c r="E202" s="89"/>
      <c r="F202" s="89"/>
      <c r="G202" s="89"/>
      <c r="H202" s="89"/>
      <c r="I202" s="138">
        <f t="shared" si="24"/>
        <v>1321.5930857956287</v>
      </c>
    </row>
    <row r="203" spans="1:10" ht="15" customHeight="1">
      <c r="A203" s="56" t="s">
        <v>105</v>
      </c>
      <c r="B203" s="57"/>
    </row>
    <row r="204" spans="1:10" ht="15" customHeight="1">
      <c r="A204" s="56"/>
      <c r="B204" s="57"/>
    </row>
    <row r="205" spans="1:10" ht="24">
      <c r="A205" s="145" t="s">
        <v>32</v>
      </c>
      <c r="B205" s="146" t="s">
        <v>91</v>
      </c>
      <c r="C205" s="147" t="s">
        <v>72</v>
      </c>
      <c r="D205" s="147" t="s">
        <v>92</v>
      </c>
      <c r="E205" s="147" t="s">
        <v>93</v>
      </c>
      <c r="F205" s="147" t="s">
        <v>94</v>
      </c>
      <c r="G205" s="147" t="s">
        <v>95</v>
      </c>
      <c r="H205" s="148" t="s">
        <v>96</v>
      </c>
      <c r="I205" s="149" t="s">
        <v>106</v>
      </c>
      <c r="J205" s="150" t="s">
        <v>107</v>
      </c>
    </row>
    <row r="206" spans="1:10" ht="20.100000000000001" customHeight="1">
      <c r="A206" s="65">
        <v>2008</v>
      </c>
      <c r="B206" s="151">
        <f t="shared" ref="B206:B223" si="27">B25</f>
        <v>4462</v>
      </c>
      <c r="C206" s="152">
        <f t="shared" ref="C206:C223" si="28">B65</f>
        <v>3596</v>
      </c>
      <c r="D206" s="152">
        <f t="shared" ref="D206:D223" si="29">B105</f>
        <v>4606</v>
      </c>
      <c r="E206" s="152"/>
      <c r="F206" s="152">
        <f t="shared" ref="F206:F223" si="30">B185</f>
        <v>4057</v>
      </c>
      <c r="G206" s="152">
        <f t="shared" ref="G206:G223" si="31">ROUND(AVERAGE(B206:F206),1)</f>
        <v>4180.3</v>
      </c>
      <c r="H206" s="152">
        <f t="shared" ref="H206:H223" si="32">ROUND((SUM(B206:F206)-MAX(B206:F206)-MIN(B206:F206))/(COUNT(B206:F206)-2),1)</f>
        <v>4259.5</v>
      </c>
      <c r="I206" s="153">
        <f t="shared" ref="I206:I223" si="33">ROUND(SUMIF(B$224:H$224,"○",B206:H206),0)</f>
        <v>4180</v>
      </c>
      <c r="J206" s="261"/>
    </row>
    <row r="207" spans="1:10" ht="20.100000000000001" customHeight="1">
      <c r="A207" s="80">
        <v>2009</v>
      </c>
      <c r="B207" s="151">
        <f t="shared" si="27"/>
        <v>4098</v>
      </c>
      <c r="C207" s="152">
        <f t="shared" si="28"/>
        <v>3225</v>
      </c>
      <c r="D207" s="152">
        <f t="shared" si="29"/>
        <v>4395</v>
      </c>
      <c r="E207" s="152"/>
      <c r="F207" s="152">
        <f t="shared" si="30"/>
        <v>3815</v>
      </c>
      <c r="G207" s="152">
        <f t="shared" si="31"/>
        <v>3883.3</v>
      </c>
      <c r="H207" s="152">
        <f t="shared" si="32"/>
        <v>3956.5</v>
      </c>
      <c r="I207" s="153">
        <f t="shared" si="33"/>
        <v>3883</v>
      </c>
      <c r="J207" s="154"/>
    </row>
    <row r="208" spans="1:10" ht="20.100000000000001" customHeight="1">
      <c r="A208" s="80">
        <v>2010</v>
      </c>
      <c r="B208" s="151">
        <f t="shared" si="27"/>
        <v>3734</v>
      </c>
      <c r="C208" s="152">
        <f t="shared" si="28"/>
        <v>2855</v>
      </c>
      <c r="D208" s="152">
        <f t="shared" si="29"/>
        <v>4194</v>
      </c>
      <c r="E208" s="152"/>
      <c r="F208" s="152">
        <f t="shared" si="30"/>
        <v>3585</v>
      </c>
      <c r="G208" s="152">
        <f t="shared" si="31"/>
        <v>3592</v>
      </c>
      <c r="H208" s="152">
        <f t="shared" si="32"/>
        <v>3659.5</v>
      </c>
      <c r="I208" s="153">
        <f t="shared" si="33"/>
        <v>3592</v>
      </c>
      <c r="J208" s="154"/>
    </row>
    <row r="209" spans="1:49" ht="20.100000000000001" customHeight="1">
      <c r="A209" s="80">
        <v>2011</v>
      </c>
      <c r="B209" s="151">
        <f t="shared" si="27"/>
        <v>3369</v>
      </c>
      <c r="C209" s="152">
        <f t="shared" si="28"/>
        <v>2485</v>
      </c>
      <c r="D209" s="152">
        <f t="shared" si="29"/>
        <v>4002</v>
      </c>
      <c r="E209" s="152"/>
      <c r="F209" s="152">
        <f t="shared" si="30"/>
        <v>3367</v>
      </c>
      <c r="G209" s="152">
        <f t="shared" si="31"/>
        <v>3305.8</v>
      </c>
      <c r="H209" s="152">
        <f t="shared" si="32"/>
        <v>3368</v>
      </c>
      <c r="I209" s="153">
        <f t="shared" si="33"/>
        <v>3306</v>
      </c>
      <c r="J209" s="154"/>
    </row>
    <row r="210" spans="1:49" ht="20.100000000000001" customHeight="1">
      <c r="A210" s="80">
        <v>2012</v>
      </c>
      <c r="B210" s="151">
        <f t="shared" si="27"/>
        <v>3005</v>
      </c>
      <c r="C210" s="152">
        <f t="shared" si="28"/>
        <v>2115</v>
      </c>
      <c r="D210" s="152">
        <f t="shared" si="29"/>
        <v>3819</v>
      </c>
      <c r="E210" s="152"/>
      <c r="F210" s="152">
        <f t="shared" si="30"/>
        <v>3160</v>
      </c>
      <c r="G210" s="152">
        <f t="shared" si="31"/>
        <v>3024.8</v>
      </c>
      <c r="H210" s="152">
        <f t="shared" si="32"/>
        <v>3082.5</v>
      </c>
      <c r="I210" s="153">
        <f t="shared" si="33"/>
        <v>3025</v>
      </c>
      <c r="J210" s="154"/>
    </row>
    <row r="211" spans="1:49" ht="20.100000000000001" customHeight="1">
      <c r="A211" s="80">
        <v>2013</v>
      </c>
      <c r="B211" s="151">
        <f t="shared" si="27"/>
        <v>2641</v>
      </c>
      <c r="C211" s="152">
        <f t="shared" si="28"/>
        <v>1745</v>
      </c>
      <c r="D211" s="152">
        <f t="shared" si="29"/>
        <v>3644</v>
      </c>
      <c r="E211" s="152"/>
      <c r="F211" s="152">
        <f t="shared" si="30"/>
        <v>2964</v>
      </c>
      <c r="G211" s="152">
        <f t="shared" si="31"/>
        <v>2748.5</v>
      </c>
      <c r="H211" s="152">
        <f t="shared" si="32"/>
        <v>2802.5</v>
      </c>
      <c r="I211" s="153">
        <f t="shared" si="33"/>
        <v>2749</v>
      </c>
      <c r="J211" s="154"/>
    </row>
    <row r="212" spans="1:49" ht="20.100000000000001" customHeight="1">
      <c r="A212" s="80">
        <v>2014</v>
      </c>
      <c r="B212" s="151">
        <f t="shared" si="27"/>
        <v>2277</v>
      </c>
      <c r="C212" s="152">
        <f t="shared" si="28"/>
        <v>1375</v>
      </c>
      <c r="D212" s="152">
        <f t="shared" si="29"/>
        <v>3478</v>
      </c>
      <c r="E212" s="152"/>
      <c r="F212" s="152">
        <f t="shared" si="30"/>
        <v>2778</v>
      </c>
      <c r="G212" s="152">
        <f t="shared" si="31"/>
        <v>2477</v>
      </c>
      <c r="H212" s="152">
        <f t="shared" si="32"/>
        <v>2527.5</v>
      </c>
      <c r="I212" s="153">
        <f t="shared" si="33"/>
        <v>2477</v>
      </c>
      <c r="J212" s="154"/>
    </row>
    <row r="213" spans="1:49" ht="20.100000000000001" customHeight="1">
      <c r="A213" s="80">
        <v>2015</v>
      </c>
      <c r="B213" s="151">
        <f t="shared" si="27"/>
        <v>1913</v>
      </c>
      <c r="C213" s="152">
        <f t="shared" si="28"/>
        <v>1005</v>
      </c>
      <c r="D213" s="152">
        <f t="shared" si="29"/>
        <v>3319</v>
      </c>
      <c r="E213" s="152"/>
      <c r="F213" s="152">
        <f t="shared" si="30"/>
        <v>2603</v>
      </c>
      <c r="G213" s="152">
        <f t="shared" si="31"/>
        <v>2210</v>
      </c>
      <c r="H213" s="152">
        <f t="shared" si="32"/>
        <v>2258</v>
      </c>
      <c r="I213" s="153">
        <f t="shared" si="33"/>
        <v>2210</v>
      </c>
      <c r="J213" s="154"/>
    </row>
    <row r="214" spans="1:49" ht="20.100000000000001" customHeight="1">
      <c r="A214" s="80">
        <v>2016</v>
      </c>
      <c r="B214" s="151">
        <f t="shared" si="27"/>
        <v>1549</v>
      </c>
      <c r="C214" s="152">
        <f t="shared" si="28"/>
        <v>635</v>
      </c>
      <c r="D214" s="152">
        <f t="shared" si="29"/>
        <v>3167</v>
      </c>
      <c r="E214" s="152"/>
      <c r="F214" s="152">
        <f t="shared" si="30"/>
        <v>2437</v>
      </c>
      <c r="G214" s="152">
        <f t="shared" si="31"/>
        <v>1947</v>
      </c>
      <c r="H214" s="152">
        <f t="shared" si="32"/>
        <v>1993</v>
      </c>
      <c r="I214" s="153">
        <f t="shared" si="33"/>
        <v>1947</v>
      </c>
      <c r="J214" s="154"/>
    </row>
    <row r="215" spans="1:49" ht="20.100000000000001" customHeight="1">
      <c r="A215" s="80">
        <v>2017</v>
      </c>
      <c r="B215" s="151">
        <f t="shared" si="27"/>
        <v>1184</v>
      </c>
      <c r="C215" s="152">
        <f t="shared" si="28"/>
        <v>265</v>
      </c>
      <c r="D215" s="152">
        <f t="shared" si="29"/>
        <v>3022</v>
      </c>
      <c r="E215" s="152"/>
      <c r="F215" s="152">
        <f t="shared" si="30"/>
        <v>2280</v>
      </c>
      <c r="G215" s="152">
        <f t="shared" si="31"/>
        <v>1687.8</v>
      </c>
      <c r="H215" s="152">
        <f t="shared" si="32"/>
        <v>1732</v>
      </c>
      <c r="I215" s="153">
        <f t="shared" si="33"/>
        <v>1688</v>
      </c>
      <c r="J215" s="154"/>
    </row>
    <row r="216" spans="1:49" ht="20.100000000000001" customHeight="1">
      <c r="A216" s="80">
        <v>2018</v>
      </c>
      <c r="B216" s="151">
        <f t="shared" si="27"/>
        <v>820</v>
      </c>
      <c r="C216" s="152">
        <f t="shared" si="28"/>
        <v>-105</v>
      </c>
      <c r="D216" s="152">
        <f t="shared" si="29"/>
        <v>2884</v>
      </c>
      <c r="E216" s="152"/>
      <c r="F216" s="152">
        <f t="shared" si="30"/>
        <v>2133</v>
      </c>
      <c r="G216" s="152">
        <f t="shared" si="31"/>
        <v>1433</v>
      </c>
      <c r="H216" s="152">
        <f t="shared" si="32"/>
        <v>1476.5</v>
      </c>
      <c r="I216" s="153">
        <f t="shared" si="33"/>
        <v>1433</v>
      </c>
      <c r="J216" s="154"/>
    </row>
    <row r="217" spans="1:49" ht="20.100000000000001" customHeight="1">
      <c r="A217" s="80">
        <v>2019</v>
      </c>
      <c r="B217" s="151">
        <f t="shared" si="27"/>
        <v>456</v>
      </c>
      <c r="C217" s="152">
        <f t="shared" si="28"/>
        <v>-476</v>
      </c>
      <c r="D217" s="152">
        <f t="shared" si="29"/>
        <v>2752</v>
      </c>
      <c r="E217" s="152"/>
      <c r="F217" s="152">
        <f t="shared" si="30"/>
        <v>1994</v>
      </c>
      <c r="G217" s="152">
        <f t="shared" si="31"/>
        <v>1181.5</v>
      </c>
      <c r="H217" s="152">
        <f t="shared" si="32"/>
        <v>1225</v>
      </c>
      <c r="I217" s="153">
        <f t="shared" si="33"/>
        <v>1182</v>
      </c>
      <c r="J217" s="154"/>
    </row>
    <row r="218" spans="1:49" ht="20.100000000000001" customHeight="1">
      <c r="A218" s="80">
        <v>2020</v>
      </c>
      <c r="B218" s="151">
        <f t="shared" si="27"/>
        <v>92</v>
      </c>
      <c r="C218" s="152">
        <f t="shared" si="28"/>
        <v>-846</v>
      </c>
      <c r="D218" s="152">
        <f t="shared" si="29"/>
        <v>2626</v>
      </c>
      <c r="E218" s="152"/>
      <c r="F218" s="152">
        <f t="shared" si="30"/>
        <v>1864</v>
      </c>
      <c r="G218" s="152">
        <f t="shared" si="31"/>
        <v>934</v>
      </c>
      <c r="H218" s="152">
        <f t="shared" si="32"/>
        <v>978</v>
      </c>
      <c r="I218" s="153">
        <f t="shared" si="33"/>
        <v>934</v>
      </c>
      <c r="J218" s="154"/>
    </row>
    <row r="219" spans="1:49" ht="20.100000000000001" customHeight="1">
      <c r="A219" s="80">
        <v>2021</v>
      </c>
      <c r="B219" s="151">
        <f t="shared" si="27"/>
        <v>-272</v>
      </c>
      <c r="C219" s="152">
        <f t="shared" si="28"/>
        <v>-1216</v>
      </c>
      <c r="D219" s="152">
        <f t="shared" si="29"/>
        <v>2506</v>
      </c>
      <c r="E219" s="152"/>
      <c r="F219" s="152">
        <f t="shared" si="30"/>
        <v>1741</v>
      </c>
      <c r="G219" s="152">
        <f t="shared" si="31"/>
        <v>689.8</v>
      </c>
      <c r="H219" s="152">
        <f t="shared" si="32"/>
        <v>734.5</v>
      </c>
      <c r="I219" s="153">
        <f t="shared" si="33"/>
        <v>690</v>
      </c>
      <c r="J219" s="154"/>
    </row>
    <row r="220" spans="1:49" ht="20.100000000000001" customHeight="1">
      <c r="A220" s="80">
        <v>2022</v>
      </c>
      <c r="B220" s="151">
        <f t="shared" si="27"/>
        <v>-636</v>
      </c>
      <c r="C220" s="152">
        <f t="shared" si="28"/>
        <v>-1586</v>
      </c>
      <c r="D220" s="152">
        <f t="shared" si="29"/>
        <v>2392</v>
      </c>
      <c r="E220" s="152"/>
      <c r="F220" s="152">
        <f t="shared" si="30"/>
        <v>1626</v>
      </c>
      <c r="G220" s="152">
        <f t="shared" si="31"/>
        <v>449</v>
      </c>
      <c r="H220" s="152">
        <f t="shared" si="32"/>
        <v>495</v>
      </c>
      <c r="I220" s="153">
        <f t="shared" si="33"/>
        <v>449</v>
      </c>
      <c r="J220" s="154"/>
      <c r="L220" s="55">
        <v>806200</v>
      </c>
    </row>
    <row r="221" spans="1:49" ht="20.100000000000001" customHeight="1">
      <c r="A221" s="80">
        <v>2023</v>
      </c>
      <c r="B221" s="151">
        <f t="shared" si="27"/>
        <v>-1001</v>
      </c>
      <c r="C221" s="152">
        <f t="shared" si="28"/>
        <v>-1956</v>
      </c>
      <c r="D221" s="152">
        <f t="shared" si="29"/>
        <v>2282</v>
      </c>
      <c r="E221" s="152"/>
      <c r="F221" s="152">
        <f t="shared" si="30"/>
        <v>1518</v>
      </c>
      <c r="G221" s="152">
        <f t="shared" si="31"/>
        <v>210.8</v>
      </c>
      <c r="H221" s="152">
        <f t="shared" si="32"/>
        <v>258.5</v>
      </c>
      <c r="I221" s="153">
        <f t="shared" si="33"/>
        <v>211</v>
      </c>
      <c r="J221" s="154"/>
      <c r="K221" s="55">
        <v>51000</v>
      </c>
      <c r="L221" s="75">
        <f>+K221+E221</f>
        <v>51000</v>
      </c>
    </row>
    <row r="222" spans="1:49" ht="20.100000000000001" customHeight="1">
      <c r="A222" s="80">
        <v>2024</v>
      </c>
      <c r="B222" s="151">
        <f t="shared" si="27"/>
        <v>-1365</v>
      </c>
      <c r="C222" s="152">
        <f t="shared" si="28"/>
        <v>-2326</v>
      </c>
      <c r="D222" s="152">
        <f t="shared" si="29"/>
        <v>2178</v>
      </c>
      <c r="E222" s="152"/>
      <c r="F222" s="152">
        <f t="shared" si="30"/>
        <v>1417</v>
      </c>
      <c r="G222" s="152">
        <f t="shared" si="31"/>
        <v>-24</v>
      </c>
      <c r="H222" s="152">
        <f t="shared" si="32"/>
        <v>26</v>
      </c>
      <c r="I222" s="153">
        <f t="shared" si="33"/>
        <v>-24</v>
      </c>
      <c r="J222" s="154"/>
      <c r="L222" s="75">
        <f>+L220-L221</f>
        <v>755200</v>
      </c>
    </row>
    <row r="223" spans="1:49" ht="20.100000000000001" customHeight="1">
      <c r="A223" s="80">
        <v>2025</v>
      </c>
      <c r="B223" s="151">
        <f t="shared" si="27"/>
        <v>-1729</v>
      </c>
      <c r="C223" s="152">
        <f t="shared" si="28"/>
        <v>-2696</v>
      </c>
      <c r="D223" s="152">
        <f t="shared" si="29"/>
        <v>2078</v>
      </c>
      <c r="E223" s="152"/>
      <c r="F223" s="152">
        <f t="shared" si="30"/>
        <v>1322</v>
      </c>
      <c r="G223" s="152">
        <f t="shared" si="31"/>
        <v>-256.3</v>
      </c>
      <c r="H223" s="152">
        <f t="shared" si="32"/>
        <v>-203.5</v>
      </c>
      <c r="I223" s="153">
        <f t="shared" si="33"/>
        <v>-256</v>
      </c>
      <c r="J223" s="154"/>
      <c r="K223" s="161"/>
      <c r="L223" s="161">
        <f>B165</f>
        <v>11745</v>
      </c>
      <c r="M223" s="162">
        <f>B166</f>
        <v>11162</v>
      </c>
      <c r="N223" s="161">
        <f>B167</f>
        <v>10195</v>
      </c>
      <c r="O223" s="162">
        <f>B168</f>
        <v>10052</v>
      </c>
      <c r="P223" s="161">
        <f>B169</f>
        <v>9545</v>
      </c>
      <c r="Q223" s="162">
        <f>B170</f>
        <v>8957</v>
      </c>
      <c r="R223" s="162">
        <f>B171</f>
        <v>8517</v>
      </c>
      <c r="S223" s="162">
        <f>B172</f>
        <v>8096</v>
      </c>
      <c r="T223" s="162">
        <f>B173</f>
        <v>7628</v>
      </c>
      <c r="U223" s="162">
        <f>B174</f>
        <v>7375</v>
      </c>
      <c r="V223" s="162">
        <f>B175</f>
        <v>7030</v>
      </c>
      <c r="W223" s="162">
        <f>B176</f>
        <v>6695</v>
      </c>
      <c r="X223" s="162">
        <f>B177</f>
        <v>6281</v>
      </c>
      <c r="Y223" s="162">
        <f>B178</f>
        <v>5959</v>
      </c>
      <c r="Z223" s="162">
        <f>B179</f>
        <v>5578</v>
      </c>
      <c r="AA223" s="162">
        <f>B180</f>
        <v>5267</v>
      </c>
      <c r="AB223" s="162">
        <f>B181</f>
        <v>5105</v>
      </c>
      <c r="AC223" s="162">
        <f>B182</f>
        <v>4844</v>
      </c>
      <c r="AD223" s="162">
        <f>B183</f>
        <v>4774</v>
      </c>
      <c r="AE223" s="162">
        <f>B184</f>
        <v>4826</v>
      </c>
      <c r="AF223" s="162">
        <f>$B185</f>
        <v>4057</v>
      </c>
      <c r="AG223" s="162"/>
      <c r="AH223" s="161"/>
      <c r="AI223" s="161"/>
      <c r="AJ223" s="161"/>
      <c r="AK223" s="161"/>
      <c r="AL223" s="161"/>
      <c r="AM223" s="161"/>
      <c r="AN223" s="161"/>
      <c r="AO223" s="161"/>
      <c r="AP223" s="161"/>
      <c r="AQ223" s="161"/>
      <c r="AR223" s="161"/>
      <c r="AS223" s="161"/>
      <c r="AT223" s="161"/>
      <c r="AU223" s="161"/>
      <c r="AV223" s="161"/>
      <c r="AW223" s="161"/>
    </row>
    <row r="224" spans="1:49" ht="20.100000000000001" customHeight="1">
      <c r="A224" s="155" t="s">
        <v>97</v>
      </c>
      <c r="B224" s="156"/>
      <c r="C224" s="157"/>
      <c r="D224" s="157"/>
      <c r="E224" s="157"/>
      <c r="F224" s="156"/>
      <c r="G224" s="158" t="s">
        <v>243</v>
      </c>
      <c r="H224" s="157"/>
      <c r="I224" s="159"/>
      <c r="J224" s="160"/>
      <c r="K224" s="161"/>
      <c r="L224" s="161"/>
      <c r="M224" s="161"/>
      <c r="N224" s="161"/>
      <c r="O224" s="161"/>
      <c r="P224" s="161"/>
      <c r="Q224" s="161"/>
      <c r="R224" s="161"/>
      <c r="S224" s="161"/>
      <c r="T224" s="161"/>
      <c r="U224" s="161"/>
      <c r="V224" s="161"/>
      <c r="W224" s="161"/>
      <c r="X224" s="161"/>
      <c r="Y224" s="161"/>
      <c r="Z224" s="161"/>
      <c r="AA224" s="161"/>
      <c r="AB224" s="161"/>
      <c r="AC224" s="161"/>
      <c r="AD224" s="161"/>
      <c r="AE224" s="161"/>
      <c r="AF224" s="161"/>
      <c r="AG224" s="161"/>
      <c r="AH224" s="161"/>
      <c r="AI224" s="161"/>
      <c r="AJ224" s="161"/>
      <c r="AK224" s="161"/>
      <c r="AL224" s="161"/>
      <c r="AM224" s="161"/>
      <c r="AN224" s="161"/>
      <c r="AO224" s="161"/>
      <c r="AP224" s="161"/>
      <c r="AQ224" s="161"/>
      <c r="AR224" s="161"/>
      <c r="AS224" s="161"/>
      <c r="AT224" s="161"/>
      <c r="AU224" s="161"/>
      <c r="AV224" s="161"/>
      <c r="AW224" s="161"/>
    </row>
    <row r="225" spans="1:50" s="161" customFormat="1" ht="20.100000000000001" customHeight="1">
      <c r="A225" s="85"/>
      <c r="B225" s="163"/>
      <c r="C225" s="164"/>
      <c r="D225" s="164"/>
      <c r="E225" s="164"/>
      <c r="F225" s="164"/>
      <c r="G225" s="164"/>
      <c r="H225" s="164"/>
      <c r="I225" s="165"/>
      <c r="J225" s="166"/>
      <c r="K225" s="174">
        <f>MAX(B225:I225,F225)</f>
        <v>0</v>
      </c>
      <c r="L225" s="161">
        <f>A165</f>
        <v>1988</v>
      </c>
      <c r="M225" s="161">
        <f t="shared" ref="M225:AX225" si="34">+L225+1</f>
        <v>1989</v>
      </c>
      <c r="N225" s="161">
        <f t="shared" si="34"/>
        <v>1990</v>
      </c>
      <c r="O225" s="161">
        <f t="shared" si="34"/>
        <v>1991</v>
      </c>
      <c r="P225" s="161">
        <f t="shared" si="34"/>
        <v>1992</v>
      </c>
      <c r="Q225" s="161">
        <f t="shared" si="34"/>
        <v>1993</v>
      </c>
      <c r="R225" s="161">
        <f t="shared" si="34"/>
        <v>1994</v>
      </c>
      <c r="S225" s="161">
        <f t="shared" si="34"/>
        <v>1995</v>
      </c>
      <c r="T225" s="161">
        <f t="shared" si="34"/>
        <v>1996</v>
      </c>
      <c r="U225" s="161">
        <f t="shared" si="34"/>
        <v>1997</v>
      </c>
      <c r="V225" s="161">
        <f t="shared" si="34"/>
        <v>1998</v>
      </c>
      <c r="W225" s="161">
        <f t="shared" si="34"/>
        <v>1999</v>
      </c>
      <c r="X225" s="161">
        <f t="shared" si="34"/>
        <v>2000</v>
      </c>
      <c r="Y225" s="161">
        <f t="shared" si="34"/>
        <v>2001</v>
      </c>
      <c r="Z225" s="161">
        <f t="shared" si="34"/>
        <v>2002</v>
      </c>
      <c r="AA225" s="161">
        <f t="shared" si="34"/>
        <v>2003</v>
      </c>
      <c r="AB225" s="161">
        <f t="shared" si="34"/>
        <v>2004</v>
      </c>
      <c r="AC225" s="161">
        <f t="shared" si="34"/>
        <v>2005</v>
      </c>
      <c r="AD225" s="161">
        <f t="shared" si="34"/>
        <v>2006</v>
      </c>
      <c r="AE225" s="161">
        <f t="shared" si="34"/>
        <v>2007</v>
      </c>
      <c r="AF225" s="161">
        <f t="shared" si="34"/>
        <v>2008</v>
      </c>
      <c r="AG225" s="161">
        <f t="shared" si="34"/>
        <v>2009</v>
      </c>
      <c r="AH225" s="161">
        <f t="shared" si="34"/>
        <v>2010</v>
      </c>
      <c r="AI225" s="161">
        <f t="shared" si="34"/>
        <v>2011</v>
      </c>
      <c r="AJ225" s="161">
        <f t="shared" si="34"/>
        <v>2012</v>
      </c>
      <c r="AK225" s="161">
        <f t="shared" si="34"/>
        <v>2013</v>
      </c>
      <c r="AL225" s="161">
        <f t="shared" si="34"/>
        <v>2014</v>
      </c>
      <c r="AM225" s="161">
        <f t="shared" si="34"/>
        <v>2015</v>
      </c>
      <c r="AN225" s="161">
        <f t="shared" si="34"/>
        <v>2016</v>
      </c>
      <c r="AO225" s="161">
        <f t="shared" si="34"/>
        <v>2017</v>
      </c>
      <c r="AP225" s="161">
        <f t="shared" si="34"/>
        <v>2018</v>
      </c>
      <c r="AQ225" s="161">
        <f t="shared" si="34"/>
        <v>2019</v>
      </c>
      <c r="AR225" s="161">
        <f t="shared" si="34"/>
        <v>2020</v>
      </c>
      <c r="AS225" s="161">
        <f t="shared" si="34"/>
        <v>2021</v>
      </c>
      <c r="AT225" s="161">
        <f t="shared" si="34"/>
        <v>2022</v>
      </c>
      <c r="AU225" s="161">
        <f t="shared" si="34"/>
        <v>2023</v>
      </c>
      <c r="AV225" s="161">
        <f t="shared" si="34"/>
        <v>2024</v>
      </c>
      <c r="AW225" s="161">
        <f t="shared" si="34"/>
        <v>2025</v>
      </c>
      <c r="AX225" s="161">
        <f t="shared" si="34"/>
        <v>2026</v>
      </c>
    </row>
    <row r="226" spans="1:50" ht="20.100000000000001" customHeight="1">
      <c r="A226" s="167" t="s">
        <v>98</v>
      </c>
      <c r="B226" s="168">
        <f>I4</f>
        <v>0.97202206425387783</v>
      </c>
      <c r="C226" s="169">
        <f>I44</f>
        <v>0.97574394578245205</v>
      </c>
      <c r="D226" s="169">
        <f>I84</f>
        <v>0.99415480642501464</v>
      </c>
      <c r="E226" s="169"/>
      <c r="F226" s="169">
        <f>I164</f>
        <v>0.99000652384192422</v>
      </c>
      <c r="G226" s="170"/>
      <c r="H226" s="171"/>
      <c r="I226" s="172"/>
      <c r="J226" s="173"/>
      <c r="K226" s="161" t="s">
        <v>99</v>
      </c>
      <c r="L226" s="161"/>
      <c r="M226" s="161"/>
      <c r="N226" s="161"/>
      <c r="O226" s="161"/>
      <c r="P226" s="161"/>
      <c r="Q226" s="161"/>
      <c r="R226" s="161"/>
      <c r="S226" s="161"/>
      <c r="T226" s="161"/>
      <c r="U226" s="161"/>
      <c r="V226" s="161"/>
      <c r="W226" s="161"/>
      <c r="X226" s="161"/>
      <c r="Y226" s="161"/>
      <c r="Z226" s="161"/>
      <c r="AA226" s="161"/>
      <c r="AB226" s="161"/>
      <c r="AC226" s="161"/>
      <c r="AD226" s="161"/>
      <c r="AE226" s="162">
        <f>+AE223</f>
        <v>4826</v>
      </c>
      <c r="AF226" s="210">
        <f>+B25</f>
        <v>4462</v>
      </c>
      <c r="AG226" s="162">
        <f>B26</f>
        <v>4098</v>
      </c>
      <c r="AH226" s="162">
        <f>B27</f>
        <v>3734</v>
      </c>
      <c r="AI226" s="162">
        <f>B28</f>
        <v>3369</v>
      </c>
      <c r="AJ226" s="162">
        <f>B29</f>
        <v>3005</v>
      </c>
      <c r="AK226" s="162">
        <f>B30</f>
        <v>2641</v>
      </c>
      <c r="AL226" s="162">
        <f>B31</f>
        <v>2277</v>
      </c>
      <c r="AM226" s="162">
        <f>B32</f>
        <v>1913</v>
      </c>
      <c r="AN226" s="162">
        <f>B33</f>
        <v>1549</v>
      </c>
      <c r="AO226" s="162">
        <f>B34</f>
        <v>1184</v>
      </c>
      <c r="AP226" s="162">
        <f>B35</f>
        <v>820</v>
      </c>
      <c r="AQ226" s="162">
        <f>B36</f>
        <v>456</v>
      </c>
      <c r="AR226" s="162">
        <f>B37</f>
        <v>92</v>
      </c>
      <c r="AS226" s="162">
        <f>B38</f>
        <v>-272</v>
      </c>
      <c r="AT226" s="162">
        <f>B39</f>
        <v>-636</v>
      </c>
      <c r="AU226" s="162">
        <f>B40</f>
        <v>-1001</v>
      </c>
      <c r="AV226" s="162">
        <f>B41</f>
        <v>-1365</v>
      </c>
      <c r="AW226" s="162">
        <f>B42</f>
        <v>-1729</v>
      </c>
      <c r="AX226" s="161" t="s">
        <v>99</v>
      </c>
    </row>
    <row r="227" spans="1:50" ht="20.100000000000001" customHeight="1">
      <c r="K227" s="161" t="s">
        <v>100</v>
      </c>
      <c r="L227" s="161"/>
      <c r="M227" s="161"/>
      <c r="N227" s="161"/>
      <c r="O227" s="161"/>
      <c r="P227" s="161"/>
      <c r="Q227" s="161"/>
      <c r="R227" s="161"/>
      <c r="S227" s="161"/>
      <c r="T227" s="161"/>
      <c r="U227" s="161"/>
      <c r="V227" s="161"/>
      <c r="W227" s="161"/>
      <c r="X227" s="161"/>
      <c r="Y227" s="161"/>
      <c r="Z227" s="161"/>
      <c r="AA227" s="161"/>
      <c r="AB227" s="161"/>
      <c r="AC227" s="161"/>
      <c r="AD227" s="161"/>
      <c r="AE227" s="162">
        <f>+AE226</f>
        <v>4826</v>
      </c>
      <c r="AF227" s="210">
        <f>+B65</f>
        <v>3596</v>
      </c>
      <c r="AG227" s="162">
        <f>B66</f>
        <v>3225</v>
      </c>
      <c r="AH227" s="162">
        <f>B67</f>
        <v>2855</v>
      </c>
      <c r="AI227" s="162">
        <f>B68</f>
        <v>2485</v>
      </c>
      <c r="AJ227" s="162">
        <f>B69</f>
        <v>2115</v>
      </c>
      <c r="AK227" s="162">
        <f>B70</f>
        <v>1745</v>
      </c>
      <c r="AL227" s="162">
        <f>B71</f>
        <v>1375</v>
      </c>
      <c r="AM227" s="162">
        <f>B72</f>
        <v>1005</v>
      </c>
      <c r="AN227" s="162">
        <f>B73</f>
        <v>635</v>
      </c>
      <c r="AO227" s="162">
        <f>B74</f>
        <v>265</v>
      </c>
      <c r="AP227" s="162">
        <f>B75</f>
        <v>-105</v>
      </c>
      <c r="AQ227" s="162">
        <f>B76</f>
        <v>-476</v>
      </c>
      <c r="AR227" s="162">
        <f>B77</f>
        <v>-846</v>
      </c>
      <c r="AS227" s="162">
        <f>B78</f>
        <v>-1216</v>
      </c>
      <c r="AT227" s="162">
        <f>B79</f>
        <v>-1586</v>
      </c>
      <c r="AU227" s="162">
        <f>B80</f>
        <v>-1956</v>
      </c>
      <c r="AV227" s="162">
        <f>B81</f>
        <v>-2326</v>
      </c>
      <c r="AW227" s="162">
        <f>B82</f>
        <v>-2696</v>
      </c>
      <c r="AX227" s="161" t="s">
        <v>100</v>
      </c>
    </row>
    <row r="228" spans="1:50" ht="20.100000000000001" customHeight="1">
      <c r="K228" s="161" t="s">
        <v>101</v>
      </c>
      <c r="L228" s="161"/>
      <c r="M228" s="161"/>
      <c r="N228" s="161"/>
      <c r="O228" s="161"/>
      <c r="P228" s="161"/>
      <c r="Q228" s="161"/>
      <c r="R228" s="161"/>
      <c r="S228" s="161"/>
      <c r="T228" s="161"/>
      <c r="U228" s="161"/>
      <c r="V228" s="161"/>
      <c r="W228" s="161"/>
      <c r="X228" s="161"/>
      <c r="Y228" s="161"/>
      <c r="Z228" s="161"/>
      <c r="AA228" s="161"/>
      <c r="AB228" s="161"/>
      <c r="AC228" s="161"/>
      <c r="AD228" s="161"/>
      <c r="AE228" s="162">
        <f>+AE227</f>
        <v>4826</v>
      </c>
      <c r="AF228" s="210">
        <f>+B105</f>
        <v>4606</v>
      </c>
      <c r="AG228" s="162">
        <f>B106</f>
        <v>4395</v>
      </c>
      <c r="AH228" s="162">
        <f>B107</f>
        <v>4194</v>
      </c>
      <c r="AI228" s="162">
        <f>B108</f>
        <v>4002</v>
      </c>
      <c r="AJ228" s="162">
        <f>B109</f>
        <v>3819</v>
      </c>
      <c r="AK228" s="162">
        <f>B110</f>
        <v>3644</v>
      </c>
      <c r="AL228" s="162">
        <f>B111</f>
        <v>3478</v>
      </c>
      <c r="AM228" s="162">
        <f>B112</f>
        <v>3319</v>
      </c>
      <c r="AN228" s="162">
        <f>B113</f>
        <v>3167</v>
      </c>
      <c r="AO228" s="162">
        <f>B114</f>
        <v>3022</v>
      </c>
      <c r="AP228" s="162">
        <f>B115</f>
        <v>2884</v>
      </c>
      <c r="AQ228" s="162">
        <f>B116</f>
        <v>2752</v>
      </c>
      <c r="AR228" s="162">
        <f>B117</f>
        <v>2626</v>
      </c>
      <c r="AS228" s="162">
        <f>B118</f>
        <v>2506</v>
      </c>
      <c r="AT228" s="162">
        <f>B119</f>
        <v>2392</v>
      </c>
      <c r="AU228" s="162">
        <f>B120</f>
        <v>2282</v>
      </c>
      <c r="AV228" s="162">
        <f>B121</f>
        <v>2178</v>
      </c>
      <c r="AW228" s="162">
        <f>B122</f>
        <v>2078</v>
      </c>
      <c r="AX228" s="161" t="s">
        <v>101</v>
      </c>
    </row>
    <row r="229" spans="1:50" ht="20.100000000000001" customHeight="1">
      <c r="K229" s="161" t="s">
        <v>102</v>
      </c>
      <c r="L229" s="161"/>
      <c r="M229" s="161"/>
      <c r="N229" s="161"/>
      <c r="O229" s="161"/>
      <c r="P229" s="161"/>
      <c r="Q229" s="161"/>
      <c r="R229" s="161"/>
      <c r="S229" s="161"/>
      <c r="T229" s="161"/>
      <c r="U229" s="161"/>
      <c r="V229" s="161"/>
      <c r="W229" s="161"/>
      <c r="X229" s="161"/>
      <c r="Y229" s="161"/>
      <c r="Z229" s="161"/>
      <c r="AA229" s="161"/>
      <c r="AB229" s="161"/>
      <c r="AC229" s="161"/>
      <c r="AD229" s="161"/>
      <c r="AE229" s="162">
        <f>+AE228</f>
        <v>4826</v>
      </c>
      <c r="AF229" s="210" t="e">
        <f>+B145</f>
        <v>#VALUE!</v>
      </c>
      <c r="AG229" s="161"/>
      <c r="AH229" s="161"/>
      <c r="AI229" s="161"/>
      <c r="AJ229" s="161"/>
      <c r="AK229" s="161"/>
      <c r="AL229" s="161"/>
      <c r="AM229" s="161"/>
      <c r="AN229" s="161"/>
      <c r="AO229" s="161"/>
      <c r="AP229" s="161"/>
      <c r="AQ229" s="161"/>
      <c r="AR229" s="161"/>
      <c r="AS229" s="161"/>
      <c r="AT229" s="161"/>
      <c r="AU229" s="161"/>
      <c r="AV229" s="161"/>
      <c r="AW229" s="161"/>
      <c r="AX229" s="161" t="s">
        <v>102</v>
      </c>
    </row>
    <row r="230" spans="1:50" ht="20.100000000000001" customHeight="1">
      <c r="K230" s="161" t="s">
        <v>103</v>
      </c>
      <c r="L230" s="161"/>
      <c r="M230" s="161"/>
      <c r="N230" s="161"/>
      <c r="O230" s="161"/>
      <c r="P230" s="161"/>
      <c r="Q230" s="161"/>
      <c r="R230" s="161"/>
      <c r="S230" s="161"/>
      <c r="T230" s="161"/>
      <c r="U230" s="161"/>
      <c r="V230" s="161"/>
      <c r="W230" s="161"/>
      <c r="X230" s="161"/>
      <c r="Y230" s="161"/>
      <c r="Z230" s="161"/>
      <c r="AA230" s="161"/>
      <c r="AB230" s="161"/>
      <c r="AC230" s="161"/>
      <c r="AD230" s="161"/>
      <c r="AE230" s="162">
        <f>+AE229</f>
        <v>4826</v>
      </c>
      <c r="AF230" s="210">
        <f>+B185</f>
        <v>4057</v>
      </c>
      <c r="AG230" s="162">
        <f>B186</f>
        <v>3815</v>
      </c>
      <c r="AH230" s="162">
        <f>B187</f>
        <v>3585</v>
      </c>
      <c r="AI230" s="162">
        <f>B188</f>
        <v>3367</v>
      </c>
      <c r="AJ230" s="162">
        <f>B189</f>
        <v>3160</v>
      </c>
      <c r="AK230" s="162">
        <f>B190</f>
        <v>2964</v>
      </c>
      <c r="AL230" s="162">
        <f>B191</f>
        <v>2778</v>
      </c>
      <c r="AM230" s="162">
        <f>B192</f>
        <v>2603</v>
      </c>
      <c r="AN230" s="162">
        <f>B193</f>
        <v>2437</v>
      </c>
      <c r="AO230" s="162">
        <f>B194</f>
        <v>2280</v>
      </c>
      <c r="AP230" s="162">
        <f>B195</f>
        <v>2133</v>
      </c>
      <c r="AQ230" s="162">
        <f>B196</f>
        <v>1994</v>
      </c>
      <c r="AR230" s="162">
        <f>B197</f>
        <v>1864</v>
      </c>
      <c r="AS230" s="162">
        <f>B198</f>
        <v>1741</v>
      </c>
      <c r="AT230" s="162">
        <f>B199</f>
        <v>1626</v>
      </c>
      <c r="AU230" s="162">
        <f>B200</f>
        <v>1518</v>
      </c>
      <c r="AV230" s="162">
        <f>B201</f>
        <v>1417</v>
      </c>
      <c r="AW230" s="162">
        <f>B202</f>
        <v>1322</v>
      </c>
      <c r="AX230" s="161" t="s">
        <v>103</v>
      </c>
    </row>
    <row r="231" spans="1:50" ht="20.100000000000001" customHeight="1">
      <c r="K231" s="161" t="s">
        <v>95</v>
      </c>
      <c r="L231" s="161"/>
      <c r="M231" s="161"/>
      <c r="N231" s="161"/>
      <c r="O231" s="161"/>
      <c r="P231" s="161"/>
      <c r="Q231" s="161"/>
      <c r="R231" s="161"/>
      <c r="S231" s="161"/>
      <c r="T231" s="161"/>
      <c r="U231" s="161"/>
      <c r="V231" s="161"/>
      <c r="W231" s="161"/>
      <c r="X231" s="161"/>
      <c r="Y231" s="161"/>
      <c r="Z231" s="161"/>
      <c r="AA231" s="161"/>
      <c r="AB231" s="161"/>
      <c r="AC231" s="161"/>
      <c r="AD231" s="161"/>
      <c r="AE231" s="162">
        <f>+AE230</f>
        <v>4826</v>
      </c>
      <c r="AF231" s="211">
        <f>+H206</f>
        <v>4259.5</v>
      </c>
      <c r="AG231" s="211">
        <f>+H207</f>
        <v>3956.5</v>
      </c>
      <c r="AH231" s="211">
        <f>+H208</f>
        <v>3659.5</v>
      </c>
      <c r="AI231" s="211">
        <f>+H209</f>
        <v>3368</v>
      </c>
      <c r="AJ231" s="211">
        <f>+H210</f>
        <v>3082.5</v>
      </c>
      <c r="AK231" s="211">
        <f>+H211</f>
        <v>2802.5</v>
      </c>
      <c r="AL231" s="211">
        <f>+H212</f>
        <v>2527.5</v>
      </c>
      <c r="AM231" s="211">
        <f>+H213</f>
        <v>2258</v>
      </c>
      <c r="AN231" s="211">
        <f>+H214</f>
        <v>1993</v>
      </c>
      <c r="AO231" s="211">
        <f>+H215</f>
        <v>1732</v>
      </c>
      <c r="AP231" s="211">
        <f>+H216</f>
        <v>1476.5</v>
      </c>
      <c r="AQ231" s="211">
        <f>+H217</f>
        <v>1225</v>
      </c>
      <c r="AR231" s="211">
        <f>+H218</f>
        <v>978</v>
      </c>
      <c r="AS231" s="211">
        <f>+H219</f>
        <v>734.5</v>
      </c>
      <c r="AT231" s="211">
        <f>+H220</f>
        <v>495</v>
      </c>
      <c r="AU231" s="211">
        <f>+H221</f>
        <v>258.5</v>
      </c>
      <c r="AV231" s="211">
        <f>+H222</f>
        <v>26</v>
      </c>
      <c r="AW231" s="75">
        <f>+H223</f>
        <v>-203.5</v>
      </c>
      <c r="AX231" s="161" t="s">
        <v>95</v>
      </c>
    </row>
    <row r="232" spans="1:50" ht="20.100000000000001" customHeight="1"/>
    <row r="233" spans="1:50" ht="20.100000000000001" customHeight="1"/>
    <row r="234" spans="1:50" ht="20.100000000000001" customHeight="1"/>
    <row r="235" spans="1:50" ht="20.100000000000001" customHeight="1"/>
    <row r="236" spans="1:50" ht="20.100000000000001" customHeight="1"/>
    <row r="237" spans="1:50" ht="20.100000000000001" customHeight="1"/>
    <row r="238" spans="1:50" ht="20.100000000000001" customHeight="1"/>
    <row r="239" spans="1:50" ht="20.100000000000001" customHeight="1"/>
    <row r="240" spans="1:50" ht="20.100000000000001" customHeight="1"/>
    <row r="241" ht="20.100000000000001" customHeight="1"/>
    <row r="242" ht="20.100000000000001" customHeight="1"/>
    <row r="243" ht="20.100000000000001" customHeight="1"/>
    <row r="244" ht="20.100000000000001" customHeight="1"/>
    <row r="245" ht="20.100000000000001" customHeight="1"/>
    <row r="246" ht="20.100000000000001" customHeight="1"/>
    <row r="247" ht="20.100000000000001" customHeight="1"/>
    <row r="248" ht="20.100000000000001" customHeight="1"/>
  </sheetData>
  <phoneticPr fontId="50" type="noConversion"/>
  <pageMargins left="0.74803149606299213" right="0.74803149606299213" top="0.78740157480314965" bottom="0.78740157480314965" header="0.51181102362204722" footer="0.51181102362204722"/>
  <pageSetup paperSize="9" scale="70" fitToHeight="3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 codeName="Sheet43">
    <tabColor indexed="42"/>
  </sheetPr>
  <dimension ref="A1:AX248"/>
  <sheetViews>
    <sheetView workbookViewId="0"/>
  </sheetViews>
  <sheetFormatPr defaultRowHeight="15" customHeight="1"/>
  <cols>
    <col min="1" max="1" width="8.88671875" style="55"/>
    <col min="2" max="2" width="9.21875" style="55" customWidth="1"/>
    <col min="3" max="3" width="9.5546875" style="55" customWidth="1"/>
    <col min="4" max="4" width="9" style="55" customWidth="1"/>
    <col min="5" max="5" width="11.33203125" style="55" customWidth="1"/>
    <col min="6" max="6" width="9.44140625" style="55" customWidth="1"/>
    <col min="7" max="7" width="15.109375" style="55" bestFit="1" customWidth="1"/>
    <col min="8" max="8" width="12.88671875" style="55" bestFit="1" customWidth="1"/>
    <col min="9" max="9" width="11.5546875" style="55" bestFit="1" customWidth="1"/>
    <col min="10" max="16384" width="8.88671875" style="55"/>
  </cols>
  <sheetData>
    <row r="1" spans="1:12" ht="15" customHeight="1">
      <c r="A1" s="54" t="s">
        <v>108</v>
      </c>
    </row>
    <row r="2" spans="1:12" ht="15" customHeight="1">
      <c r="A2" s="54"/>
    </row>
    <row r="3" spans="1:12" ht="15" customHeight="1">
      <c r="A3" s="56" t="s">
        <v>74</v>
      </c>
      <c r="B3" s="57"/>
    </row>
    <row r="4" spans="1:12" ht="15" customHeight="1">
      <c r="A4" s="58" t="s">
        <v>32</v>
      </c>
      <c r="B4" s="59" t="s">
        <v>40</v>
      </c>
      <c r="C4" s="59" t="s">
        <v>33</v>
      </c>
      <c r="D4" s="60"/>
      <c r="E4" s="60"/>
      <c r="F4" s="61"/>
      <c r="G4" s="62"/>
      <c r="H4" s="63" t="s">
        <v>104</v>
      </c>
      <c r="I4" s="64">
        <f>RSQ(I5:I24,B5:B24)</f>
        <v>0.64918560156423444</v>
      </c>
    </row>
    <row r="5" spans="1:12" ht="15" customHeight="1">
      <c r="A5" s="65">
        <f>과거인구현황!A6</f>
        <v>1988</v>
      </c>
      <c r="B5" s="66">
        <f>+VLOOKUP(A5,과거인구현황!$A$6:$W$26,4,FALSE)</f>
        <v>9341</v>
      </c>
      <c r="C5" s="67">
        <v>0</v>
      </c>
      <c r="D5" s="53" t="s">
        <v>75</v>
      </c>
      <c r="E5" s="68">
        <f>(B24-B5)/C24</f>
        <v>946.42105263157896</v>
      </c>
      <c r="F5" s="69"/>
      <c r="G5" s="53"/>
      <c r="H5" s="69"/>
      <c r="I5" s="70">
        <f t="shared" ref="I5:I42" si="0">$E$5*C5+$E$6</f>
        <v>9341</v>
      </c>
      <c r="J5" s="71">
        <v>570570</v>
      </c>
      <c r="K5" s="55">
        <v>570570</v>
      </c>
      <c r="L5" s="55">
        <v>766</v>
      </c>
    </row>
    <row r="6" spans="1:12" ht="15" customHeight="1">
      <c r="A6" s="65">
        <f>과거인구현황!A7</f>
        <v>1989</v>
      </c>
      <c r="B6" s="66">
        <f>+VLOOKUP(A6,과거인구현황!$A$6:$W$26,4,FALSE)</f>
        <v>9501</v>
      </c>
      <c r="C6" s="67">
        <f t="shared" ref="C6:C42" si="1">C5+1</f>
        <v>1</v>
      </c>
      <c r="D6" s="53" t="s">
        <v>76</v>
      </c>
      <c r="E6" s="72">
        <f>B5</f>
        <v>9341</v>
      </c>
      <c r="F6" s="69"/>
      <c r="G6" s="53"/>
      <c r="H6" s="69"/>
      <c r="I6" s="70">
        <f t="shared" si="0"/>
        <v>10287.421052631578</v>
      </c>
      <c r="J6" s="71">
        <v>583230</v>
      </c>
      <c r="K6" s="55">
        <v>583230</v>
      </c>
      <c r="L6" s="55">
        <v>1094</v>
      </c>
    </row>
    <row r="7" spans="1:12" ht="15" customHeight="1">
      <c r="A7" s="65">
        <f>과거인구현황!A8</f>
        <v>1990</v>
      </c>
      <c r="B7" s="66">
        <f>+VLOOKUP(A7,과거인구현황!$A$6:$W$26,4,FALSE)</f>
        <v>11719</v>
      </c>
      <c r="C7" s="67">
        <f t="shared" si="1"/>
        <v>2</v>
      </c>
      <c r="D7" s="53" t="s">
        <v>77</v>
      </c>
      <c r="E7" s="73">
        <f>I4</f>
        <v>0.64918560156423444</v>
      </c>
      <c r="F7" s="69"/>
      <c r="G7" s="53"/>
      <c r="H7" s="69"/>
      <c r="I7" s="70">
        <f t="shared" si="0"/>
        <v>11233.842105263158</v>
      </c>
      <c r="J7" s="71">
        <v>590162</v>
      </c>
      <c r="K7" s="55">
        <v>590162</v>
      </c>
      <c r="L7" s="55">
        <v>1277</v>
      </c>
    </row>
    <row r="8" spans="1:12" ht="15" customHeight="1">
      <c r="A8" s="65">
        <f>과거인구현황!A9</f>
        <v>1991</v>
      </c>
      <c r="B8" s="66">
        <f>+VLOOKUP(A8,과거인구현황!$A$6:$W$26,4,FALSE)</f>
        <v>15093</v>
      </c>
      <c r="C8" s="67">
        <f t="shared" si="1"/>
        <v>3</v>
      </c>
      <c r="D8" s="53"/>
      <c r="E8" s="53"/>
      <c r="F8" s="69"/>
      <c r="G8" s="53"/>
      <c r="H8" s="69"/>
      <c r="I8" s="70">
        <f t="shared" si="0"/>
        <v>12180.263157894737</v>
      </c>
      <c r="J8" s="71">
        <v>600343</v>
      </c>
      <c r="K8" s="55">
        <v>600343</v>
      </c>
      <c r="L8" s="55">
        <v>1147</v>
      </c>
    </row>
    <row r="9" spans="1:12" ht="15" customHeight="1">
      <c r="A9" s="65">
        <f>과거인구현황!A10</f>
        <v>1992</v>
      </c>
      <c r="B9" s="66">
        <f>+VLOOKUP(A9,과거인구현황!$A$6:$W$26,4,FALSE)</f>
        <v>19308</v>
      </c>
      <c r="C9" s="67">
        <f t="shared" si="1"/>
        <v>4</v>
      </c>
      <c r="D9" s="53"/>
      <c r="E9" s="53"/>
      <c r="F9" s="69"/>
      <c r="G9" s="53"/>
      <c r="H9" s="69"/>
      <c r="I9" s="70">
        <f t="shared" si="0"/>
        <v>13126.684210526317</v>
      </c>
      <c r="J9" s="71">
        <v>611921</v>
      </c>
      <c r="K9" s="55">
        <v>611921</v>
      </c>
      <c r="L9" s="55">
        <v>1355</v>
      </c>
    </row>
    <row r="10" spans="1:12" ht="15" customHeight="1">
      <c r="A10" s="65">
        <f>과거인구현황!A11</f>
        <v>1993</v>
      </c>
      <c r="B10" s="66">
        <f>+VLOOKUP(A10,과거인구현황!$A$6:$W$26,4,FALSE)</f>
        <v>22194</v>
      </c>
      <c r="C10" s="67">
        <f t="shared" si="1"/>
        <v>5</v>
      </c>
      <c r="D10" s="53"/>
      <c r="E10" s="53"/>
      <c r="F10" s="69"/>
      <c r="G10" s="53"/>
      <c r="H10" s="69"/>
      <c r="I10" s="70">
        <f t="shared" si="0"/>
        <v>14073.105263157895</v>
      </c>
      <c r="J10" s="74">
        <v>622238</v>
      </c>
      <c r="K10" s="55">
        <v>622238</v>
      </c>
      <c r="L10" s="55">
        <v>1717</v>
      </c>
    </row>
    <row r="11" spans="1:12" ht="15" customHeight="1">
      <c r="A11" s="65">
        <f>과거인구현황!A12</f>
        <v>1994</v>
      </c>
      <c r="B11" s="66">
        <f>+VLOOKUP(A11,과거인구현황!$A$6:$W$26,4,FALSE)</f>
        <v>24956</v>
      </c>
      <c r="C11" s="67">
        <f t="shared" si="1"/>
        <v>6</v>
      </c>
      <c r="D11" s="53" t="s">
        <v>73</v>
      </c>
      <c r="E11" s="53"/>
      <c r="F11" s="69"/>
      <c r="G11" s="53"/>
      <c r="H11" s="69"/>
      <c r="I11" s="70">
        <f t="shared" si="0"/>
        <v>15019.526315789473</v>
      </c>
      <c r="J11" s="74">
        <v>623897</v>
      </c>
      <c r="K11" s="55">
        <v>623897</v>
      </c>
      <c r="L11" s="55">
        <v>1614</v>
      </c>
    </row>
    <row r="12" spans="1:12" ht="15" customHeight="1">
      <c r="A12" s="65">
        <f>과거인구현황!A13</f>
        <v>1995</v>
      </c>
      <c r="B12" s="66">
        <f>+VLOOKUP(A12,과거인구현황!$A$6:$W$26,4,FALSE)</f>
        <v>25717</v>
      </c>
      <c r="C12" s="67">
        <f t="shared" si="1"/>
        <v>7</v>
      </c>
      <c r="D12" s="53"/>
      <c r="E12" s="53"/>
      <c r="F12" s="69"/>
      <c r="G12" s="53"/>
      <c r="H12" s="69"/>
      <c r="I12" s="70">
        <f t="shared" si="0"/>
        <v>15965.947368421053</v>
      </c>
      <c r="J12" s="74">
        <v>626069</v>
      </c>
      <c r="K12" s="55">
        <v>626069</v>
      </c>
      <c r="L12" s="55">
        <v>1584</v>
      </c>
    </row>
    <row r="13" spans="1:12" ht="15" customHeight="1">
      <c r="A13" s="65">
        <f>과거인구현황!A14</f>
        <v>1996</v>
      </c>
      <c r="B13" s="66">
        <f>+VLOOKUP(A13,과거인구현황!$A$6:$W$26,4,FALSE)</f>
        <v>27066</v>
      </c>
      <c r="C13" s="67">
        <f t="shared" si="1"/>
        <v>8</v>
      </c>
      <c r="D13" s="53"/>
      <c r="E13" s="53"/>
      <c r="F13" s="69"/>
      <c r="G13" s="53"/>
      <c r="H13" s="69"/>
      <c r="I13" s="70">
        <f t="shared" si="0"/>
        <v>16912.368421052633</v>
      </c>
      <c r="J13" s="74">
        <v>618816</v>
      </c>
      <c r="K13" s="55">
        <v>620374</v>
      </c>
      <c r="L13" s="75">
        <v>1555</v>
      </c>
    </row>
    <row r="14" spans="1:12" ht="15" customHeight="1">
      <c r="A14" s="65">
        <f>과거인구현황!A15</f>
        <v>1997</v>
      </c>
      <c r="B14" s="66">
        <f>+VLOOKUP(A14,과거인구현황!$A$6:$W$26,4,FALSE)</f>
        <v>27986</v>
      </c>
      <c r="C14" s="67">
        <f t="shared" si="1"/>
        <v>9</v>
      </c>
      <c r="D14" s="53"/>
      <c r="E14" s="53"/>
      <c r="F14" s="69"/>
      <c r="G14" s="53"/>
      <c r="H14" s="69"/>
      <c r="I14" s="70">
        <f t="shared" si="0"/>
        <v>17858.78947368421</v>
      </c>
      <c r="J14" s="74">
        <v>622472</v>
      </c>
      <c r="K14" s="55">
        <v>624260</v>
      </c>
      <c r="L14" s="75">
        <v>1788</v>
      </c>
    </row>
    <row r="15" spans="1:12" ht="15" customHeight="1">
      <c r="A15" s="65">
        <f>과거인구현황!A16</f>
        <v>1998</v>
      </c>
      <c r="B15" s="66">
        <f>+VLOOKUP(A15,과거인구현황!$A$6:$W$26,4,FALSE)</f>
        <v>28065</v>
      </c>
      <c r="C15" s="67">
        <f t="shared" si="1"/>
        <v>10</v>
      </c>
      <c r="D15" s="53"/>
      <c r="E15" s="53"/>
      <c r="F15" s="69"/>
      <c r="G15" s="53"/>
      <c r="H15" s="69"/>
      <c r="I15" s="70">
        <f t="shared" si="0"/>
        <v>18805.21052631579</v>
      </c>
      <c r="K15" s="55">
        <v>623804</v>
      </c>
      <c r="L15" s="75">
        <f>+J15-K15</f>
        <v>-623804</v>
      </c>
    </row>
    <row r="16" spans="1:12" ht="15" customHeight="1">
      <c r="A16" s="65">
        <f>과거인구현황!A17</f>
        <v>1999</v>
      </c>
      <c r="B16" s="66">
        <f>+VLOOKUP(A16,과거인구현황!$A$6:$W$26,4,FALSE)</f>
        <v>27645</v>
      </c>
      <c r="C16" s="67">
        <f t="shared" si="1"/>
        <v>11</v>
      </c>
      <c r="D16" s="53"/>
      <c r="E16" s="53"/>
      <c r="F16" s="69"/>
      <c r="G16" s="53"/>
      <c r="H16" s="69"/>
      <c r="I16" s="70">
        <f t="shared" si="0"/>
        <v>19751.631578947367</v>
      </c>
      <c r="L16" s="75"/>
    </row>
    <row r="17" spans="1:12" ht="15" customHeight="1">
      <c r="A17" s="65">
        <f>과거인구현황!A18</f>
        <v>2000</v>
      </c>
      <c r="B17" s="66">
        <f>+VLOOKUP(A17,과거인구현황!$A$6:$W$26,4,FALSE)</f>
        <v>27936</v>
      </c>
      <c r="C17" s="67">
        <f t="shared" si="1"/>
        <v>12</v>
      </c>
      <c r="D17" s="53"/>
      <c r="E17" s="53"/>
      <c r="F17" s="69"/>
      <c r="G17" s="53"/>
      <c r="H17" s="69"/>
      <c r="I17" s="70">
        <f t="shared" si="0"/>
        <v>20698.052631578947</v>
      </c>
      <c r="L17" s="75"/>
    </row>
    <row r="18" spans="1:12" ht="15" customHeight="1">
      <c r="A18" s="65">
        <f>과거인구현황!A19</f>
        <v>2001</v>
      </c>
      <c r="B18" s="66">
        <f>+VLOOKUP(A18,과거인구현황!$A$6:$W$26,4,FALSE)</f>
        <v>27280</v>
      </c>
      <c r="C18" s="67">
        <f t="shared" si="1"/>
        <v>13</v>
      </c>
      <c r="D18" s="53"/>
      <c r="E18" s="53"/>
      <c r="F18" s="69"/>
      <c r="G18" s="53"/>
      <c r="H18" s="69"/>
      <c r="I18" s="70">
        <f t="shared" si="0"/>
        <v>21644.473684210527</v>
      </c>
      <c r="L18" s="75"/>
    </row>
    <row r="19" spans="1:12" ht="15" customHeight="1">
      <c r="A19" s="65">
        <f>과거인구현황!A20</f>
        <v>2002</v>
      </c>
      <c r="B19" s="66">
        <f>+VLOOKUP(A19,과거인구현황!$A$6:$W$26,4,FALSE)</f>
        <v>26476</v>
      </c>
      <c r="C19" s="67">
        <f t="shared" si="1"/>
        <v>14</v>
      </c>
      <c r="D19" s="53"/>
      <c r="E19" s="53"/>
      <c r="F19" s="69"/>
      <c r="G19" s="53"/>
      <c r="H19" s="69"/>
      <c r="I19" s="70">
        <f t="shared" si="0"/>
        <v>22590.894736842107</v>
      </c>
      <c r="L19" s="75"/>
    </row>
    <row r="20" spans="1:12" ht="15" customHeight="1">
      <c r="A20" s="65">
        <f>과거인구현황!A21</f>
        <v>2003</v>
      </c>
      <c r="B20" s="66">
        <f>+VLOOKUP(A20,과거인구현황!$A$6:$W$26,4,FALSE)</f>
        <v>27113</v>
      </c>
      <c r="C20" s="67">
        <f t="shared" si="1"/>
        <v>15</v>
      </c>
      <c r="D20" s="53"/>
      <c r="E20" s="53"/>
      <c r="F20" s="69"/>
      <c r="G20" s="53"/>
      <c r="H20" s="69"/>
      <c r="I20" s="70">
        <f t="shared" si="0"/>
        <v>23537.315789473687</v>
      </c>
      <c r="L20" s="75"/>
    </row>
    <row r="21" spans="1:12" ht="15" customHeight="1">
      <c r="A21" s="65">
        <f>과거인구현황!A22</f>
        <v>2004</v>
      </c>
      <c r="B21" s="66">
        <f>+VLOOKUP(A21,과거인구현황!$A$6:$W$26,4,FALSE)</f>
        <v>27168</v>
      </c>
      <c r="C21" s="67">
        <f t="shared" si="1"/>
        <v>16</v>
      </c>
      <c r="D21" s="53"/>
      <c r="E21" s="53"/>
      <c r="F21" s="69"/>
      <c r="G21" s="53"/>
      <c r="H21" s="69"/>
      <c r="I21" s="70">
        <f t="shared" si="0"/>
        <v>24483.736842105263</v>
      </c>
      <c r="L21" s="75"/>
    </row>
    <row r="22" spans="1:12" ht="15" customHeight="1">
      <c r="A22" s="65">
        <f>과거인구현황!A23</f>
        <v>2005</v>
      </c>
      <c r="B22" s="66">
        <f>+VLOOKUP(A22,과거인구현황!$A$6:$W$26,4,FALSE)</f>
        <v>27044</v>
      </c>
      <c r="C22" s="67">
        <f t="shared" si="1"/>
        <v>17</v>
      </c>
      <c r="D22" s="53"/>
      <c r="E22" s="53"/>
      <c r="F22" s="69"/>
      <c r="G22" s="53"/>
      <c r="H22" s="69"/>
      <c r="I22" s="70">
        <f t="shared" si="0"/>
        <v>25430.15789473684</v>
      </c>
      <c r="L22" s="75"/>
    </row>
    <row r="23" spans="1:12" ht="15" customHeight="1">
      <c r="A23" s="65">
        <f>과거인구현황!A24</f>
        <v>2006</v>
      </c>
      <c r="B23" s="66">
        <f>+VLOOKUP(A23,과거인구현황!$A$6:$W$26,4,FALSE)</f>
        <v>27340</v>
      </c>
      <c r="C23" s="67">
        <f t="shared" si="1"/>
        <v>18</v>
      </c>
      <c r="D23" s="53"/>
      <c r="E23" s="53"/>
      <c r="F23" s="69"/>
      <c r="G23" s="53"/>
      <c r="H23" s="69"/>
      <c r="I23" s="70">
        <f t="shared" si="0"/>
        <v>26376.57894736842</v>
      </c>
      <c r="L23" s="75"/>
    </row>
    <row r="24" spans="1:12" ht="15" customHeight="1" thickBot="1">
      <c r="A24" s="97">
        <f>과거인구현황!A25</f>
        <v>2007</v>
      </c>
      <c r="B24" s="185">
        <f>+VLOOKUP(A24,과거인구현황!$A$6:$W$26,4,FALSE)</f>
        <v>27323</v>
      </c>
      <c r="C24" s="99">
        <f t="shared" si="1"/>
        <v>19</v>
      </c>
      <c r="D24" s="101"/>
      <c r="E24" s="101"/>
      <c r="F24" s="100"/>
      <c r="G24" s="101"/>
      <c r="H24" s="100"/>
      <c r="I24" s="102">
        <f t="shared" si="0"/>
        <v>27323</v>
      </c>
      <c r="L24" s="75"/>
    </row>
    <row r="25" spans="1:12" ht="15" customHeight="1" thickTop="1">
      <c r="A25" s="255">
        <v>2008</v>
      </c>
      <c r="B25" s="81">
        <f t="shared" ref="B25:B42" si="2">ROUND($E$5*C25+$E$6,0)</f>
        <v>28269</v>
      </c>
      <c r="C25" s="77">
        <f t="shared" si="1"/>
        <v>20</v>
      </c>
      <c r="D25" s="256"/>
      <c r="E25" s="256"/>
      <c r="F25" s="78"/>
      <c r="G25" s="256"/>
      <c r="H25" s="78"/>
      <c r="I25" s="79">
        <f t="shared" si="0"/>
        <v>28269.42105263158</v>
      </c>
      <c r="L25" s="75"/>
    </row>
    <row r="26" spans="1:12" ht="15" customHeight="1">
      <c r="A26" s="80">
        <v>2009</v>
      </c>
      <c r="B26" s="81">
        <f t="shared" si="2"/>
        <v>29216</v>
      </c>
      <c r="C26" s="67">
        <f>C25+1</f>
        <v>21</v>
      </c>
      <c r="D26" s="69"/>
      <c r="E26" s="69"/>
      <c r="F26" s="69"/>
      <c r="G26" s="69"/>
      <c r="H26" s="69"/>
      <c r="I26" s="70">
        <f t="shared" si="0"/>
        <v>29215.842105263157</v>
      </c>
    </row>
    <row r="27" spans="1:12" ht="15" customHeight="1">
      <c r="A27" s="80">
        <v>2010</v>
      </c>
      <c r="B27" s="81">
        <f t="shared" si="2"/>
        <v>30162</v>
      </c>
      <c r="C27" s="82">
        <f t="shared" si="1"/>
        <v>22</v>
      </c>
      <c r="D27" s="69"/>
      <c r="E27" s="69"/>
      <c r="F27" s="69"/>
      <c r="G27" s="69"/>
      <c r="H27" s="69"/>
      <c r="I27" s="70">
        <f t="shared" si="0"/>
        <v>30162.263157894737</v>
      </c>
    </row>
    <row r="28" spans="1:12" ht="15" customHeight="1">
      <c r="A28" s="80">
        <v>2011</v>
      </c>
      <c r="B28" s="81">
        <f t="shared" si="2"/>
        <v>31109</v>
      </c>
      <c r="C28" s="82">
        <f t="shared" si="1"/>
        <v>23</v>
      </c>
      <c r="D28" s="69"/>
      <c r="E28" s="69"/>
      <c r="F28" s="69"/>
      <c r="G28" s="69"/>
      <c r="H28" s="69"/>
      <c r="I28" s="70">
        <f t="shared" si="0"/>
        <v>31108.684210526317</v>
      </c>
    </row>
    <row r="29" spans="1:12" ht="15" customHeight="1">
      <c r="A29" s="80">
        <v>2012</v>
      </c>
      <c r="B29" s="81">
        <f t="shared" si="2"/>
        <v>32055</v>
      </c>
      <c r="C29" s="82">
        <f t="shared" si="1"/>
        <v>24</v>
      </c>
      <c r="D29" s="69"/>
      <c r="E29" s="69"/>
      <c r="F29" s="69"/>
      <c r="G29" s="69"/>
      <c r="H29" s="69"/>
      <c r="I29" s="70">
        <f t="shared" si="0"/>
        <v>32055.105263157893</v>
      </c>
    </row>
    <row r="30" spans="1:12" ht="15" customHeight="1">
      <c r="A30" s="80">
        <v>2013</v>
      </c>
      <c r="B30" s="81">
        <f t="shared" si="2"/>
        <v>33002</v>
      </c>
      <c r="C30" s="82">
        <f t="shared" si="1"/>
        <v>25</v>
      </c>
      <c r="D30" s="69"/>
      <c r="E30" s="69"/>
      <c r="F30" s="69"/>
      <c r="G30" s="69"/>
      <c r="H30" s="69"/>
      <c r="I30" s="70">
        <f t="shared" si="0"/>
        <v>33001.526315789473</v>
      </c>
    </row>
    <row r="31" spans="1:12" ht="15" customHeight="1">
      <c r="A31" s="80">
        <v>2014</v>
      </c>
      <c r="B31" s="81">
        <f t="shared" si="2"/>
        <v>33948</v>
      </c>
      <c r="C31" s="82">
        <f t="shared" si="1"/>
        <v>26</v>
      </c>
      <c r="D31" s="69"/>
      <c r="E31" s="69"/>
      <c r="F31" s="69"/>
      <c r="G31" s="69"/>
      <c r="H31" s="69"/>
      <c r="I31" s="70">
        <f t="shared" si="0"/>
        <v>33947.947368421053</v>
      </c>
    </row>
    <row r="32" spans="1:12" ht="15" customHeight="1">
      <c r="A32" s="80">
        <v>2015</v>
      </c>
      <c r="B32" s="81">
        <f t="shared" si="2"/>
        <v>34894</v>
      </c>
      <c r="C32" s="82">
        <f t="shared" si="1"/>
        <v>27</v>
      </c>
      <c r="D32" s="69"/>
      <c r="E32" s="69"/>
      <c r="F32" s="69"/>
      <c r="G32" s="69"/>
      <c r="H32" s="69"/>
      <c r="I32" s="70">
        <f t="shared" si="0"/>
        <v>34894.368421052633</v>
      </c>
    </row>
    <row r="33" spans="1:9" ht="15" customHeight="1">
      <c r="A33" s="80">
        <v>2016</v>
      </c>
      <c r="B33" s="81">
        <f t="shared" si="2"/>
        <v>35841</v>
      </c>
      <c r="C33" s="82">
        <f t="shared" si="1"/>
        <v>28</v>
      </c>
      <c r="D33" s="69"/>
      <c r="E33" s="69"/>
      <c r="F33" s="69"/>
      <c r="G33" s="69"/>
      <c r="H33" s="69"/>
      <c r="I33" s="70">
        <f t="shared" si="0"/>
        <v>35840.789473684214</v>
      </c>
    </row>
    <row r="34" spans="1:9" ht="15" customHeight="1">
      <c r="A34" s="80">
        <v>2017</v>
      </c>
      <c r="B34" s="81">
        <f t="shared" si="2"/>
        <v>36787</v>
      </c>
      <c r="C34" s="82">
        <f t="shared" si="1"/>
        <v>29</v>
      </c>
      <c r="D34" s="69"/>
      <c r="E34" s="69"/>
      <c r="F34" s="69"/>
      <c r="G34" s="69"/>
      <c r="H34" s="69"/>
      <c r="I34" s="70">
        <f t="shared" si="0"/>
        <v>36787.210526315786</v>
      </c>
    </row>
    <row r="35" spans="1:9" ht="15" customHeight="1">
      <c r="A35" s="80">
        <v>2018</v>
      </c>
      <c r="B35" s="81">
        <f t="shared" si="2"/>
        <v>37734</v>
      </c>
      <c r="C35" s="82">
        <f t="shared" si="1"/>
        <v>30</v>
      </c>
      <c r="D35" s="69"/>
      <c r="E35" s="69"/>
      <c r="F35" s="69"/>
      <c r="G35" s="69"/>
      <c r="H35" s="69"/>
      <c r="I35" s="70">
        <f t="shared" si="0"/>
        <v>37733.631578947374</v>
      </c>
    </row>
    <row r="36" spans="1:9" ht="15" customHeight="1">
      <c r="A36" s="80">
        <v>2019</v>
      </c>
      <c r="B36" s="81">
        <f t="shared" si="2"/>
        <v>38680</v>
      </c>
      <c r="C36" s="82">
        <f t="shared" si="1"/>
        <v>31</v>
      </c>
      <c r="D36" s="69"/>
      <c r="E36" s="69"/>
      <c r="F36" s="69"/>
      <c r="G36" s="69"/>
      <c r="H36" s="69"/>
      <c r="I36" s="70">
        <f t="shared" si="0"/>
        <v>38680.052631578947</v>
      </c>
    </row>
    <row r="37" spans="1:9" ht="15" customHeight="1">
      <c r="A37" s="80">
        <v>2020</v>
      </c>
      <c r="B37" s="81">
        <f t="shared" si="2"/>
        <v>39626</v>
      </c>
      <c r="C37" s="82">
        <f t="shared" si="1"/>
        <v>32</v>
      </c>
      <c r="D37" s="69"/>
      <c r="E37" s="69"/>
      <c r="F37" s="69"/>
      <c r="G37" s="69"/>
      <c r="H37" s="69"/>
      <c r="I37" s="70">
        <f t="shared" si="0"/>
        <v>39626.473684210527</v>
      </c>
    </row>
    <row r="38" spans="1:9" ht="15" customHeight="1">
      <c r="A38" s="80">
        <v>2021</v>
      </c>
      <c r="B38" s="81">
        <f t="shared" si="2"/>
        <v>40573</v>
      </c>
      <c r="C38" s="82">
        <f t="shared" si="1"/>
        <v>33</v>
      </c>
      <c r="D38" s="69"/>
      <c r="E38" s="69"/>
      <c r="F38" s="69"/>
      <c r="G38" s="69"/>
      <c r="H38" s="69"/>
      <c r="I38" s="70">
        <f t="shared" si="0"/>
        <v>40572.894736842107</v>
      </c>
    </row>
    <row r="39" spans="1:9" ht="15" customHeight="1">
      <c r="A39" s="80">
        <v>2022</v>
      </c>
      <c r="B39" s="81">
        <f t="shared" si="2"/>
        <v>41519</v>
      </c>
      <c r="C39" s="82">
        <f t="shared" si="1"/>
        <v>34</v>
      </c>
      <c r="D39" s="69"/>
      <c r="E39" s="69"/>
      <c r="F39" s="69"/>
      <c r="G39" s="69"/>
      <c r="H39" s="69"/>
      <c r="I39" s="70">
        <f t="shared" si="0"/>
        <v>41519.31578947368</v>
      </c>
    </row>
    <row r="40" spans="1:9" ht="15" customHeight="1">
      <c r="A40" s="80">
        <v>2023</v>
      </c>
      <c r="B40" s="81">
        <f t="shared" si="2"/>
        <v>42466</v>
      </c>
      <c r="C40" s="82">
        <f t="shared" si="1"/>
        <v>35</v>
      </c>
      <c r="D40" s="69"/>
      <c r="E40" s="69"/>
      <c r="F40" s="69"/>
      <c r="G40" s="69"/>
      <c r="H40" s="69"/>
      <c r="I40" s="70">
        <f t="shared" si="0"/>
        <v>42465.736842105267</v>
      </c>
    </row>
    <row r="41" spans="1:9" ht="15" customHeight="1">
      <c r="A41" s="80">
        <v>2024</v>
      </c>
      <c r="B41" s="81">
        <f t="shared" si="2"/>
        <v>43412</v>
      </c>
      <c r="C41" s="67">
        <f t="shared" si="1"/>
        <v>36</v>
      </c>
      <c r="D41" s="83"/>
      <c r="E41" s="69"/>
      <c r="F41" s="69"/>
      <c r="G41" s="69"/>
      <c r="H41" s="84"/>
      <c r="I41" s="70">
        <f t="shared" si="0"/>
        <v>43412.15789473684</v>
      </c>
    </row>
    <row r="42" spans="1:9" ht="15" customHeight="1">
      <c r="A42" s="85">
        <v>2025</v>
      </c>
      <c r="B42" s="86">
        <f t="shared" si="2"/>
        <v>44359</v>
      </c>
      <c r="C42" s="87">
        <f t="shared" si="1"/>
        <v>37</v>
      </c>
      <c r="D42" s="88"/>
      <c r="E42" s="89"/>
      <c r="F42" s="89"/>
      <c r="G42" s="89"/>
      <c r="H42" s="90"/>
      <c r="I42" s="91">
        <f t="shared" si="0"/>
        <v>44358.57894736842</v>
      </c>
    </row>
    <row r="43" spans="1:9" ht="15" customHeight="1">
      <c r="A43" s="56" t="s">
        <v>78</v>
      </c>
      <c r="B43" s="92"/>
      <c r="I43" s="89"/>
    </row>
    <row r="44" spans="1:9" ht="15" customHeight="1">
      <c r="A44" s="58" t="s">
        <v>32</v>
      </c>
      <c r="B44" s="59" t="s">
        <v>40</v>
      </c>
      <c r="C44" s="59" t="s">
        <v>33</v>
      </c>
      <c r="D44" s="60"/>
      <c r="E44" s="60"/>
      <c r="F44" s="61"/>
      <c r="G44" s="62"/>
      <c r="H44" s="63" t="s">
        <v>104</v>
      </c>
      <c r="I44" s="64">
        <f>RSQ(I45:I65,B45:B65)</f>
        <v>0.68180489010939749</v>
      </c>
    </row>
    <row r="45" spans="1:9" ht="15" customHeight="1">
      <c r="A45" s="65">
        <f t="shared" ref="A45:B60" si="3">A5</f>
        <v>1988</v>
      </c>
      <c r="B45" s="93">
        <f t="shared" si="3"/>
        <v>9341</v>
      </c>
      <c r="C45" s="67">
        <v>0</v>
      </c>
      <c r="D45" s="53" t="s">
        <v>75</v>
      </c>
      <c r="E45" s="68">
        <f>INDEX(LINEST(B45:B64,C45:C64),1)</f>
        <v>891.23533834586442</v>
      </c>
      <c r="F45" s="69"/>
      <c r="G45" s="53"/>
      <c r="H45" s="69"/>
      <c r="I45" s="94">
        <f t="shared" ref="I45:I82" si="4">$E$45*C45+$E$46</f>
        <v>14846.814285714287</v>
      </c>
    </row>
    <row r="46" spans="1:9" ht="15" customHeight="1">
      <c r="A46" s="65">
        <f t="shared" si="3"/>
        <v>1989</v>
      </c>
      <c r="B46" s="93">
        <f t="shared" si="3"/>
        <v>9501</v>
      </c>
      <c r="C46" s="67">
        <f t="shared" ref="C46:C82" si="5">C45+1</f>
        <v>1</v>
      </c>
      <c r="D46" s="53" t="s">
        <v>76</v>
      </c>
      <c r="E46" s="72">
        <f>INDEX(LINEST(B45:B64,C45:C64),2)</f>
        <v>14846.814285714287</v>
      </c>
      <c r="F46" s="69"/>
      <c r="G46" s="53"/>
      <c r="H46" s="69"/>
      <c r="I46" s="70">
        <f t="shared" si="4"/>
        <v>15738.049624060151</v>
      </c>
    </row>
    <row r="47" spans="1:9" ht="15" customHeight="1">
      <c r="A47" s="65">
        <f t="shared" si="3"/>
        <v>1990</v>
      </c>
      <c r="B47" s="93">
        <f t="shared" si="3"/>
        <v>11719</v>
      </c>
      <c r="C47" s="67">
        <f t="shared" si="5"/>
        <v>2</v>
      </c>
      <c r="D47" s="53" t="s">
        <v>77</v>
      </c>
      <c r="E47" s="73">
        <f>I44</f>
        <v>0.68180489010939749</v>
      </c>
      <c r="F47" s="69"/>
      <c r="G47" s="53"/>
      <c r="H47" s="69"/>
      <c r="I47" s="70">
        <f t="shared" si="4"/>
        <v>16629.284962406015</v>
      </c>
    </row>
    <row r="48" spans="1:9" ht="15" customHeight="1">
      <c r="A48" s="65">
        <f t="shared" si="3"/>
        <v>1991</v>
      </c>
      <c r="B48" s="93">
        <f t="shared" si="3"/>
        <v>15093</v>
      </c>
      <c r="C48" s="67">
        <f t="shared" si="5"/>
        <v>3</v>
      </c>
      <c r="D48" s="53"/>
      <c r="E48" s="53"/>
      <c r="F48" s="69"/>
      <c r="G48" s="53"/>
      <c r="H48" s="69"/>
      <c r="I48" s="70">
        <f t="shared" si="4"/>
        <v>17520.520300751879</v>
      </c>
    </row>
    <row r="49" spans="1:9" ht="15" customHeight="1">
      <c r="A49" s="65">
        <f t="shared" si="3"/>
        <v>1992</v>
      </c>
      <c r="B49" s="93">
        <f t="shared" si="3"/>
        <v>19308</v>
      </c>
      <c r="C49" s="67">
        <f t="shared" si="5"/>
        <v>4</v>
      </c>
      <c r="D49" s="53"/>
      <c r="E49" s="53"/>
      <c r="F49" s="69"/>
      <c r="G49" s="95"/>
      <c r="H49" s="69"/>
      <c r="I49" s="70">
        <f t="shared" si="4"/>
        <v>18411.755639097744</v>
      </c>
    </row>
    <row r="50" spans="1:9" ht="15" customHeight="1">
      <c r="A50" s="65">
        <f t="shared" si="3"/>
        <v>1993</v>
      </c>
      <c r="B50" s="93">
        <f t="shared" si="3"/>
        <v>22194</v>
      </c>
      <c r="C50" s="67">
        <f t="shared" si="5"/>
        <v>5</v>
      </c>
      <c r="D50" s="53"/>
      <c r="E50" s="53"/>
      <c r="F50" s="69"/>
      <c r="G50" s="53"/>
      <c r="H50" s="69"/>
      <c r="I50" s="70">
        <f t="shared" si="4"/>
        <v>19302.990977443609</v>
      </c>
    </row>
    <row r="51" spans="1:9" ht="15" customHeight="1">
      <c r="A51" s="65">
        <f t="shared" si="3"/>
        <v>1994</v>
      </c>
      <c r="B51" s="93">
        <f t="shared" si="3"/>
        <v>24956</v>
      </c>
      <c r="C51" s="67">
        <f t="shared" si="5"/>
        <v>6</v>
      </c>
      <c r="D51" s="53" t="s">
        <v>73</v>
      </c>
      <c r="E51" s="53"/>
      <c r="F51" s="69"/>
      <c r="G51" s="53"/>
      <c r="H51" s="69"/>
      <c r="I51" s="70">
        <f t="shared" si="4"/>
        <v>20194.226315789474</v>
      </c>
    </row>
    <row r="52" spans="1:9" ht="15" customHeight="1">
      <c r="A52" s="65">
        <f t="shared" si="3"/>
        <v>1995</v>
      </c>
      <c r="B52" s="93">
        <f t="shared" si="3"/>
        <v>25717</v>
      </c>
      <c r="C52" s="67">
        <f t="shared" si="5"/>
        <v>7</v>
      </c>
      <c r="D52" s="53"/>
      <c r="E52" s="53"/>
      <c r="F52" s="69"/>
      <c r="G52" s="53"/>
      <c r="H52" s="69"/>
      <c r="I52" s="70">
        <f t="shared" si="4"/>
        <v>21085.461654135339</v>
      </c>
    </row>
    <row r="53" spans="1:9" ht="15" customHeight="1">
      <c r="A53" s="65">
        <f t="shared" si="3"/>
        <v>1996</v>
      </c>
      <c r="B53" s="93">
        <f t="shared" si="3"/>
        <v>27066</v>
      </c>
      <c r="C53" s="67">
        <f t="shared" si="5"/>
        <v>8</v>
      </c>
      <c r="D53" s="53"/>
      <c r="E53" s="53"/>
      <c r="F53" s="69"/>
      <c r="G53" s="53"/>
      <c r="H53" s="69"/>
      <c r="I53" s="70">
        <f t="shared" si="4"/>
        <v>21976.6969924812</v>
      </c>
    </row>
    <row r="54" spans="1:9" ht="15" customHeight="1">
      <c r="A54" s="65">
        <f t="shared" si="3"/>
        <v>1997</v>
      </c>
      <c r="B54" s="93">
        <f t="shared" si="3"/>
        <v>27986</v>
      </c>
      <c r="C54" s="67">
        <f t="shared" si="5"/>
        <v>9</v>
      </c>
      <c r="D54" s="69"/>
      <c r="E54" s="69"/>
      <c r="F54" s="69"/>
      <c r="G54" s="53"/>
      <c r="H54" s="53"/>
      <c r="I54" s="70">
        <f t="shared" si="4"/>
        <v>22867.932330827069</v>
      </c>
    </row>
    <row r="55" spans="1:9" ht="15" customHeight="1">
      <c r="A55" s="65">
        <f t="shared" si="3"/>
        <v>1998</v>
      </c>
      <c r="B55" s="93">
        <f t="shared" si="3"/>
        <v>28065</v>
      </c>
      <c r="C55" s="67">
        <f t="shared" si="5"/>
        <v>10</v>
      </c>
      <c r="D55" s="69"/>
      <c r="E55" s="69"/>
      <c r="F55" s="69"/>
      <c r="G55" s="53"/>
      <c r="H55" s="53"/>
      <c r="I55" s="70">
        <f t="shared" si="4"/>
        <v>23759.16766917293</v>
      </c>
    </row>
    <row r="56" spans="1:9" ht="15" customHeight="1">
      <c r="A56" s="65">
        <f t="shared" si="3"/>
        <v>1999</v>
      </c>
      <c r="B56" s="93">
        <f t="shared" si="3"/>
        <v>27645</v>
      </c>
      <c r="C56" s="67">
        <f t="shared" si="5"/>
        <v>11</v>
      </c>
      <c r="D56" s="69"/>
      <c r="E56" s="69"/>
      <c r="F56" s="69"/>
      <c r="G56" s="53"/>
      <c r="H56" s="53"/>
      <c r="I56" s="70">
        <f t="shared" si="4"/>
        <v>24650.403007518795</v>
      </c>
    </row>
    <row r="57" spans="1:9" ht="15" customHeight="1">
      <c r="A57" s="65">
        <f t="shared" si="3"/>
        <v>2000</v>
      </c>
      <c r="B57" s="93">
        <f t="shared" si="3"/>
        <v>27936</v>
      </c>
      <c r="C57" s="67">
        <f t="shared" si="5"/>
        <v>12</v>
      </c>
      <c r="D57" s="69"/>
      <c r="E57" s="69"/>
      <c r="F57" s="69"/>
      <c r="G57" s="53"/>
      <c r="H57" s="53"/>
      <c r="I57" s="70">
        <f t="shared" si="4"/>
        <v>25541.63834586466</v>
      </c>
    </row>
    <row r="58" spans="1:9" ht="15" customHeight="1">
      <c r="A58" s="65">
        <f t="shared" si="3"/>
        <v>2001</v>
      </c>
      <c r="B58" s="93">
        <f t="shared" si="3"/>
        <v>27280</v>
      </c>
      <c r="C58" s="67">
        <f t="shared" si="5"/>
        <v>13</v>
      </c>
      <c r="D58" s="69"/>
      <c r="E58" s="96"/>
      <c r="F58" s="69"/>
      <c r="G58" s="53"/>
      <c r="H58" s="53"/>
      <c r="I58" s="70">
        <f t="shared" si="4"/>
        <v>26432.873684210525</v>
      </c>
    </row>
    <row r="59" spans="1:9" ht="15" customHeight="1">
      <c r="A59" s="65">
        <f t="shared" si="3"/>
        <v>2002</v>
      </c>
      <c r="B59" s="93">
        <f t="shared" si="3"/>
        <v>26476</v>
      </c>
      <c r="C59" s="67">
        <f t="shared" si="5"/>
        <v>14</v>
      </c>
      <c r="D59" s="69"/>
      <c r="E59" s="69"/>
      <c r="F59" s="69"/>
      <c r="G59" s="53"/>
      <c r="H59" s="53"/>
      <c r="I59" s="70">
        <f t="shared" si="4"/>
        <v>27324.109022556389</v>
      </c>
    </row>
    <row r="60" spans="1:9" ht="15" customHeight="1">
      <c r="A60" s="65">
        <f t="shared" si="3"/>
        <v>2003</v>
      </c>
      <c r="B60" s="93">
        <f t="shared" si="3"/>
        <v>27113</v>
      </c>
      <c r="C60" s="67">
        <f t="shared" si="5"/>
        <v>15</v>
      </c>
      <c r="D60" s="69"/>
      <c r="E60" s="69"/>
      <c r="F60" s="69"/>
      <c r="G60" s="53"/>
      <c r="H60" s="53"/>
      <c r="I60" s="70">
        <f t="shared" si="4"/>
        <v>28215.344360902251</v>
      </c>
    </row>
    <row r="61" spans="1:9" ht="15" customHeight="1">
      <c r="A61" s="65">
        <f t="shared" ref="A61:B65" si="6">A21</f>
        <v>2004</v>
      </c>
      <c r="B61" s="93">
        <f t="shared" si="6"/>
        <v>27168</v>
      </c>
      <c r="C61" s="67">
        <f t="shared" si="5"/>
        <v>16</v>
      </c>
      <c r="D61" s="69"/>
      <c r="E61" s="69"/>
      <c r="F61" s="69"/>
      <c r="G61" s="53"/>
      <c r="H61" s="53"/>
      <c r="I61" s="70">
        <f t="shared" si="4"/>
        <v>29106.579699248119</v>
      </c>
    </row>
    <row r="62" spans="1:9" ht="15" customHeight="1">
      <c r="A62" s="65">
        <f t="shared" si="6"/>
        <v>2005</v>
      </c>
      <c r="B62" s="93">
        <f t="shared" si="6"/>
        <v>27044</v>
      </c>
      <c r="C62" s="67">
        <f t="shared" si="5"/>
        <v>17</v>
      </c>
      <c r="D62" s="69"/>
      <c r="E62" s="69"/>
      <c r="F62" s="69"/>
      <c r="G62" s="53"/>
      <c r="H62" s="53"/>
      <c r="I62" s="70">
        <f t="shared" si="4"/>
        <v>29997.81503759398</v>
      </c>
    </row>
    <row r="63" spans="1:9" ht="15" customHeight="1">
      <c r="A63" s="65">
        <f t="shared" si="6"/>
        <v>2006</v>
      </c>
      <c r="B63" s="93">
        <f t="shared" si="6"/>
        <v>27340</v>
      </c>
      <c r="C63" s="67">
        <f t="shared" si="5"/>
        <v>18</v>
      </c>
      <c r="D63" s="69"/>
      <c r="E63" s="69"/>
      <c r="F63" s="69"/>
      <c r="G63" s="53"/>
      <c r="H63" s="53"/>
      <c r="I63" s="70">
        <f t="shared" si="4"/>
        <v>30889.050375939849</v>
      </c>
    </row>
    <row r="64" spans="1:9" ht="15" customHeight="1" thickBot="1">
      <c r="A64" s="97">
        <f t="shared" si="6"/>
        <v>2007</v>
      </c>
      <c r="B64" s="98">
        <f t="shared" si="6"/>
        <v>27323</v>
      </c>
      <c r="C64" s="99">
        <f t="shared" si="5"/>
        <v>19</v>
      </c>
      <c r="D64" s="100"/>
      <c r="E64" s="100"/>
      <c r="F64" s="100"/>
      <c r="G64" s="101"/>
      <c r="H64" s="101"/>
      <c r="I64" s="102">
        <f t="shared" si="4"/>
        <v>31780.28571428571</v>
      </c>
    </row>
    <row r="65" spans="1:9" ht="15" customHeight="1" thickTop="1">
      <c r="A65" s="255">
        <f t="shared" si="6"/>
        <v>2008</v>
      </c>
      <c r="B65" s="81">
        <f t="shared" ref="B65:B82" si="7">ROUND(E$45*C65+E$46,0)</f>
        <v>32672</v>
      </c>
      <c r="C65" s="77">
        <f t="shared" si="5"/>
        <v>20</v>
      </c>
      <c r="D65" s="78"/>
      <c r="E65" s="78"/>
      <c r="F65" s="78"/>
      <c r="G65" s="256"/>
      <c r="H65" s="256"/>
      <c r="I65" s="79">
        <f t="shared" si="4"/>
        <v>32671.521052631579</v>
      </c>
    </row>
    <row r="66" spans="1:9" ht="15" customHeight="1">
      <c r="A66" s="80">
        <v>2009</v>
      </c>
      <c r="B66" s="81">
        <f t="shared" si="7"/>
        <v>33563</v>
      </c>
      <c r="C66" s="82">
        <f t="shared" si="5"/>
        <v>21</v>
      </c>
      <c r="D66" s="69"/>
      <c r="E66" s="69"/>
      <c r="F66" s="69"/>
      <c r="G66" s="69"/>
      <c r="H66" s="69"/>
      <c r="I66" s="70">
        <f t="shared" si="4"/>
        <v>33562.75639097744</v>
      </c>
    </row>
    <row r="67" spans="1:9" ht="15" customHeight="1">
      <c r="A67" s="80">
        <v>2010</v>
      </c>
      <c r="B67" s="81">
        <f t="shared" si="7"/>
        <v>34454</v>
      </c>
      <c r="C67" s="82">
        <f t="shared" si="5"/>
        <v>22</v>
      </c>
      <c r="D67" s="69"/>
      <c r="E67" s="69"/>
      <c r="F67" s="69"/>
      <c r="G67" s="69"/>
      <c r="H67" s="69"/>
      <c r="I67" s="70">
        <f t="shared" si="4"/>
        <v>34453.991729323301</v>
      </c>
    </row>
    <row r="68" spans="1:9" ht="15" customHeight="1">
      <c r="A68" s="80">
        <v>2011</v>
      </c>
      <c r="B68" s="81">
        <f t="shared" si="7"/>
        <v>35345</v>
      </c>
      <c r="C68" s="82">
        <f t="shared" si="5"/>
        <v>23</v>
      </c>
      <c r="D68" s="69"/>
      <c r="E68" s="69"/>
      <c r="F68" s="69"/>
      <c r="G68" s="69"/>
      <c r="H68" s="69"/>
      <c r="I68" s="70">
        <f t="shared" si="4"/>
        <v>35345.22706766917</v>
      </c>
    </row>
    <row r="69" spans="1:9" ht="15" customHeight="1">
      <c r="A69" s="80">
        <v>2012</v>
      </c>
      <c r="B69" s="81">
        <f t="shared" si="7"/>
        <v>36236</v>
      </c>
      <c r="C69" s="82">
        <f t="shared" si="5"/>
        <v>24</v>
      </c>
      <c r="D69" s="69"/>
      <c r="E69" s="69"/>
      <c r="F69" s="69"/>
      <c r="G69" s="69"/>
      <c r="H69" s="69"/>
      <c r="I69" s="70">
        <f t="shared" si="4"/>
        <v>36236.462406015031</v>
      </c>
    </row>
    <row r="70" spans="1:9" ht="15" customHeight="1">
      <c r="A70" s="80">
        <v>2013</v>
      </c>
      <c r="B70" s="81">
        <f t="shared" si="7"/>
        <v>37128</v>
      </c>
      <c r="C70" s="82">
        <f t="shared" si="5"/>
        <v>25</v>
      </c>
      <c r="D70" s="69"/>
      <c r="E70" s="69"/>
      <c r="F70" s="69"/>
      <c r="G70" s="69"/>
      <c r="H70" s="69"/>
      <c r="I70" s="70">
        <f t="shared" si="4"/>
        <v>37127.697744360899</v>
      </c>
    </row>
    <row r="71" spans="1:9" ht="15" customHeight="1">
      <c r="A71" s="80">
        <v>2014</v>
      </c>
      <c r="B71" s="81">
        <f t="shared" si="7"/>
        <v>38019</v>
      </c>
      <c r="C71" s="82">
        <f t="shared" si="5"/>
        <v>26</v>
      </c>
      <c r="D71" s="69"/>
      <c r="E71" s="69"/>
      <c r="F71" s="69"/>
      <c r="G71" s="69"/>
      <c r="H71" s="69"/>
      <c r="I71" s="70">
        <f t="shared" si="4"/>
        <v>38018.933082706761</v>
      </c>
    </row>
    <row r="72" spans="1:9" ht="15" customHeight="1">
      <c r="A72" s="80">
        <v>2015</v>
      </c>
      <c r="B72" s="81">
        <f t="shared" si="7"/>
        <v>38910</v>
      </c>
      <c r="C72" s="82">
        <f t="shared" si="5"/>
        <v>27</v>
      </c>
      <c r="D72" s="69"/>
      <c r="E72" s="69"/>
      <c r="F72" s="69"/>
      <c r="G72" s="69"/>
      <c r="H72" s="69"/>
      <c r="I72" s="70">
        <f t="shared" si="4"/>
        <v>38910.168421052629</v>
      </c>
    </row>
    <row r="73" spans="1:9" ht="15" customHeight="1">
      <c r="A73" s="80">
        <v>2016</v>
      </c>
      <c r="B73" s="81">
        <f t="shared" si="7"/>
        <v>39801</v>
      </c>
      <c r="C73" s="82">
        <f t="shared" si="5"/>
        <v>28</v>
      </c>
      <c r="D73" s="69"/>
      <c r="E73" s="69"/>
      <c r="F73" s="69"/>
      <c r="G73" s="69"/>
      <c r="H73" s="69"/>
      <c r="I73" s="70">
        <f t="shared" si="4"/>
        <v>39801.40375939849</v>
      </c>
    </row>
    <row r="74" spans="1:9" ht="15" customHeight="1">
      <c r="A74" s="80">
        <v>2017</v>
      </c>
      <c r="B74" s="81">
        <f t="shared" si="7"/>
        <v>40693</v>
      </c>
      <c r="C74" s="82">
        <f t="shared" si="5"/>
        <v>29</v>
      </c>
      <c r="D74" s="69"/>
      <c r="E74" s="69"/>
      <c r="F74" s="69"/>
      <c r="G74" s="69"/>
      <c r="H74" s="69"/>
      <c r="I74" s="70">
        <f t="shared" si="4"/>
        <v>40692.639097744352</v>
      </c>
    </row>
    <row r="75" spans="1:9" ht="15" customHeight="1">
      <c r="A75" s="80">
        <v>2018</v>
      </c>
      <c r="B75" s="81">
        <f t="shared" si="7"/>
        <v>41584</v>
      </c>
      <c r="C75" s="82">
        <f t="shared" si="5"/>
        <v>30</v>
      </c>
      <c r="D75" s="69"/>
      <c r="E75" s="69"/>
      <c r="F75" s="69"/>
      <c r="G75" s="69"/>
      <c r="H75" s="69"/>
      <c r="I75" s="70">
        <f t="shared" si="4"/>
        <v>41583.87443609022</v>
      </c>
    </row>
    <row r="76" spans="1:9" ht="15" customHeight="1">
      <c r="A76" s="80">
        <v>2019</v>
      </c>
      <c r="B76" s="81">
        <f t="shared" si="7"/>
        <v>42475</v>
      </c>
      <c r="C76" s="82">
        <f t="shared" si="5"/>
        <v>31</v>
      </c>
      <c r="D76" s="69"/>
      <c r="E76" s="69"/>
      <c r="F76" s="69"/>
      <c r="G76" s="69"/>
      <c r="H76" s="69"/>
      <c r="I76" s="70">
        <f t="shared" si="4"/>
        <v>42475.109774436081</v>
      </c>
    </row>
    <row r="77" spans="1:9" ht="15" customHeight="1">
      <c r="A77" s="80">
        <v>2020</v>
      </c>
      <c r="B77" s="81">
        <f t="shared" si="7"/>
        <v>43366</v>
      </c>
      <c r="C77" s="82">
        <f t="shared" si="5"/>
        <v>32</v>
      </c>
      <c r="D77" s="69"/>
      <c r="E77" s="69"/>
      <c r="F77" s="69"/>
      <c r="G77" s="69"/>
      <c r="H77" s="69"/>
      <c r="I77" s="70">
        <f t="shared" si="4"/>
        <v>43366.34511278195</v>
      </c>
    </row>
    <row r="78" spans="1:9" ht="15" customHeight="1">
      <c r="A78" s="80">
        <v>2021</v>
      </c>
      <c r="B78" s="81">
        <f t="shared" si="7"/>
        <v>44258</v>
      </c>
      <c r="C78" s="82">
        <f t="shared" si="5"/>
        <v>33</v>
      </c>
      <c r="D78" s="69"/>
      <c r="E78" s="69"/>
      <c r="F78" s="69"/>
      <c r="G78" s="69"/>
      <c r="H78" s="69"/>
      <c r="I78" s="70">
        <f t="shared" si="4"/>
        <v>44257.580451127811</v>
      </c>
    </row>
    <row r="79" spans="1:9" ht="15" customHeight="1">
      <c r="A79" s="80">
        <v>2022</v>
      </c>
      <c r="B79" s="81">
        <f t="shared" si="7"/>
        <v>45149</v>
      </c>
      <c r="C79" s="82">
        <f t="shared" si="5"/>
        <v>34</v>
      </c>
      <c r="D79" s="69"/>
      <c r="E79" s="69"/>
      <c r="F79" s="69"/>
      <c r="G79" s="69"/>
      <c r="H79" s="69"/>
      <c r="I79" s="70">
        <f t="shared" si="4"/>
        <v>45148.81578947368</v>
      </c>
    </row>
    <row r="80" spans="1:9" ht="15" customHeight="1">
      <c r="A80" s="80">
        <v>2023</v>
      </c>
      <c r="B80" s="81">
        <f t="shared" si="7"/>
        <v>46040</v>
      </c>
      <c r="C80" s="82">
        <f t="shared" si="5"/>
        <v>35</v>
      </c>
      <c r="D80" s="69"/>
      <c r="E80" s="69"/>
      <c r="F80" s="69"/>
      <c r="G80" s="69"/>
      <c r="H80" s="69"/>
      <c r="I80" s="70">
        <f t="shared" si="4"/>
        <v>46040.051127819541</v>
      </c>
    </row>
    <row r="81" spans="1:11" ht="15" customHeight="1">
      <c r="A81" s="80">
        <v>2024</v>
      </c>
      <c r="B81" s="81">
        <f t="shared" si="7"/>
        <v>46931</v>
      </c>
      <c r="C81" s="67">
        <f t="shared" si="5"/>
        <v>36</v>
      </c>
      <c r="D81" s="69"/>
      <c r="E81" s="69"/>
      <c r="F81" s="69"/>
      <c r="G81" s="69"/>
      <c r="H81" s="69"/>
      <c r="I81" s="70">
        <f t="shared" si="4"/>
        <v>46931.286466165409</v>
      </c>
    </row>
    <row r="82" spans="1:11" ht="15" customHeight="1">
      <c r="A82" s="85">
        <v>2025</v>
      </c>
      <c r="B82" s="86">
        <f t="shared" si="7"/>
        <v>47823</v>
      </c>
      <c r="C82" s="87">
        <f t="shared" si="5"/>
        <v>37</v>
      </c>
      <c r="D82" s="89"/>
      <c r="E82" s="89"/>
      <c r="F82" s="89"/>
      <c r="G82" s="89"/>
      <c r="H82" s="89"/>
      <c r="I82" s="91">
        <f t="shared" si="4"/>
        <v>47822.521804511271</v>
      </c>
    </row>
    <row r="83" spans="1:11" ht="15" customHeight="1">
      <c r="A83" s="56" t="s">
        <v>79</v>
      </c>
      <c r="B83" s="57"/>
    </row>
    <row r="84" spans="1:11" ht="15" customHeight="1">
      <c r="A84" s="58" t="s">
        <v>32</v>
      </c>
      <c r="B84" s="59" t="s">
        <v>40</v>
      </c>
      <c r="C84" s="59" t="s">
        <v>34</v>
      </c>
      <c r="D84" s="59" t="s">
        <v>33</v>
      </c>
      <c r="E84" s="103"/>
      <c r="F84" s="60"/>
      <c r="G84" s="61"/>
      <c r="H84" s="63" t="s">
        <v>104</v>
      </c>
      <c r="I84" s="64">
        <f>RSQ(I85:I105,B85:B105)</f>
        <v>0.51805109881592326</v>
      </c>
    </row>
    <row r="85" spans="1:11" ht="15" customHeight="1">
      <c r="A85" s="65">
        <f t="shared" ref="A85:B100" si="8">A5</f>
        <v>1988</v>
      </c>
      <c r="B85" s="104">
        <f t="shared" si="8"/>
        <v>9341</v>
      </c>
      <c r="C85" s="105">
        <f t="shared" ref="C85:C122" si="9">LN(B85)</f>
        <v>9.1421685918728492</v>
      </c>
      <c r="D85" s="67">
        <v>0</v>
      </c>
      <c r="E85" s="106" t="s">
        <v>37</v>
      </c>
      <c r="F85" s="73">
        <f>ROUND((B104/B85)^(1/D104)-1,5)</f>
        <v>5.8119999999999998E-2</v>
      </c>
      <c r="G85" s="107"/>
      <c r="H85" s="108"/>
      <c r="I85" s="109">
        <f t="shared" ref="I85:I122" si="10">ROUND($F$86*(1+$F$85)^(D85),1)</f>
        <v>9341</v>
      </c>
    </row>
    <row r="86" spans="1:11" ht="15" customHeight="1">
      <c r="A86" s="65">
        <f t="shared" si="8"/>
        <v>1989</v>
      </c>
      <c r="B86" s="104">
        <f t="shared" si="8"/>
        <v>9501</v>
      </c>
      <c r="C86" s="105">
        <f t="shared" si="9"/>
        <v>9.1591523352067501</v>
      </c>
      <c r="D86" s="67">
        <f t="shared" ref="D86:D122" si="11">D85+1</f>
        <v>1</v>
      </c>
      <c r="E86" s="106" t="s">
        <v>80</v>
      </c>
      <c r="F86" s="110">
        <f>B85</f>
        <v>9341</v>
      </c>
      <c r="G86" s="107"/>
      <c r="H86" s="108"/>
      <c r="I86" s="109">
        <f t="shared" si="10"/>
        <v>9883.9</v>
      </c>
      <c r="K86" s="111"/>
    </row>
    <row r="87" spans="1:11" ht="15" customHeight="1">
      <c r="A87" s="65">
        <f t="shared" si="8"/>
        <v>1990</v>
      </c>
      <c r="B87" s="104">
        <f t="shared" si="8"/>
        <v>11719</v>
      </c>
      <c r="C87" s="105">
        <f t="shared" si="9"/>
        <v>9.3689667352586028</v>
      </c>
      <c r="D87" s="67">
        <f t="shared" si="11"/>
        <v>2</v>
      </c>
      <c r="E87" s="106" t="s">
        <v>77</v>
      </c>
      <c r="F87" s="73">
        <f>I84</f>
        <v>0.51805109881592326</v>
      </c>
      <c r="G87" s="108"/>
      <c r="H87" s="108"/>
      <c r="I87" s="109">
        <f t="shared" si="10"/>
        <v>10458.4</v>
      </c>
    </row>
    <row r="88" spans="1:11" ht="15" customHeight="1">
      <c r="A88" s="65">
        <f t="shared" si="8"/>
        <v>1991</v>
      </c>
      <c r="B88" s="104">
        <f t="shared" si="8"/>
        <v>15093</v>
      </c>
      <c r="C88" s="105">
        <f t="shared" si="9"/>
        <v>9.6219863391594274</v>
      </c>
      <c r="D88" s="67">
        <f t="shared" si="11"/>
        <v>3</v>
      </c>
      <c r="E88" s="106"/>
      <c r="F88" s="73"/>
      <c r="G88" s="108"/>
      <c r="H88" s="108"/>
      <c r="I88" s="109">
        <f t="shared" si="10"/>
        <v>11066.2</v>
      </c>
    </row>
    <row r="89" spans="1:11" ht="15" customHeight="1">
      <c r="A89" s="65">
        <f t="shared" si="8"/>
        <v>1992</v>
      </c>
      <c r="B89" s="104">
        <f t="shared" si="8"/>
        <v>19308</v>
      </c>
      <c r="C89" s="105">
        <f t="shared" si="9"/>
        <v>9.8682747967803834</v>
      </c>
      <c r="D89" s="67">
        <f t="shared" si="11"/>
        <v>4</v>
      </c>
      <c r="E89" s="106" t="s">
        <v>81</v>
      </c>
      <c r="F89" s="72"/>
      <c r="G89" s="108"/>
      <c r="H89" s="108"/>
      <c r="I89" s="109">
        <f t="shared" si="10"/>
        <v>11709.4</v>
      </c>
    </row>
    <row r="90" spans="1:11" ht="15" customHeight="1">
      <c r="A90" s="65">
        <f t="shared" si="8"/>
        <v>1993</v>
      </c>
      <c r="B90" s="104">
        <f t="shared" si="8"/>
        <v>22194</v>
      </c>
      <c r="C90" s="105">
        <f t="shared" si="9"/>
        <v>10.00757726106051</v>
      </c>
      <c r="D90" s="67">
        <f t="shared" si="11"/>
        <v>5</v>
      </c>
      <c r="E90" s="112"/>
      <c r="F90" s="113"/>
      <c r="G90" s="108"/>
      <c r="H90" s="108"/>
      <c r="I90" s="109">
        <f t="shared" si="10"/>
        <v>12389.9</v>
      </c>
    </row>
    <row r="91" spans="1:11" ht="15" customHeight="1">
      <c r="A91" s="65">
        <f t="shared" si="8"/>
        <v>1994</v>
      </c>
      <c r="B91" s="104">
        <f t="shared" si="8"/>
        <v>24956</v>
      </c>
      <c r="C91" s="105">
        <f t="shared" si="9"/>
        <v>10.124869553230678</v>
      </c>
      <c r="D91" s="67">
        <f t="shared" si="11"/>
        <v>6</v>
      </c>
      <c r="E91" s="114"/>
      <c r="F91" s="113"/>
      <c r="G91" s="108"/>
      <c r="H91" s="108"/>
      <c r="I91" s="109">
        <f t="shared" si="10"/>
        <v>13110</v>
      </c>
    </row>
    <row r="92" spans="1:11" ht="15" customHeight="1">
      <c r="A92" s="65">
        <f t="shared" si="8"/>
        <v>1995</v>
      </c>
      <c r="B92" s="104">
        <f t="shared" si="8"/>
        <v>25717</v>
      </c>
      <c r="C92" s="105">
        <f t="shared" si="9"/>
        <v>10.154907530801994</v>
      </c>
      <c r="D92" s="67">
        <f t="shared" si="11"/>
        <v>7</v>
      </c>
      <c r="E92" s="114"/>
      <c r="F92" s="113"/>
      <c r="G92" s="108"/>
      <c r="H92" s="108"/>
      <c r="I92" s="109">
        <f t="shared" si="10"/>
        <v>13872</v>
      </c>
    </row>
    <row r="93" spans="1:11" ht="15" customHeight="1">
      <c r="A93" s="65">
        <f t="shared" si="8"/>
        <v>1996</v>
      </c>
      <c r="B93" s="104">
        <f t="shared" si="8"/>
        <v>27066</v>
      </c>
      <c r="C93" s="105">
        <f t="shared" si="9"/>
        <v>10.206033606636451</v>
      </c>
      <c r="D93" s="67">
        <f t="shared" si="11"/>
        <v>8</v>
      </c>
      <c r="E93" s="108"/>
      <c r="F93" s="108"/>
      <c r="G93" s="115"/>
      <c r="H93" s="108"/>
      <c r="I93" s="109">
        <f t="shared" si="10"/>
        <v>14678.2</v>
      </c>
    </row>
    <row r="94" spans="1:11" ht="15" customHeight="1">
      <c r="A94" s="65">
        <f t="shared" si="8"/>
        <v>1997</v>
      </c>
      <c r="B94" s="104">
        <f t="shared" si="8"/>
        <v>27986</v>
      </c>
      <c r="C94" s="105">
        <f t="shared" si="9"/>
        <v>10.239459664115659</v>
      </c>
      <c r="D94" s="67">
        <f t="shared" si="11"/>
        <v>9</v>
      </c>
      <c r="E94" s="108"/>
      <c r="F94" s="108"/>
      <c r="G94" s="115"/>
      <c r="H94" s="108"/>
      <c r="I94" s="109">
        <f t="shared" si="10"/>
        <v>15531.3</v>
      </c>
    </row>
    <row r="95" spans="1:11" ht="15" customHeight="1">
      <c r="A95" s="65">
        <f t="shared" si="8"/>
        <v>1998</v>
      </c>
      <c r="B95" s="104">
        <f t="shared" si="8"/>
        <v>28065</v>
      </c>
      <c r="C95" s="105">
        <f t="shared" si="9"/>
        <v>10.2422785273763</v>
      </c>
      <c r="D95" s="67">
        <f t="shared" si="11"/>
        <v>10</v>
      </c>
      <c r="E95" s="108"/>
      <c r="F95" s="108"/>
      <c r="G95" s="115"/>
      <c r="H95" s="108"/>
      <c r="I95" s="109">
        <f t="shared" si="10"/>
        <v>16434</v>
      </c>
    </row>
    <row r="96" spans="1:11" ht="15" customHeight="1">
      <c r="A96" s="65">
        <f t="shared" si="8"/>
        <v>1999</v>
      </c>
      <c r="B96" s="104">
        <f t="shared" si="8"/>
        <v>27645</v>
      </c>
      <c r="C96" s="105">
        <f t="shared" si="9"/>
        <v>10.227200158772034</v>
      </c>
      <c r="D96" s="67">
        <f t="shared" si="11"/>
        <v>11</v>
      </c>
      <c r="E96" s="108"/>
      <c r="F96" s="108"/>
      <c r="G96" s="115"/>
      <c r="H96" s="108"/>
      <c r="I96" s="109">
        <f t="shared" si="10"/>
        <v>17389.099999999999</v>
      </c>
    </row>
    <row r="97" spans="1:9" ht="15" customHeight="1">
      <c r="A97" s="65">
        <f t="shared" si="8"/>
        <v>2000</v>
      </c>
      <c r="B97" s="104">
        <f t="shared" si="8"/>
        <v>27936</v>
      </c>
      <c r="C97" s="105">
        <f t="shared" si="9"/>
        <v>10.237671458639328</v>
      </c>
      <c r="D97" s="67">
        <f t="shared" si="11"/>
        <v>12</v>
      </c>
      <c r="E97" s="108"/>
      <c r="F97" s="108"/>
      <c r="G97" s="115"/>
      <c r="H97" s="108"/>
      <c r="I97" s="109">
        <f t="shared" si="10"/>
        <v>18399.8</v>
      </c>
    </row>
    <row r="98" spans="1:9" ht="15" customHeight="1">
      <c r="A98" s="65">
        <f t="shared" si="8"/>
        <v>2001</v>
      </c>
      <c r="B98" s="104">
        <f t="shared" si="8"/>
        <v>27280</v>
      </c>
      <c r="C98" s="105">
        <f t="shared" si="9"/>
        <v>10.213909111957399</v>
      </c>
      <c r="D98" s="67">
        <f t="shared" si="11"/>
        <v>13</v>
      </c>
      <c r="E98" s="108"/>
      <c r="F98" s="108"/>
      <c r="G98" s="115"/>
      <c r="H98" s="108"/>
      <c r="I98" s="109">
        <f t="shared" si="10"/>
        <v>19469.2</v>
      </c>
    </row>
    <row r="99" spans="1:9" ht="15" customHeight="1">
      <c r="A99" s="65">
        <f t="shared" si="8"/>
        <v>2002</v>
      </c>
      <c r="B99" s="104">
        <f t="shared" si="8"/>
        <v>26476</v>
      </c>
      <c r="C99" s="105">
        <f t="shared" si="9"/>
        <v>10.183993941238814</v>
      </c>
      <c r="D99" s="67">
        <f t="shared" si="11"/>
        <v>14</v>
      </c>
      <c r="E99" s="108"/>
      <c r="F99" s="108"/>
      <c r="G99" s="115"/>
      <c r="H99" s="108"/>
      <c r="I99" s="109">
        <f t="shared" si="10"/>
        <v>20600.7</v>
      </c>
    </row>
    <row r="100" spans="1:9" ht="15" customHeight="1">
      <c r="A100" s="65">
        <f t="shared" si="8"/>
        <v>2003</v>
      </c>
      <c r="B100" s="104">
        <f t="shared" si="8"/>
        <v>27113</v>
      </c>
      <c r="C100" s="105">
        <f t="shared" si="9"/>
        <v>10.207768596643277</v>
      </c>
      <c r="D100" s="67">
        <f t="shared" si="11"/>
        <v>15</v>
      </c>
      <c r="E100" s="108"/>
      <c r="F100" s="108"/>
      <c r="G100" s="115"/>
      <c r="H100" s="108"/>
      <c r="I100" s="109">
        <f t="shared" si="10"/>
        <v>21798</v>
      </c>
    </row>
    <row r="101" spans="1:9" ht="15" customHeight="1">
      <c r="A101" s="65">
        <f t="shared" ref="A101:B105" si="12">A21</f>
        <v>2004</v>
      </c>
      <c r="B101" s="104">
        <f t="shared" si="12"/>
        <v>27168</v>
      </c>
      <c r="C101" s="105">
        <f t="shared" si="9"/>
        <v>10.209795089111074</v>
      </c>
      <c r="D101" s="67">
        <f t="shared" si="11"/>
        <v>16</v>
      </c>
      <c r="E101" s="108"/>
      <c r="F101" s="108"/>
      <c r="G101" s="115"/>
      <c r="H101" s="108"/>
      <c r="I101" s="109">
        <f t="shared" si="10"/>
        <v>23064.9</v>
      </c>
    </row>
    <row r="102" spans="1:9" ht="15" customHeight="1">
      <c r="A102" s="65">
        <f t="shared" si="12"/>
        <v>2005</v>
      </c>
      <c r="B102" s="104">
        <f t="shared" si="12"/>
        <v>27044</v>
      </c>
      <c r="C102" s="105">
        <f t="shared" si="9"/>
        <v>10.205220448210568</v>
      </c>
      <c r="D102" s="67">
        <f t="shared" si="11"/>
        <v>17</v>
      </c>
      <c r="E102" s="108"/>
      <c r="F102" s="108"/>
      <c r="G102" s="115"/>
      <c r="H102" s="108"/>
      <c r="I102" s="109">
        <f t="shared" si="10"/>
        <v>24405.5</v>
      </c>
    </row>
    <row r="103" spans="1:9" ht="15" customHeight="1">
      <c r="A103" s="65">
        <f t="shared" si="12"/>
        <v>2006</v>
      </c>
      <c r="B103" s="104">
        <f t="shared" si="12"/>
        <v>27340</v>
      </c>
      <c r="C103" s="105">
        <f t="shared" si="9"/>
        <v>10.216106110277941</v>
      </c>
      <c r="D103" s="67">
        <f t="shared" si="11"/>
        <v>18</v>
      </c>
      <c r="E103" s="108"/>
      <c r="F103" s="108"/>
      <c r="G103" s="115"/>
      <c r="H103" s="108"/>
      <c r="I103" s="109">
        <f t="shared" si="10"/>
        <v>25823.9</v>
      </c>
    </row>
    <row r="104" spans="1:9" ht="15" customHeight="1" thickBot="1">
      <c r="A104" s="65">
        <f t="shared" si="12"/>
        <v>2007</v>
      </c>
      <c r="B104" s="104">
        <f t="shared" si="12"/>
        <v>27323</v>
      </c>
      <c r="C104" s="105">
        <f t="shared" si="9"/>
        <v>10.215484117319336</v>
      </c>
      <c r="D104" s="67">
        <f t="shared" si="11"/>
        <v>19</v>
      </c>
      <c r="E104" s="108"/>
      <c r="F104" s="108"/>
      <c r="G104" s="115"/>
      <c r="H104" s="108"/>
      <c r="I104" s="109">
        <f t="shared" si="10"/>
        <v>27324.799999999999</v>
      </c>
    </row>
    <row r="105" spans="1:9" ht="15" customHeight="1" thickTop="1">
      <c r="A105" s="255">
        <f t="shared" si="12"/>
        <v>2008</v>
      </c>
      <c r="B105" s="76">
        <f t="shared" ref="B105:B122" si="13">ROUND(F$86*(1+F$85)^D105,0)</f>
        <v>28913</v>
      </c>
      <c r="C105" s="121">
        <f t="shared" si="9"/>
        <v>10.272046599948313</v>
      </c>
      <c r="D105" s="77">
        <f t="shared" si="11"/>
        <v>20</v>
      </c>
      <c r="E105" s="259"/>
      <c r="F105" s="259"/>
      <c r="G105" s="260"/>
      <c r="H105" s="259"/>
      <c r="I105" s="123">
        <f t="shared" si="10"/>
        <v>28912.9</v>
      </c>
    </row>
    <row r="106" spans="1:9" ht="15" customHeight="1">
      <c r="A106" s="80">
        <v>2009</v>
      </c>
      <c r="B106" s="81">
        <f t="shared" si="13"/>
        <v>30593</v>
      </c>
      <c r="C106" s="105">
        <f t="shared" si="9"/>
        <v>10.328526503601397</v>
      </c>
      <c r="D106" s="67">
        <f t="shared" si="11"/>
        <v>21</v>
      </c>
      <c r="E106" s="83"/>
      <c r="F106" s="69"/>
      <c r="G106" s="69"/>
      <c r="H106" s="69"/>
      <c r="I106" s="109">
        <f t="shared" si="10"/>
        <v>30593.3</v>
      </c>
    </row>
    <row r="107" spans="1:9" ht="15" customHeight="1">
      <c r="A107" s="80">
        <v>2010</v>
      </c>
      <c r="B107" s="81">
        <f t="shared" si="13"/>
        <v>32371</v>
      </c>
      <c r="C107" s="105">
        <f t="shared" si="9"/>
        <v>10.385018239245094</v>
      </c>
      <c r="D107" s="67">
        <f t="shared" si="11"/>
        <v>22</v>
      </c>
      <c r="E107" s="83"/>
      <c r="F107" s="69"/>
      <c r="G107" s="69"/>
      <c r="H107" s="69"/>
      <c r="I107" s="109">
        <f t="shared" si="10"/>
        <v>32371.4</v>
      </c>
    </row>
    <row r="108" spans="1:9" ht="15" customHeight="1">
      <c r="A108" s="80">
        <v>2011</v>
      </c>
      <c r="B108" s="81">
        <f t="shared" si="13"/>
        <v>34253</v>
      </c>
      <c r="C108" s="105">
        <f t="shared" si="9"/>
        <v>10.441529431095358</v>
      </c>
      <c r="D108" s="67">
        <f t="shared" si="11"/>
        <v>23</v>
      </c>
      <c r="E108" s="83"/>
      <c r="F108" s="69"/>
      <c r="G108" s="69"/>
      <c r="H108" s="69"/>
      <c r="I108" s="109">
        <f t="shared" si="10"/>
        <v>34252.800000000003</v>
      </c>
    </row>
    <row r="109" spans="1:9" ht="15" customHeight="1">
      <c r="A109" s="80">
        <v>2012</v>
      </c>
      <c r="B109" s="81">
        <f t="shared" si="13"/>
        <v>36244</v>
      </c>
      <c r="C109" s="105">
        <f t="shared" si="9"/>
        <v>10.498029129341951</v>
      </c>
      <c r="D109" s="67">
        <f t="shared" si="11"/>
        <v>24</v>
      </c>
      <c r="E109" s="83"/>
      <c r="F109" s="69"/>
      <c r="G109" s="69"/>
      <c r="H109" s="69"/>
      <c r="I109" s="109">
        <f t="shared" si="10"/>
        <v>36243.599999999999</v>
      </c>
    </row>
    <row r="110" spans="1:9" ht="15" customHeight="1">
      <c r="A110" s="80">
        <v>2013</v>
      </c>
      <c r="B110" s="81">
        <f t="shared" si="13"/>
        <v>38350</v>
      </c>
      <c r="C110" s="105">
        <f t="shared" si="9"/>
        <v>10.554509806795402</v>
      </c>
      <c r="D110" s="67">
        <f t="shared" si="11"/>
        <v>25</v>
      </c>
      <c r="E110" s="83"/>
      <c r="F110" s="69"/>
      <c r="G110" s="69"/>
      <c r="H110" s="69"/>
      <c r="I110" s="109">
        <f t="shared" si="10"/>
        <v>38350.1</v>
      </c>
    </row>
    <row r="111" spans="1:9" ht="15" customHeight="1">
      <c r="A111" s="80">
        <v>2014</v>
      </c>
      <c r="B111" s="81">
        <f t="shared" si="13"/>
        <v>40579</v>
      </c>
      <c r="C111" s="105">
        <f t="shared" si="9"/>
        <v>10.611005970395047</v>
      </c>
      <c r="D111" s="67">
        <f t="shared" si="11"/>
        <v>26</v>
      </c>
      <c r="E111" s="83"/>
      <c r="F111" s="69"/>
      <c r="G111" s="69"/>
      <c r="H111" s="69"/>
      <c r="I111" s="109">
        <f t="shared" si="10"/>
        <v>40579</v>
      </c>
    </row>
    <row r="112" spans="1:9" ht="15" customHeight="1">
      <c r="A112" s="80">
        <v>2015</v>
      </c>
      <c r="B112" s="81">
        <f t="shared" si="13"/>
        <v>42937</v>
      </c>
      <c r="C112" s="105">
        <f t="shared" si="9"/>
        <v>10.667489204064298</v>
      </c>
      <c r="D112" s="67">
        <f t="shared" si="11"/>
        <v>27</v>
      </c>
      <c r="E112" s="83"/>
      <c r="F112" s="69"/>
      <c r="G112" s="69"/>
      <c r="H112" s="69"/>
      <c r="I112" s="109">
        <f t="shared" si="10"/>
        <v>42937.5</v>
      </c>
    </row>
    <row r="113" spans="1:9" ht="15" customHeight="1">
      <c r="A113" s="80">
        <v>2016</v>
      </c>
      <c r="B113" s="81">
        <f t="shared" si="13"/>
        <v>45433</v>
      </c>
      <c r="C113" s="105">
        <f t="shared" si="9"/>
        <v>10.723993992232447</v>
      </c>
      <c r="D113" s="67">
        <f t="shared" si="11"/>
        <v>28</v>
      </c>
      <c r="E113" s="83"/>
      <c r="F113" s="69"/>
      <c r="G113" s="69"/>
      <c r="H113" s="69"/>
      <c r="I113" s="109">
        <f t="shared" si="10"/>
        <v>45433</v>
      </c>
    </row>
    <row r="114" spans="1:9" ht="15" customHeight="1">
      <c r="A114" s="80">
        <v>2017</v>
      </c>
      <c r="B114" s="81">
        <f t="shared" si="13"/>
        <v>48074</v>
      </c>
      <c r="C114" s="105">
        <f t="shared" si="9"/>
        <v>10.780496769408607</v>
      </c>
      <c r="D114" s="67">
        <f t="shared" si="11"/>
        <v>29</v>
      </c>
      <c r="E114" s="83"/>
      <c r="F114" s="69"/>
      <c r="G114" s="69"/>
      <c r="H114" s="69"/>
      <c r="I114" s="109">
        <f t="shared" si="10"/>
        <v>48073.5</v>
      </c>
    </row>
    <row r="115" spans="1:9" ht="15" customHeight="1">
      <c r="A115" s="80">
        <v>2018</v>
      </c>
      <c r="B115" s="81">
        <f t="shared" si="13"/>
        <v>50868</v>
      </c>
      <c r="C115" s="105">
        <f t="shared" si="9"/>
        <v>10.836989321140637</v>
      </c>
      <c r="D115" s="67">
        <f t="shared" si="11"/>
        <v>30</v>
      </c>
      <c r="E115" s="83"/>
      <c r="F115" s="69"/>
      <c r="G115" s="69"/>
      <c r="H115" s="69"/>
      <c r="I115" s="109">
        <f t="shared" si="10"/>
        <v>50867.6</v>
      </c>
    </row>
    <row r="116" spans="1:9" ht="15" customHeight="1">
      <c r="A116" s="80">
        <v>2019</v>
      </c>
      <c r="B116" s="81">
        <f t="shared" si="13"/>
        <v>53824</v>
      </c>
      <c r="C116" s="105">
        <f t="shared" si="9"/>
        <v>10.89347474333262</v>
      </c>
      <c r="D116" s="67">
        <f t="shared" si="11"/>
        <v>31</v>
      </c>
      <c r="E116" s="83"/>
      <c r="F116" s="69"/>
      <c r="G116" s="69"/>
      <c r="H116" s="69"/>
      <c r="I116" s="109">
        <f t="shared" si="10"/>
        <v>53824</v>
      </c>
    </row>
    <row r="117" spans="1:9" ht="15" customHeight="1">
      <c r="A117" s="80">
        <v>2020</v>
      </c>
      <c r="B117" s="81">
        <f t="shared" si="13"/>
        <v>56952</v>
      </c>
      <c r="C117" s="105">
        <f t="shared" si="9"/>
        <v>10.949964086783709</v>
      </c>
      <c r="D117" s="67">
        <f t="shared" si="11"/>
        <v>32</v>
      </c>
      <c r="E117" s="83"/>
      <c r="F117" s="69"/>
      <c r="G117" s="69"/>
      <c r="H117" s="69"/>
      <c r="I117" s="109">
        <f t="shared" si="10"/>
        <v>56952.3</v>
      </c>
    </row>
    <row r="118" spans="1:9" ht="15" customHeight="1">
      <c r="A118" s="80">
        <v>2021</v>
      </c>
      <c r="B118" s="81">
        <f t="shared" si="13"/>
        <v>60262</v>
      </c>
      <c r="C118" s="105">
        <f t="shared" si="9"/>
        <v>11.006457001645646</v>
      </c>
      <c r="D118" s="67">
        <f t="shared" si="11"/>
        <v>33</v>
      </c>
      <c r="E118" s="83"/>
      <c r="F118" s="69"/>
      <c r="G118" s="69"/>
      <c r="H118" s="69"/>
      <c r="I118" s="109">
        <f t="shared" si="10"/>
        <v>60262.3</v>
      </c>
    </row>
    <row r="119" spans="1:9" ht="15" customHeight="1">
      <c r="A119" s="80">
        <v>2022</v>
      </c>
      <c r="B119" s="81">
        <f t="shared" si="13"/>
        <v>63765</v>
      </c>
      <c r="C119" s="105">
        <f t="shared" si="9"/>
        <v>11.062959729460999</v>
      </c>
      <c r="D119" s="67">
        <f t="shared" si="11"/>
        <v>34</v>
      </c>
      <c r="E119" s="83"/>
      <c r="F119" s="69"/>
      <c r="G119" s="69"/>
      <c r="H119" s="69"/>
      <c r="I119" s="109">
        <f t="shared" si="10"/>
        <v>63764.800000000003</v>
      </c>
    </row>
    <row r="120" spans="1:9" ht="15" customHeight="1">
      <c r="A120" s="80">
        <v>2023</v>
      </c>
      <c r="B120" s="81">
        <f t="shared" si="13"/>
        <v>67471</v>
      </c>
      <c r="C120" s="105">
        <f t="shared" si="9"/>
        <v>11.119453154913741</v>
      </c>
      <c r="D120" s="67">
        <f t="shared" si="11"/>
        <v>35</v>
      </c>
      <c r="E120" s="83"/>
      <c r="F120" s="69"/>
      <c r="G120" s="69"/>
      <c r="H120" s="69"/>
      <c r="I120" s="109">
        <f t="shared" si="10"/>
        <v>67470.8</v>
      </c>
    </row>
    <row r="121" spans="1:9" ht="15" customHeight="1">
      <c r="A121" s="80">
        <v>2024</v>
      </c>
      <c r="B121" s="81">
        <f t="shared" si="13"/>
        <v>71392</v>
      </c>
      <c r="C121" s="105">
        <f t="shared" si="9"/>
        <v>11.175941097232259</v>
      </c>
      <c r="D121" s="67">
        <f t="shared" si="11"/>
        <v>36</v>
      </c>
      <c r="E121" s="69"/>
      <c r="F121" s="69"/>
      <c r="G121" s="69"/>
      <c r="H121" s="69"/>
      <c r="I121" s="109">
        <f t="shared" si="10"/>
        <v>71392.2</v>
      </c>
    </row>
    <row r="122" spans="1:9" ht="15" customHeight="1">
      <c r="A122" s="85">
        <v>2025</v>
      </c>
      <c r="B122" s="86">
        <f t="shared" si="13"/>
        <v>75541</v>
      </c>
      <c r="C122" s="124">
        <f t="shared" si="9"/>
        <v>11.232430834198418</v>
      </c>
      <c r="D122" s="87">
        <f t="shared" si="11"/>
        <v>37</v>
      </c>
      <c r="E122" s="89"/>
      <c r="F122" s="89"/>
      <c r="G122" s="89"/>
      <c r="H122" s="89"/>
      <c r="I122" s="125">
        <f t="shared" si="10"/>
        <v>75541.5</v>
      </c>
    </row>
    <row r="123" spans="1:9" ht="15" customHeight="1">
      <c r="A123" s="56" t="s">
        <v>82</v>
      </c>
      <c r="B123" s="57"/>
    </row>
    <row r="124" spans="1:9" ht="15" customHeight="1">
      <c r="A124" s="58" t="s">
        <v>32</v>
      </c>
      <c r="B124" s="59" t="s">
        <v>40</v>
      </c>
      <c r="C124" s="59" t="s">
        <v>83</v>
      </c>
      <c r="D124" s="59" t="s">
        <v>33</v>
      </c>
      <c r="E124" s="59" t="s">
        <v>35</v>
      </c>
      <c r="F124" s="103"/>
      <c r="G124" s="60"/>
      <c r="H124" s="63" t="s">
        <v>104</v>
      </c>
      <c r="I124" s="64">
        <f>RSQ(I125:I144,B125:B144)</f>
        <v>0.5832560327984162</v>
      </c>
    </row>
    <row r="125" spans="1:9" ht="15" customHeight="1">
      <c r="A125" s="65">
        <f t="shared" ref="A125:B140" si="14">A5</f>
        <v>1988</v>
      </c>
      <c r="B125" s="104">
        <f t="shared" si="14"/>
        <v>9341</v>
      </c>
      <c r="C125" s="126"/>
      <c r="D125" s="67">
        <v>0</v>
      </c>
      <c r="E125" s="67"/>
      <c r="F125" s="106" t="s">
        <v>75</v>
      </c>
      <c r="G125" s="73">
        <f>INDEX(LINEST(C126:C144,E126:E144),1)</f>
        <v>1.2151233773366927</v>
      </c>
      <c r="H125" s="127"/>
      <c r="I125" s="128">
        <f t="shared" ref="I125:I162" si="15">$B$125+$G$129*D125^$G$125</f>
        <v>9341</v>
      </c>
    </row>
    <row r="126" spans="1:9" ht="15" customHeight="1">
      <c r="A126" s="65">
        <f t="shared" si="14"/>
        <v>1989</v>
      </c>
      <c r="B126" s="104">
        <f t="shared" si="14"/>
        <v>9501</v>
      </c>
      <c r="C126" s="126">
        <f t="shared" ref="C126:C144" si="16">LN(-B$125+B126)</f>
        <v>5.0751738152338266</v>
      </c>
      <c r="D126" s="67">
        <f t="shared" ref="D126:D162" si="17">D125+1</f>
        <v>1</v>
      </c>
      <c r="E126" s="67">
        <f t="shared" ref="E126:E144" si="18">LN(D126)</f>
        <v>0</v>
      </c>
      <c r="F126" s="106" t="s">
        <v>76</v>
      </c>
      <c r="G126" s="73">
        <f>INDEX(LINEST(C126:C144,E126:E144),2)</f>
        <v>6.8065737780775795</v>
      </c>
      <c r="H126" s="129" t="s">
        <v>84</v>
      </c>
      <c r="I126" s="128">
        <f t="shared" si="15"/>
        <v>10244.768983110778</v>
      </c>
    </row>
    <row r="127" spans="1:9" ht="15" customHeight="1">
      <c r="A127" s="65">
        <f t="shared" si="14"/>
        <v>1990</v>
      </c>
      <c r="B127" s="104">
        <f t="shared" si="14"/>
        <v>11719</v>
      </c>
      <c r="C127" s="126">
        <f t="shared" si="16"/>
        <v>7.774015077250727</v>
      </c>
      <c r="D127" s="67">
        <f t="shared" si="17"/>
        <v>2</v>
      </c>
      <c r="E127" s="67">
        <f t="shared" si="18"/>
        <v>0.69314718055994529</v>
      </c>
      <c r="F127" s="69"/>
      <c r="G127" s="130"/>
      <c r="H127" s="127"/>
      <c r="I127" s="128">
        <f t="shared" si="15"/>
        <v>11439.195819998662</v>
      </c>
    </row>
    <row r="128" spans="1:9" ht="15" customHeight="1">
      <c r="A128" s="65">
        <f t="shared" si="14"/>
        <v>1991</v>
      </c>
      <c r="B128" s="104">
        <f t="shared" si="14"/>
        <v>15093</v>
      </c>
      <c r="C128" s="126">
        <f t="shared" si="16"/>
        <v>8.6573028994008823</v>
      </c>
      <c r="D128" s="67">
        <f t="shared" si="17"/>
        <v>3</v>
      </c>
      <c r="E128" s="67">
        <f t="shared" si="18"/>
        <v>1.0986122886681098</v>
      </c>
      <c r="F128" s="106" t="s">
        <v>77</v>
      </c>
      <c r="G128" s="73">
        <f>I124</f>
        <v>0.5832560327984162</v>
      </c>
      <c r="H128" s="127"/>
      <c r="I128" s="128">
        <f t="shared" si="15"/>
        <v>12775.14495635501</v>
      </c>
    </row>
    <row r="129" spans="1:9" ht="15" customHeight="1">
      <c r="A129" s="65">
        <f t="shared" si="14"/>
        <v>1992</v>
      </c>
      <c r="B129" s="104">
        <f t="shared" si="14"/>
        <v>19308</v>
      </c>
      <c r="C129" s="126">
        <f t="shared" si="16"/>
        <v>9.2070349149674566</v>
      </c>
      <c r="D129" s="67">
        <f t="shared" si="17"/>
        <v>4</v>
      </c>
      <c r="E129" s="67">
        <f t="shared" si="18"/>
        <v>1.3862943611198906</v>
      </c>
      <c r="F129" s="106" t="s">
        <v>38</v>
      </c>
      <c r="G129" s="131">
        <f>EXP(G126)</f>
        <v>903.76898311077741</v>
      </c>
      <c r="H129" s="127"/>
      <c r="I129" s="128">
        <f t="shared" si="15"/>
        <v>14212.184762179695</v>
      </c>
    </row>
    <row r="130" spans="1:9" ht="15" customHeight="1">
      <c r="A130" s="65">
        <f t="shared" si="14"/>
        <v>1993</v>
      </c>
      <c r="B130" s="104">
        <f t="shared" si="14"/>
        <v>22194</v>
      </c>
      <c r="C130" s="126">
        <f t="shared" si="16"/>
        <v>9.461332526110132</v>
      </c>
      <c r="D130" s="67">
        <f t="shared" si="17"/>
        <v>5</v>
      </c>
      <c r="E130" s="67">
        <f t="shared" si="18"/>
        <v>1.6094379124341003</v>
      </c>
      <c r="F130" s="106"/>
      <c r="G130" s="53"/>
      <c r="H130" s="127"/>
      <c r="I130" s="128">
        <f t="shared" si="15"/>
        <v>15729.401821116311</v>
      </c>
    </row>
    <row r="131" spans="1:9" ht="15" customHeight="1">
      <c r="A131" s="65">
        <f t="shared" si="14"/>
        <v>1994</v>
      </c>
      <c r="B131" s="104">
        <f t="shared" si="14"/>
        <v>24956</v>
      </c>
      <c r="C131" s="126">
        <f t="shared" si="16"/>
        <v>9.6559872697171798</v>
      </c>
      <c r="D131" s="67">
        <f t="shared" si="17"/>
        <v>6</v>
      </c>
      <c r="E131" s="67">
        <f t="shared" si="18"/>
        <v>1.791759469228055</v>
      </c>
      <c r="F131" s="106"/>
      <c r="G131" s="53"/>
      <c r="H131" s="127"/>
      <c r="I131" s="128">
        <f t="shared" si="15"/>
        <v>17313.732775019755</v>
      </c>
    </row>
    <row r="132" spans="1:9" ht="15" customHeight="1">
      <c r="A132" s="65">
        <f t="shared" si="14"/>
        <v>1995</v>
      </c>
      <c r="B132" s="104">
        <f t="shared" si="14"/>
        <v>25717</v>
      </c>
      <c r="C132" s="126">
        <f t="shared" si="16"/>
        <v>9.7035721273411255</v>
      </c>
      <c r="D132" s="67">
        <f t="shared" si="17"/>
        <v>7</v>
      </c>
      <c r="E132" s="67">
        <f t="shared" si="18"/>
        <v>1.9459101490553132</v>
      </c>
      <c r="F132" s="132" t="s">
        <v>85</v>
      </c>
      <c r="G132" s="53"/>
      <c r="H132" s="127"/>
      <c r="I132" s="128">
        <f t="shared" si="15"/>
        <v>18956.144537309865</v>
      </c>
    </row>
    <row r="133" spans="1:9" ht="15" customHeight="1">
      <c r="A133" s="65">
        <f t="shared" si="14"/>
        <v>1996</v>
      </c>
      <c r="B133" s="104">
        <f t="shared" si="14"/>
        <v>27066</v>
      </c>
      <c r="C133" s="126">
        <f t="shared" si="16"/>
        <v>9.7827313514003276</v>
      </c>
      <c r="D133" s="67">
        <f t="shared" si="17"/>
        <v>8</v>
      </c>
      <c r="E133" s="67">
        <f t="shared" si="18"/>
        <v>2.0794415416798357</v>
      </c>
      <c r="F133" s="132" t="s">
        <v>86</v>
      </c>
      <c r="G133" s="53"/>
      <c r="H133" s="127"/>
      <c r="I133" s="128">
        <f t="shared" si="15"/>
        <v>20649.973529127888</v>
      </c>
    </row>
    <row r="134" spans="1:9" ht="15" customHeight="1">
      <c r="A134" s="65">
        <f t="shared" si="14"/>
        <v>1997</v>
      </c>
      <c r="B134" s="104">
        <f t="shared" si="14"/>
        <v>27986</v>
      </c>
      <c r="C134" s="126">
        <f t="shared" si="16"/>
        <v>9.833333292612922</v>
      </c>
      <c r="D134" s="67">
        <f t="shared" si="17"/>
        <v>9</v>
      </c>
      <c r="E134" s="67">
        <f t="shared" si="18"/>
        <v>2.1972245773362196</v>
      </c>
      <c r="F134" s="132"/>
      <c r="G134" s="53"/>
      <c r="H134" s="127"/>
      <c r="I134" s="128">
        <f t="shared" si="15"/>
        <v>22390.07758691362</v>
      </c>
    </row>
    <row r="135" spans="1:9" ht="15" customHeight="1">
      <c r="A135" s="65">
        <f t="shared" si="14"/>
        <v>1998</v>
      </c>
      <c r="B135" s="104">
        <f t="shared" si="14"/>
        <v>28065</v>
      </c>
      <c r="C135" s="126">
        <f t="shared" si="16"/>
        <v>9.8375614024199614</v>
      </c>
      <c r="D135" s="67">
        <f t="shared" si="17"/>
        <v>10</v>
      </c>
      <c r="E135" s="67">
        <f t="shared" si="18"/>
        <v>2.3025850929940459</v>
      </c>
      <c r="F135" s="132"/>
      <c r="G135" s="53"/>
      <c r="H135" s="127"/>
      <c r="I135" s="128">
        <f t="shared" si="15"/>
        <v>24172.354304062359</v>
      </c>
    </row>
    <row r="136" spans="1:9" ht="15" customHeight="1">
      <c r="A136" s="65">
        <f t="shared" si="14"/>
        <v>1999</v>
      </c>
      <c r="B136" s="104">
        <f t="shared" si="14"/>
        <v>27645</v>
      </c>
      <c r="C136" s="126">
        <f t="shared" si="16"/>
        <v>9.8148748941795247</v>
      </c>
      <c r="D136" s="67">
        <f t="shared" si="17"/>
        <v>11</v>
      </c>
      <c r="E136" s="67">
        <f t="shared" si="18"/>
        <v>2.3978952727983707</v>
      </c>
      <c r="F136" s="132"/>
      <c r="G136" s="53"/>
      <c r="H136" s="127"/>
      <c r="I136" s="128">
        <f t="shared" si="15"/>
        <v>25993.445815728897</v>
      </c>
    </row>
    <row r="137" spans="1:9" ht="15" customHeight="1">
      <c r="A137" s="65">
        <f t="shared" si="14"/>
        <v>2000</v>
      </c>
      <c r="B137" s="104">
        <f t="shared" si="14"/>
        <v>27936</v>
      </c>
      <c r="C137" s="126">
        <f t="shared" si="16"/>
        <v>9.830648006359171</v>
      </c>
      <c r="D137" s="67">
        <f t="shared" si="17"/>
        <v>12</v>
      </c>
      <c r="E137" s="67">
        <f t="shared" si="18"/>
        <v>2.4849066497880004</v>
      </c>
      <c r="F137" s="132"/>
      <c r="G137" s="53"/>
      <c r="H137" s="127"/>
      <c r="I137" s="128">
        <f t="shared" si="15"/>
        <v>27850.547124458404</v>
      </c>
    </row>
    <row r="138" spans="1:9" ht="15" customHeight="1">
      <c r="A138" s="65">
        <f t="shared" si="14"/>
        <v>2001</v>
      </c>
      <c r="B138" s="104">
        <f t="shared" si="14"/>
        <v>27280</v>
      </c>
      <c r="C138" s="126">
        <f t="shared" si="16"/>
        <v>9.7947323926990908</v>
      </c>
      <c r="D138" s="67">
        <f t="shared" si="17"/>
        <v>13</v>
      </c>
      <c r="E138" s="67">
        <f t="shared" si="18"/>
        <v>2.5649493574615367</v>
      </c>
      <c r="F138" s="132"/>
      <c r="G138" s="53"/>
      <c r="H138" s="127"/>
      <c r="I138" s="128">
        <f t="shared" si="15"/>
        <v>29741.275895168517</v>
      </c>
    </row>
    <row r="139" spans="1:9" ht="15" customHeight="1">
      <c r="A139" s="65">
        <f t="shared" si="14"/>
        <v>2002</v>
      </c>
      <c r="B139" s="104">
        <f t="shared" si="14"/>
        <v>26476</v>
      </c>
      <c r="C139" s="126">
        <f t="shared" si="16"/>
        <v>9.7488784343087094</v>
      </c>
      <c r="D139" s="67">
        <f t="shared" si="17"/>
        <v>14</v>
      </c>
      <c r="E139" s="67">
        <f t="shared" si="18"/>
        <v>2.6390573296152584</v>
      </c>
      <c r="F139" s="132"/>
      <c r="G139" s="53"/>
      <c r="H139" s="127"/>
      <c r="I139" s="128">
        <f t="shared" si="15"/>
        <v>31663.580719052719</v>
      </c>
    </row>
    <row r="140" spans="1:9" ht="15" customHeight="1">
      <c r="A140" s="65">
        <f t="shared" si="14"/>
        <v>2003</v>
      </c>
      <c r="B140" s="104">
        <f t="shared" si="14"/>
        <v>27113</v>
      </c>
      <c r="C140" s="126">
        <f t="shared" si="16"/>
        <v>9.7853794640557989</v>
      </c>
      <c r="D140" s="67">
        <f t="shared" si="17"/>
        <v>15</v>
      </c>
      <c r="E140" s="67">
        <f t="shared" si="18"/>
        <v>2.7080502011022101</v>
      </c>
      <c r="F140" s="132"/>
      <c r="G140" s="53"/>
      <c r="H140" s="127"/>
      <c r="I140" s="128">
        <f t="shared" si="15"/>
        <v>33615.67450547222</v>
      </c>
    </row>
    <row r="141" spans="1:9" ht="15" customHeight="1">
      <c r="A141" s="65">
        <f t="shared" ref="A141:B145" si="19">A21</f>
        <v>2004</v>
      </c>
      <c r="B141" s="104">
        <f t="shared" si="19"/>
        <v>27168</v>
      </c>
      <c r="C141" s="126">
        <f t="shared" si="16"/>
        <v>9.7884694409518609</v>
      </c>
      <c r="D141" s="67">
        <f t="shared" si="17"/>
        <v>16</v>
      </c>
      <c r="E141" s="67">
        <f t="shared" si="18"/>
        <v>2.7725887222397811</v>
      </c>
      <c r="F141" s="132"/>
      <c r="G141" s="53"/>
      <c r="H141" s="127"/>
      <c r="I141" s="128">
        <f t="shared" si="15"/>
        <v>35595.984880780314</v>
      </c>
    </row>
    <row r="142" spans="1:9" ht="15" customHeight="1">
      <c r="A142" s="65">
        <f t="shared" si="19"/>
        <v>2005</v>
      </c>
      <c r="B142" s="104">
        <f t="shared" si="19"/>
        <v>27044</v>
      </c>
      <c r="C142" s="126">
        <f t="shared" si="16"/>
        <v>9.7814893957252789</v>
      </c>
      <c r="D142" s="67">
        <f t="shared" si="17"/>
        <v>17</v>
      </c>
      <c r="E142" s="67">
        <f t="shared" si="18"/>
        <v>2.8332133440562162</v>
      </c>
      <c r="F142" s="132"/>
      <c r="G142" s="53"/>
      <c r="H142" s="127"/>
      <c r="I142" s="128">
        <f t="shared" si="15"/>
        <v>37603.116447589367</v>
      </c>
    </row>
    <row r="143" spans="1:9" ht="15" customHeight="1">
      <c r="A143" s="65">
        <f t="shared" si="19"/>
        <v>2006</v>
      </c>
      <c r="B143" s="104">
        <f t="shared" si="19"/>
        <v>27340</v>
      </c>
      <c r="C143" s="126">
        <f t="shared" si="16"/>
        <v>9.7980714797794786</v>
      </c>
      <c r="D143" s="67">
        <f t="shared" si="17"/>
        <v>18</v>
      </c>
      <c r="E143" s="67">
        <f t="shared" si="18"/>
        <v>2.8903717578961645</v>
      </c>
      <c r="F143" s="132"/>
      <c r="G143" s="53"/>
      <c r="H143" s="127"/>
      <c r="I143" s="128">
        <f t="shared" si="15"/>
        <v>39635.821530010828</v>
      </c>
    </row>
    <row r="144" spans="1:9" ht="15" customHeight="1" thickBot="1">
      <c r="A144" s="97">
        <f t="shared" si="19"/>
        <v>2007</v>
      </c>
      <c r="B144" s="116">
        <f t="shared" si="19"/>
        <v>27323</v>
      </c>
      <c r="C144" s="141">
        <f t="shared" si="16"/>
        <v>9.7971265365447184</v>
      </c>
      <c r="D144" s="99">
        <f t="shared" si="17"/>
        <v>19</v>
      </c>
      <c r="E144" s="99">
        <f t="shared" si="18"/>
        <v>2.9444389791664403</v>
      </c>
      <c r="F144" s="182"/>
      <c r="G144" s="101"/>
      <c r="H144" s="143"/>
      <c r="I144" s="144">
        <f t="shared" si="15"/>
        <v>41692.977126623548</v>
      </c>
    </row>
    <row r="145" spans="1:9" ht="15" customHeight="1" thickTop="1">
      <c r="A145" s="255">
        <f t="shared" si="19"/>
        <v>2008</v>
      </c>
      <c r="B145" s="81">
        <f>ROUND(LOOKUP(0,D$125:D$144,B$125:B$144)+G$129*D144^G$125,0)</f>
        <v>41693</v>
      </c>
      <c r="C145" s="257"/>
      <c r="D145" s="77">
        <f t="shared" si="17"/>
        <v>20</v>
      </c>
      <c r="E145" s="77"/>
      <c r="F145" s="122"/>
      <c r="G145" s="78"/>
      <c r="H145" s="258"/>
      <c r="I145" s="133">
        <f t="shared" si="15"/>
        <v>43773.566493475744</v>
      </c>
    </row>
    <row r="146" spans="1:9" ht="15" customHeight="1">
      <c r="A146" s="80">
        <v>2009</v>
      </c>
      <c r="B146" s="81">
        <f>ROUND(LOOKUP(0,D$125:D$144,B$125:B$144)+G$129*D145^G$125,0)</f>
        <v>43774</v>
      </c>
      <c r="C146" s="134"/>
      <c r="D146" s="67">
        <f t="shared" si="17"/>
        <v>21</v>
      </c>
      <c r="E146" s="67"/>
      <c r="F146" s="83"/>
      <c r="G146" s="69"/>
      <c r="H146" s="84"/>
      <c r="I146" s="128">
        <f t="shared" si="15"/>
        <v>45876.664239961843</v>
      </c>
    </row>
    <row r="147" spans="1:9" ht="15" customHeight="1">
      <c r="A147" s="80">
        <v>2010</v>
      </c>
      <c r="B147" s="81">
        <f t="shared" ref="B147:B162" si="20">ROUND(LOOKUP(0,D$125:D$144,B$125:B$144)+G$129*D146^G$125,0)</f>
        <v>45877</v>
      </c>
      <c r="C147" s="134"/>
      <c r="D147" s="67">
        <f t="shared" si="17"/>
        <v>22</v>
      </c>
      <c r="E147" s="67"/>
      <c r="F147" s="83"/>
      <c r="G147" s="69"/>
      <c r="H147" s="84"/>
      <c r="I147" s="128">
        <f t="shared" si="15"/>
        <v>48001.42413079126</v>
      </c>
    </row>
    <row r="148" spans="1:9" ht="15" customHeight="1">
      <c r="A148" s="80">
        <v>2011</v>
      </c>
      <c r="B148" s="81">
        <f t="shared" si="20"/>
        <v>48001</v>
      </c>
      <c r="C148" s="134"/>
      <c r="D148" s="67">
        <f t="shared" si="17"/>
        <v>23</v>
      </c>
      <c r="E148" s="67"/>
      <c r="F148" s="83"/>
      <c r="G148" s="69"/>
      <c r="H148" s="84"/>
      <c r="I148" s="128">
        <f t="shared" si="15"/>
        <v>50147.06900110194</v>
      </c>
    </row>
    <row r="149" spans="1:9" ht="15" customHeight="1">
      <c r="A149" s="80">
        <v>2012</v>
      </c>
      <c r="B149" s="81">
        <f t="shared" si="20"/>
        <v>50147</v>
      </c>
      <c r="C149" s="134"/>
      <c r="D149" s="67">
        <f t="shared" si="17"/>
        <v>24</v>
      </c>
      <c r="E149" s="67"/>
      <c r="F149" s="83"/>
      <c r="G149" s="69"/>
      <c r="H149" s="84"/>
      <c r="I149" s="128">
        <f t="shared" si="15"/>
        <v>52312.882342023848</v>
      </c>
    </row>
    <row r="150" spans="1:9" ht="15" customHeight="1">
      <c r="A150" s="80">
        <v>2013</v>
      </c>
      <c r="B150" s="81">
        <f t="shared" si="20"/>
        <v>52313</v>
      </c>
      <c r="C150" s="134"/>
      <c r="D150" s="67">
        <f t="shared" si="17"/>
        <v>25</v>
      </c>
      <c r="E150" s="67"/>
      <c r="F150" s="83"/>
      <c r="G150" s="69"/>
      <c r="H150" s="84"/>
      <c r="I150" s="128">
        <f t="shared" si="15"/>
        <v>54498.201221453957</v>
      </c>
    </row>
    <row r="151" spans="1:9" ht="15" customHeight="1">
      <c r="A151" s="80">
        <v>2014</v>
      </c>
      <c r="B151" s="81">
        <f t="shared" si="20"/>
        <v>54498</v>
      </c>
      <c r="C151" s="134"/>
      <c r="D151" s="67">
        <f t="shared" si="17"/>
        <v>26</v>
      </c>
      <c r="E151" s="67"/>
      <c r="F151" s="83"/>
      <c r="G151" s="69"/>
      <c r="H151" s="84"/>
      <c r="I151" s="128">
        <f t="shared" si="15"/>
        <v>56702.410282892459</v>
      </c>
    </row>
    <row r="152" spans="1:9" ht="15" customHeight="1">
      <c r="A152" s="80">
        <v>2015</v>
      </c>
      <c r="B152" s="81">
        <f t="shared" si="20"/>
        <v>56702</v>
      </c>
      <c r="C152" s="134"/>
      <c r="D152" s="67">
        <f t="shared" si="17"/>
        <v>27</v>
      </c>
      <c r="E152" s="67"/>
      <c r="F152" s="83"/>
      <c r="G152" s="69"/>
      <c r="H152" s="84"/>
      <c r="I152" s="128">
        <f t="shared" si="15"/>
        <v>58924.93662276394</v>
      </c>
    </row>
    <row r="153" spans="1:9" ht="15" customHeight="1">
      <c r="A153" s="80">
        <v>2016</v>
      </c>
      <c r="B153" s="81">
        <f t="shared" si="20"/>
        <v>58925</v>
      </c>
      <c r="C153" s="134"/>
      <c r="D153" s="67">
        <f t="shared" si="17"/>
        <v>28</v>
      </c>
      <c r="E153" s="67"/>
      <c r="F153" s="83"/>
      <c r="G153" s="69"/>
      <c r="H153" s="84"/>
      <c r="I153" s="128">
        <f t="shared" si="15"/>
        <v>61165.245389663061</v>
      </c>
    </row>
    <row r="154" spans="1:9" ht="15" customHeight="1">
      <c r="A154" s="80">
        <v>2017</v>
      </c>
      <c r="B154" s="81">
        <f t="shared" si="20"/>
        <v>61165</v>
      </c>
      <c r="C154" s="134"/>
      <c r="D154" s="67">
        <f t="shared" si="17"/>
        <v>29</v>
      </c>
      <c r="E154" s="67"/>
      <c r="F154" s="83"/>
      <c r="G154" s="69"/>
      <c r="H154" s="84"/>
      <c r="I154" s="128">
        <f t="shared" si="15"/>
        <v>63422.835981492972</v>
      </c>
    </row>
    <row r="155" spans="1:9" ht="15" customHeight="1">
      <c r="A155" s="80">
        <v>2018</v>
      </c>
      <c r="B155" s="81">
        <f t="shared" si="20"/>
        <v>63423</v>
      </c>
      <c r="C155" s="134"/>
      <c r="D155" s="67">
        <f t="shared" si="17"/>
        <v>30</v>
      </c>
      <c r="E155" s="67"/>
      <c r="F155" s="83"/>
      <c r="G155" s="69"/>
      <c r="H155" s="84"/>
      <c r="I155" s="128">
        <f t="shared" si="15"/>
        <v>65697.238741340974</v>
      </c>
    </row>
    <row r="156" spans="1:9" ht="15" customHeight="1">
      <c r="A156" s="80">
        <v>2019</v>
      </c>
      <c r="B156" s="81">
        <f t="shared" si="20"/>
        <v>65697</v>
      </c>
      <c r="C156" s="134"/>
      <c r="D156" s="67">
        <f t="shared" si="17"/>
        <v>31</v>
      </c>
      <c r="E156" s="67"/>
      <c r="F156" s="83"/>
      <c r="G156" s="69"/>
      <c r="H156" s="84"/>
      <c r="I156" s="128">
        <f t="shared" si="15"/>
        <v>67988.012072153622</v>
      </c>
    </row>
    <row r="157" spans="1:9" ht="15" customHeight="1">
      <c r="A157" s="80">
        <v>2020</v>
      </c>
      <c r="B157" s="81">
        <f t="shared" si="20"/>
        <v>67988</v>
      </c>
      <c r="C157" s="134"/>
      <c r="D157" s="67">
        <f t="shared" si="17"/>
        <v>32</v>
      </c>
      <c r="E157" s="67"/>
      <c r="F157" s="83"/>
      <c r="G157" s="69"/>
      <c r="H157" s="84"/>
      <c r="I157" s="128">
        <f t="shared" si="15"/>
        <v>70294.739905266295</v>
      </c>
    </row>
    <row r="158" spans="1:9" ht="15" customHeight="1">
      <c r="A158" s="80">
        <v>2021</v>
      </c>
      <c r="B158" s="81">
        <f t="shared" si="20"/>
        <v>70295</v>
      </c>
      <c r="C158" s="134"/>
      <c r="D158" s="67">
        <f t="shared" si="17"/>
        <v>33</v>
      </c>
      <c r="E158" s="67"/>
      <c r="F158" s="83"/>
      <c r="G158" s="69"/>
      <c r="H158" s="84"/>
      <c r="I158" s="128">
        <f t="shared" si="15"/>
        <v>72617.029469635963</v>
      </c>
    </row>
    <row r="159" spans="1:9" ht="15" customHeight="1">
      <c r="A159" s="80">
        <v>2022</v>
      </c>
      <c r="B159" s="81">
        <f t="shared" si="20"/>
        <v>72617</v>
      </c>
      <c r="C159" s="134"/>
      <c r="D159" s="67">
        <f t="shared" si="17"/>
        <v>34</v>
      </c>
      <c r="E159" s="67"/>
      <c r="F159" s="83"/>
      <c r="G159" s="69"/>
      <c r="H159" s="84"/>
      <c r="I159" s="128">
        <f t="shared" si="15"/>
        <v>74954.50931798789</v>
      </c>
    </row>
    <row r="160" spans="1:9" ht="15" customHeight="1">
      <c r="A160" s="80">
        <v>2023</v>
      </c>
      <c r="B160" s="81">
        <f t="shared" si="20"/>
        <v>74955</v>
      </c>
      <c r="C160" s="134"/>
      <c r="D160" s="67">
        <f t="shared" si="17"/>
        <v>35</v>
      </c>
      <c r="E160" s="67"/>
      <c r="F160" s="83"/>
      <c r="G160" s="69"/>
      <c r="H160" s="84"/>
      <c r="I160" s="128">
        <f t="shared" si="15"/>
        <v>77306.827573568982</v>
      </c>
    </row>
    <row r="161" spans="1:9" ht="15" customHeight="1">
      <c r="A161" s="80">
        <v>2024</v>
      </c>
      <c r="B161" s="81">
        <f t="shared" si="20"/>
        <v>77307</v>
      </c>
      <c r="C161" s="135"/>
      <c r="D161" s="67">
        <f t="shared" si="17"/>
        <v>36</v>
      </c>
      <c r="E161" s="67"/>
      <c r="F161" s="69"/>
      <c r="G161" s="69"/>
      <c r="H161" s="69"/>
      <c r="I161" s="136">
        <f t="shared" si="15"/>
        <v>79673.650367226553</v>
      </c>
    </row>
    <row r="162" spans="1:9" ht="15" customHeight="1">
      <c r="A162" s="85">
        <v>2025</v>
      </c>
      <c r="B162" s="81">
        <f t="shared" si="20"/>
        <v>79674</v>
      </c>
      <c r="C162" s="137"/>
      <c r="D162" s="87">
        <f t="shared" si="17"/>
        <v>37</v>
      </c>
      <c r="E162" s="87"/>
      <c r="F162" s="89"/>
      <c r="G162" s="89"/>
      <c r="H162" s="89"/>
      <c r="I162" s="138">
        <f t="shared" si="15"/>
        <v>82054.660439417567</v>
      </c>
    </row>
    <row r="163" spans="1:9" ht="15" customHeight="1">
      <c r="A163" s="56" t="s">
        <v>87</v>
      </c>
      <c r="B163" s="57"/>
    </row>
    <row r="164" spans="1:9" ht="15" customHeight="1">
      <c r="A164" s="58" t="s">
        <v>32</v>
      </c>
      <c r="B164" s="59" t="s">
        <v>40</v>
      </c>
      <c r="C164" s="59" t="s">
        <v>36</v>
      </c>
      <c r="D164" s="59" t="s">
        <v>33</v>
      </c>
      <c r="E164" s="103"/>
      <c r="F164" s="60"/>
      <c r="G164" s="61"/>
      <c r="H164" s="63" t="s">
        <v>104</v>
      </c>
      <c r="I164" s="64">
        <f>RSQ(I165:I185,B165:B185)</f>
        <v>0.65767257458100448</v>
      </c>
    </row>
    <row r="165" spans="1:9" ht="15" customHeight="1">
      <c r="A165" s="65">
        <f t="shared" ref="A165:A185" si="21">A5</f>
        <v>1988</v>
      </c>
      <c r="B165" s="104">
        <f t="shared" ref="B165:B184" si="22">+B5</f>
        <v>9341</v>
      </c>
      <c r="C165" s="126">
        <f t="shared" ref="C165:C184" si="23">LN(F$168/B165-1)</f>
        <v>1.6112348196709738</v>
      </c>
      <c r="D165" s="67">
        <v>0</v>
      </c>
      <c r="E165" s="106" t="s">
        <v>75</v>
      </c>
      <c r="F165" s="139">
        <f>INDEX(LINEST(C165:C184,D165:D184),1)</f>
        <v>-7.3746152853222668E-2</v>
      </c>
      <c r="G165" s="140" t="s">
        <v>88</v>
      </c>
      <c r="H165" s="127"/>
      <c r="I165" s="128">
        <f t="shared" ref="I165:I202" si="24">$F$168/(1+EXP($F$166+$F$165*D165))</f>
        <v>14228.639083750677</v>
      </c>
    </row>
    <row r="166" spans="1:9" ht="15" customHeight="1">
      <c r="A166" s="65">
        <f t="shared" si="21"/>
        <v>1989</v>
      </c>
      <c r="B166" s="104">
        <f t="shared" si="22"/>
        <v>9501</v>
      </c>
      <c r="C166" s="126">
        <f t="shared" si="23"/>
        <v>1.5908256089442581</v>
      </c>
      <c r="D166" s="67">
        <f t="shared" ref="D166:D202" si="25">D165+1</f>
        <v>1</v>
      </c>
      <c r="E166" s="106" t="s">
        <v>76</v>
      </c>
      <c r="F166" s="139">
        <f>INDEX(LINEST(C165:C184,D165:D184),2)</f>
        <v>1.0800615360960304</v>
      </c>
      <c r="G166" s="69"/>
      <c r="H166" s="127"/>
      <c r="I166" s="128">
        <f t="shared" si="24"/>
        <v>15026.088283522397</v>
      </c>
    </row>
    <row r="167" spans="1:9" ht="15" customHeight="1">
      <c r="A167" s="65">
        <f t="shared" si="21"/>
        <v>1990</v>
      </c>
      <c r="B167" s="104">
        <f t="shared" si="22"/>
        <v>11719</v>
      </c>
      <c r="C167" s="126">
        <f t="shared" si="23"/>
        <v>1.3322757302250561</v>
      </c>
      <c r="D167" s="67">
        <f t="shared" si="25"/>
        <v>2</v>
      </c>
      <c r="E167" s="106" t="s">
        <v>77</v>
      </c>
      <c r="F167" s="73">
        <f>I164</f>
        <v>0.65767257458100448</v>
      </c>
      <c r="G167" s="69"/>
      <c r="H167" s="127"/>
      <c r="I167" s="128">
        <f t="shared" si="24"/>
        <v>15851.32328397938</v>
      </c>
    </row>
    <row r="168" spans="1:9" ht="15" customHeight="1">
      <c r="A168" s="65">
        <f t="shared" si="21"/>
        <v>1991</v>
      </c>
      <c r="B168" s="104">
        <f t="shared" si="22"/>
        <v>15093</v>
      </c>
      <c r="C168" s="126">
        <f t="shared" si="23"/>
        <v>1.0002430385981258</v>
      </c>
      <c r="D168" s="67">
        <f t="shared" si="25"/>
        <v>3</v>
      </c>
      <c r="E168" s="106" t="s">
        <v>39</v>
      </c>
      <c r="F168" s="110">
        <f>MAX(B165:B184)*2</f>
        <v>56130</v>
      </c>
      <c r="G168" s="69"/>
      <c r="H168" s="127"/>
      <c r="I168" s="128">
        <f t="shared" si="24"/>
        <v>16703.462727485687</v>
      </c>
    </row>
    <row r="169" spans="1:9" ht="15" customHeight="1">
      <c r="A169" s="65">
        <f t="shared" si="21"/>
        <v>1992</v>
      </c>
      <c r="B169" s="104">
        <f t="shared" si="22"/>
        <v>19308</v>
      </c>
      <c r="C169" s="126">
        <f t="shared" si="23"/>
        <v>0.64557597483676843</v>
      </c>
      <c r="D169" s="67">
        <f t="shared" si="25"/>
        <v>4</v>
      </c>
      <c r="E169" s="106"/>
      <c r="F169" s="53"/>
      <c r="G169" s="69"/>
      <c r="H169" s="127"/>
      <c r="I169" s="128">
        <f t="shared" si="24"/>
        <v>17581.41609714635</v>
      </c>
    </row>
    <row r="170" spans="1:9" ht="15" customHeight="1">
      <c r="A170" s="65">
        <f t="shared" si="21"/>
        <v>1993</v>
      </c>
      <c r="B170" s="104">
        <f t="shared" si="22"/>
        <v>22194</v>
      </c>
      <c r="C170" s="126">
        <f t="shared" si="23"/>
        <v>0.42465441574395474</v>
      </c>
      <c r="D170" s="67">
        <f t="shared" si="25"/>
        <v>5</v>
      </c>
      <c r="E170" s="106"/>
      <c r="F170" s="53"/>
      <c r="G170" s="69"/>
      <c r="H170" s="127"/>
      <c r="I170" s="128">
        <f t="shared" si="24"/>
        <v>18483.881509600727</v>
      </c>
    </row>
    <row r="171" spans="1:9" ht="15" customHeight="1">
      <c r="A171" s="65">
        <f t="shared" si="21"/>
        <v>1994</v>
      </c>
      <c r="B171" s="104">
        <f t="shared" si="22"/>
        <v>24956</v>
      </c>
      <c r="C171" s="126">
        <f t="shared" si="23"/>
        <v>0.22247013981831915</v>
      </c>
      <c r="D171" s="67">
        <f t="shared" si="25"/>
        <v>6</v>
      </c>
      <c r="E171" s="132" t="s">
        <v>89</v>
      </c>
      <c r="F171" s="53"/>
      <c r="G171" s="69"/>
      <c r="H171" s="127"/>
      <c r="I171" s="128">
        <f t="shared" si="24"/>
        <v>19409.346691181192</v>
      </c>
    </row>
    <row r="172" spans="1:9" ht="15" customHeight="1">
      <c r="A172" s="65">
        <f t="shared" si="21"/>
        <v>1995</v>
      </c>
      <c r="B172" s="104">
        <f t="shared" si="22"/>
        <v>25717</v>
      </c>
      <c r="C172" s="126">
        <f t="shared" si="23"/>
        <v>0.1677178967629413</v>
      </c>
      <c r="D172" s="67">
        <f t="shared" si="25"/>
        <v>7</v>
      </c>
      <c r="E172" s="132" t="s">
        <v>90</v>
      </c>
      <c r="F172" s="53"/>
      <c r="G172" s="69"/>
      <c r="H172" s="127"/>
      <c r="I172" s="128">
        <f t="shared" si="24"/>
        <v>20356.093381391274</v>
      </c>
    </row>
    <row r="173" spans="1:9" ht="15" customHeight="1">
      <c r="A173" s="65">
        <f t="shared" si="21"/>
        <v>1996</v>
      </c>
      <c r="B173" s="104">
        <f t="shared" si="22"/>
        <v>27066</v>
      </c>
      <c r="C173" s="126">
        <f t="shared" si="23"/>
        <v>7.1221967264586822E-2</v>
      </c>
      <c r="D173" s="67">
        <f t="shared" si="25"/>
        <v>8</v>
      </c>
      <c r="E173" s="132"/>
      <c r="F173" s="53"/>
      <c r="G173" s="69"/>
      <c r="H173" s="127"/>
      <c r="I173" s="128">
        <f t="shared" si="24"/>
        <v>21322.205326798427</v>
      </c>
    </row>
    <row r="174" spans="1:9" ht="15" customHeight="1">
      <c r="A174" s="65">
        <f t="shared" si="21"/>
        <v>1997</v>
      </c>
      <c r="B174" s="104">
        <f t="shared" si="22"/>
        <v>27986</v>
      </c>
      <c r="C174" s="126">
        <f t="shared" si="23"/>
        <v>5.6298028616807569E-3</v>
      </c>
      <c r="D174" s="67">
        <f t="shared" si="25"/>
        <v>9</v>
      </c>
      <c r="E174" s="132"/>
      <c r="F174" s="53"/>
      <c r="G174" s="69"/>
      <c r="H174" s="127"/>
      <c r="I174" s="128">
        <f t="shared" si="24"/>
        <v>22305.579933219615</v>
      </c>
    </row>
    <row r="175" spans="1:9" ht="15" customHeight="1">
      <c r="A175" s="65">
        <f t="shared" si="21"/>
        <v>1998</v>
      </c>
      <c r="B175" s="104">
        <f t="shared" si="22"/>
        <v>28065</v>
      </c>
      <c r="C175" s="126">
        <f t="shared" si="23"/>
        <v>0</v>
      </c>
      <c r="D175" s="67">
        <f t="shared" si="25"/>
        <v>10</v>
      </c>
      <c r="E175" s="132"/>
      <c r="F175" s="53"/>
      <c r="G175" s="69"/>
      <c r="H175" s="127"/>
      <c r="I175" s="128">
        <f t="shared" si="24"/>
        <v>23303.943537660907</v>
      </c>
    </row>
    <row r="176" spans="1:9" ht="15" customHeight="1">
      <c r="A176" s="65">
        <f t="shared" si="21"/>
        <v>1999</v>
      </c>
      <c r="B176" s="104">
        <f t="shared" si="22"/>
        <v>27645</v>
      </c>
      <c r="C176" s="126">
        <f t="shared" si="23"/>
        <v>2.9932753142462538E-2</v>
      </c>
      <c r="D176" s="67">
        <f t="shared" si="25"/>
        <v>11</v>
      </c>
      <c r="E176" s="132"/>
      <c r="F176" s="53"/>
      <c r="G176" s="69"/>
      <c r="H176" s="127"/>
      <c r="I176" s="128">
        <f t="shared" si="24"/>
        <v>24314.870148034679</v>
      </c>
    </row>
    <row r="177" spans="1:9" ht="15" customHeight="1">
      <c r="A177" s="65">
        <f t="shared" si="21"/>
        <v>2000</v>
      </c>
      <c r="B177" s="104">
        <f t="shared" si="22"/>
        <v>27936</v>
      </c>
      <c r="C177" s="126">
        <f t="shared" si="23"/>
        <v>9.1930096915421537E-3</v>
      </c>
      <c r="D177" s="67">
        <f t="shared" si="25"/>
        <v>12</v>
      </c>
      <c r="E177" s="132"/>
      <c r="F177" s="53"/>
      <c r="G177" s="69"/>
      <c r="H177" s="127"/>
      <c r="I177" s="128">
        <f t="shared" si="24"/>
        <v>25335.803383234765</v>
      </c>
    </row>
    <row r="178" spans="1:9" ht="15" customHeight="1">
      <c r="A178" s="65">
        <f t="shared" si="21"/>
        <v>2001</v>
      </c>
      <c r="B178" s="104">
        <f t="shared" si="22"/>
        <v>27280</v>
      </c>
      <c r="C178" s="126">
        <f t="shared" si="23"/>
        <v>5.5956159978847272E-2</v>
      </c>
      <c r="D178" s="67">
        <f t="shared" si="25"/>
        <v>13</v>
      </c>
      <c r="E178" s="132"/>
      <c r="F178" s="53"/>
      <c r="G178" s="69"/>
      <c r="H178" s="127"/>
      <c r="I178" s="128">
        <f t="shared" si="24"/>
        <v>26364.081234270503</v>
      </c>
    </row>
    <row r="179" spans="1:9" ht="15" customHeight="1">
      <c r="A179" s="65">
        <f t="shared" si="21"/>
        <v>2002</v>
      </c>
      <c r="B179" s="104">
        <f t="shared" si="22"/>
        <v>26476</v>
      </c>
      <c r="C179" s="126">
        <f t="shared" si="23"/>
        <v>0.11335836133915798</v>
      </c>
      <c r="D179" s="67">
        <f t="shared" si="25"/>
        <v>14</v>
      </c>
      <c r="E179" s="132"/>
      <c r="F179" s="53"/>
      <c r="G179" s="69"/>
      <c r="H179" s="127"/>
      <c r="I179" s="128">
        <f t="shared" si="24"/>
        <v>27396.963164614004</v>
      </c>
    </row>
    <row r="180" spans="1:9" ht="15" customHeight="1">
      <c r="A180" s="65">
        <f t="shared" si="21"/>
        <v>2003</v>
      </c>
      <c r="B180" s="104">
        <f t="shared" si="22"/>
        <v>27113</v>
      </c>
      <c r="C180" s="126">
        <f t="shared" si="23"/>
        <v>6.78685474697414E-2</v>
      </c>
      <c r="D180" s="67">
        <f t="shared" si="25"/>
        <v>15</v>
      </c>
      <c r="E180" s="132"/>
      <c r="F180" s="53"/>
      <c r="G180" s="69"/>
      <c r="H180" s="127"/>
      <c r="I180" s="128">
        <f t="shared" si="24"/>
        <v>28431.65898026411</v>
      </c>
    </row>
    <row r="181" spans="1:9" ht="15" customHeight="1">
      <c r="A181" s="65">
        <f t="shared" si="21"/>
        <v>2004</v>
      </c>
      <c r="B181" s="104">
        <f t="shared" si="22"/>
        <v>27168</v>
      </c>
      <c r="C181" s="126">
        <f t="shared" si="23"/>
        <v>6.3944815777474059E-2</v>
      </c>
      <c r="D181" s="67">
        <f t="shared" si="25"/>
        <v>16</v>
      </c>
      <c r="E181" s="106"/>
      <c r="F181" s="53"/>
      <c r="G181" s="69"/>
      <c r="H181" s="127"/>
      <c r="I181" s="128">
        <f t="shared" si="24"/>
        <v>29465.358832215392</v>
      </c>
    </row>
    <row r="182" spans="1:9" ht="15" customHeight="1">
      <c r="A182" s="65">
        <f t="shared" si="21"/>
        <v>2005</v>
      </c>
      <c r="B182" s="104">
        <f t="shared" si="22"/>
        <v>27044</v>
      </c>
      <c r="C182" s="126">
        <f t="shared" si="23"/>
        <v>7.2791789527086842E-2</v>
      </c>
      <c r="D182" s="67">
        <f t="shared" si="25"/>
        <v>17</v>
      </c>
      <c r="E182" s="83"/>
      <c r="F182" s="69"/>
      <c r="G182" s="69"/>
      <c r="H182" s="127"/>
      <c r="I182" s="128">
        <f t="shared" si="24"/>
        <v>30495.26366997094</v>
      </c>
    </row>
    <row r="183" spans="1:9" ht="15" customHeight="1">
      <c r="A183" s="65">
        <f t="shared" si="21"/>
        <v>2006</v>
      </c>
      <c r="B183" s="104">
        <f t="shared" si="22"/>
        <v>27340</v>
      </c>
      <c r="C183" s="126">
        <f t="shared" si="23"/>
        <v>5.1677273328280926E-2</v>
      </c>
      <c r="D183" s="67">
        <f t="shared" si="25"/>
        <v>18</v>
      </c>
      <c r="E183" s="83"/>
      <c r="F183" s="69"/>
      <c r="G183" s="69"/>
      <c r="H183" s="127"/>
      <c r="I183" s="128">
        <f t="shared" si="24"/>
        <v>31518.615447052969</v>
      </c>
    </row>
    <row r="184" spans="1:9" ht="15" customHeight="1" thickBot="1">
      <c r="A184" s="97">
        <f t="shared" si="21"/>
        <v>2007</v>
      </c>
      <c r="B184" s="116">
        <f t="shared" si="22"/>
        <v>27323</v>
      </c>
      <c r="C184" s="141">
        <f t="shared" si="23"/>
        <v>5.2889574827039855E-2</v>
      </c>
      <c r="D184" s="99">
        <f t="shared" si="25"/>
        <v>19</v>
      </c>
      <c r="E184" s="142"/>
      <c r="F184" s="100"/>
      <c r="G184" s="100"/>
      <c r="H184" s="143"/>
      <c r="I184" s="144">
        <f t="shared" si="24"/>
        <v>32532.726389198655</v>
      </c>
    </row>
    <row r="185" spans="1:9" ht="15" customHeight="1" thickTop="1">
      <c r="A185" s="255">
        <f t="shared" si="21"/>
        <v>2008</v>
      </c>
      <c r="B185" s="81">
        <f t="shared" ref="B185:B202" si="26">ROUND(F$168/(1+EXP(F$166+F$165*D185)),0)</f>
        <v>33535</v>
      </c>
      <c r="C185" s="257"/>
      <c r="D185" s="77">
        <f t="shared" si="25"/>
        <v>20</v>
      </c>
      <c r="E185" s="122"/>
      <c r="F185" s="78"/>
      <c r="G185" s="78"/>
      <c r="H185" s="258"/>
      <c r="I185" s="133">
        <f t="shared" si="24"/>
        <v>33535.006672500283</v>
      </c>
    </row>
    <row r="186" spans="1:9" ht="15" customHeight="1">
      <c r="A186" s="80">
        <v>2009</v>
      </c>
      <c r="B186" s="81">
        <f t="shared" si="26"/>
        <v>34523</v>
      </c>
      <c r="C186" s="134"/>
      <c r="D186" s="67">
        <f t="shared" si="25"/>
        <v>21</v>
      </c>
      <c r="E186" s="83"/>
      <c r="F186" s="69"/>
      <c r="G186" s="69"/>
      <c r="H186" s="84"/>
      <c r="I186" s="128">
        <f t="shared" si="24"/>
        <v>34522.989919991749</v>
      </c>
    </row>
    <row r="187" spans="1:9" ht="15" customHeight="1">
      <c r="A187" s="80">
        <v>2010</v>
      </c>
      <c r="B187" s="81">
        <f t="shared" si="26"/>
        <v>35494</v>
      </c>
      <c r="C187" s="134"/>
      <c r="D187" s="67">
        <f t="shared" si="25"/>
        <v>22</v>
      </c>
      <c r="E187" s="83"/>
      <c r="F187" s="69"/>
      <c r="G187" s="69"/>
      <c r="H187" s="84"/>
      <c r="I187" s="128">
        <f t="shared" si="24"/>
        <v>35494.356007527756</v>
      </c>
    </row>
    <row r="188" spans="1:9" ht="15" customHeight="1">
      <c r="A188" s="80">
        <v>2011</v>
      </c>
      <c r="B188" s="81">
        <f t="shared" si="26"/>
        <v>36447</v>
      </c>
      <c r="C188" s="134"/>
      <c r="D188" s="67">
        <f t="shared" si="25"/>
        <v>23</v>
      </c>
      <c r="E188" s="83"/>
      <c r="F188" s="69"/>
      <c r="G188" s="69"/>
      <c r="H188" s="84"/>
      <c r="I188" s="128">
        <f t="shared" si="24"/>
        <v>36446.950768563234</v>
      </c>
    </row>
    <row r="189" spans="1:9" ht="15" customHeight="1">
      <c r="A189" s="80">
        <v>2012</v>
      </c>
      <c r="B189" s="81">
        <f t="shared" si="26"/>
        <v>37379</v>
      </c>
      <c r="C189" s="134"/>
      <c r="D189" s="67">
        <f t="shared" si="25"/>
        <v>24</v>
      </c>
      <c r="E189" s="83"/>
      <c r="F189" s="69"/>
      <c r="G189" s="69"/>
      <c r="H189" s="84"/>
      <c r="I189" s="128">
        <f t="shared" si="24"/>
        <v>37378.802297195565</v>
      </c>
    </row>
    <row r="190" spans="1:9" ht="15" customHeight="1">
      <c r="A190" s="80">
        <v>2013</v>
      </c>
      <c r="B190" s="81">
        <f t="shared" si="26"/>
        <v>38288</v>
      </c>
      <c r="C190" s="134"/>
      <c r="D190" s="67">
        <f t="shared" si="25"/>
        <v>25</v>
      </c>
      <c r="E190" s="83"/>
      <c r="F190" s="69"/>
      <c r="G190" s="69"/>
      <c r="H190" s="84"/>
      <c r="I190" s="128">
        <f t="shared" si="24"/>
        <v>38288.133663827874</v>
      </c>
    </row>
    <row r="191" spans="1:9" ht="15" customHeight="1">
      <c r="A191" s="80">
        <v>2014</v>
      </c>
      <c r="B191" s="81">
        <f t="shared" si="26"/>
        <v>39173</v>
      </c>
      <c r="C191" s="134"/>
      <c r="D191" s="67">
        <f t="shared" si="25"/>
        <v>26</v>
      </c>
      <c r="E191" s="83"/>
      <c r="F191" s="69"/>
      <c r="G191" s="69"/>
      <c r="H191" s="84"/>
      <c r="I191" s="128">
        <f t="shared" si="24"/>
        <v>39173.371972382462</v>
      </c>
    </row>
    <row r="192" spans="1:9" ht="15" customHeight="1">
      <c r="A192" s="80">
        <v>2015</v>
      </c>
      <c r="B192" s="81">
        <f t="shared" si="26"/>
        <v>40033</v>
      </c>
      <c r="C192" s="134"/>
      <c r="D192" s="67">
        <f t="shared" si="25"/>
        <v>27</v>
      </c>
      <c r="E192" s="83"/>
      <c r="F192" s="69"/>
      <c r="G192" s="69"/>
      <c r="H192" s="84"/>
      <c r="I192" s="128">
        <f t="shared" si="24"/>
        <v>40033.153796928244</v>
      </c>
    </row>
    <row r="193" spans="1:10" ht="15" customHeight="1">
      <c r="A193" s="80">
        <v>2016</v>
      </c>
      <c r="B193" s="81">
        <f t="shared" si="26"/>
        <v>40866</v>
      </c>
      <c r="C193" s="134"/>
      <c r="D193" s="67">
        <f t="shared" si="25"/>
        <v>28</v>
      </c>
      <c r="E193" s="83"/>
      <c r="F193" s="69"/>
      <c r="G193" s="69"/>
      <c r="H193" s="84"/>
      <c r="I193" s="128">
        <f t="shared" si="24"/>
        <v>40866.327134440187</v>
      </c>
    </row>
    <row r="194" spans="1:10" ht="15" customHeight="1">
      <c r="A194" s="80">
        <v>2017</v>
      </c>
      <c r="B194" s="81">
        <f t="shared" si="26"/>
        <v>41672</v>
      </c>
      <c r="C194" s="134"/>
      <c r="D194" s="67">
        <f t="shared" si="25"/>
        <v>29</v>
      </c>
      <c r="E194" s="83"/>
      <c r="F194" s="69"/>
      <c r="G194" s="69"/>
      <c r="H194" s="84"/>
      <c r="I194" s="128">
        <f t="shared" si="24"/>
        <v>41671.95009571212</v>
      </c>
    </row>
    <row r="195" spans="1:10" ht="15" customHeight="1">
      <c r="A195" s="80">
        <v>2018</v>
      </c>
      <c r="B195" s="81">
        <f t="shared" si="26"/>
        <v>42449</v>
      </c>
      <c r="C195" s="134"/>
      <c r="D195" s="67">
        <f t="shared" si="25"/>
        <v>30</v>
      </c>
      <c r="E195" s="83"/>
      <c r="F195" s="69"/>
      <c r="G195" s="69"/>
      <c r="H195" s="84"/>
      <c r="I195" s="128">
        <f t="shared" si="24"/>
        <v>42449.28662582134</v>
      </c>
    </row>
    <row r="196" spans="1:10" ht="15" customHeight="1">
      <c r="A196" s="80">
        <v>2019</v>
      </c>
      <c r="B196" s="81">
        <f t="shared" si="26"/>
        <v>43198</v>
      </c>
      <c r="C196" s="134"/>
      <c r="D196" s="67">
        <f t="shared" si="25"/>
        <v>31</v>
      </c>
      <c r="E196" s="83"/>
      <c r="F196" s="69"/>
      <c r="G196" s="69"/>
      <c r="H196" s="84"/>
      <c r="I196" s="128">
        <f t="shared" si="24"/>
        <v>43197.799597733618</v>
      </c>
    </row>
    <row r="197" spans="1:10" ht="15" customHeight="1">
      <c r="A197" s="80">
        <v>2020</v>
      </c>
      <c r="B197" s="81">
        <f t="shared" si="26"/>
        <v>43917</v>
      </c>
      <c r="C197" s="134"/>
      <c r="D197" s="67">
        <f t="shared" si="25"/>
        <v>32</v>
      </c>
      <c r="E197" s="83"/>
      <c r="F197" s="69"/>
      <c r="G197" s="69"/>
      <c r="H197" s="84"/>
      <c r="I197" s="128">
        <f t="shared" si="24"/>
        <v>43917.14165742699</v>
      </c>
    </row>
    <row r="198" spans="1:10" ht="15" customHeight="1">
      <c r="A198" s="80">
        <v>2021</v>
      </c>
      <c r="B198" s="81">
        <f t="shared" si="26"/>
        <v>44607</v>
      </c>
      <c r="C198" s="134"/>
      <c r="D198" s="67">
        <f t="shared" si="25"/>
        <v>33</v>
      </c>
      <c r="E198" s="83"/>
      <c r="F198" s="69"/>
      <c r="G198" s="69"/>
      <c r="H198" s="84"/>
      <c r="I198" s="128">
        <f t="shared" si="24"/>
        <v>44607.14421700708</v>
      </c>
    </row>
    <row r="199" spans="1:10" ht="15" customHeight="1">
      <c r="A199" s="80">
        <v>2022</v>
      </c>
      <c r="B199" s="81">
        <f t="shared" si="26"/>
        <v>45268</v>
      </c>
      <c r="C199" s="134"/>
      <c r="D199" s="67">
        <f t="shared" si="25"/>
        <v>34</v>
      </c>
      <c r="E199" s="83"/>
      <c r="F199" s="69"/>
      <c r="G199" s="69"/>
      <c r="H199" s="84"/>
      <c r="I199" s="128">
        <f t="shared" si="24"/>
        <v>45267.804995131824</v>
      </c>
    </row>
    <row r="200" spans="1:10" ht="15" customHeight="1">
      <c r="A200" s="80">
        <v>2023</v>
      </c>
      <c r="B200" s="81">
        <f t="shared" si="26"/>
        <v>45899</v>
      </c>
      <c r="C200" s="134"/>
      <c r="D200" s="67">
        <f t="shared" si="25"/>
        <v>35</v>
      </c>
      <c r="E200" s="83"/>
      <c r="F200" s="69"/>
      <c r="G200" s="69"/>
      <c r="H200" s="84"/>
      <c r="I200" s="128">
        <f t="shared" si="24"/>
        <v>45899.27449364512</v>
      </c>
    </row>
    <row r="201" spans="1:10" ht="15" customHeight="1">
      <c r="A201" s="80">
        <v>2024</v>
      </c>
      <c r="B201" s="81">
        <f t="shared" si="26"/>
        <v>46502</v>
      </c>
      <c r="C201" s="135"/>
      <c r="D201" s="67">
        <f t="shared" si="25"/>
        <v>36</v>
      </c>
      <c r="E201" s="69"/>
      <c r="F201" s="69"/>
      <c r="G201" s="69"/>
      <c r="H201" s="69"/>
      <c r="I201" s="136">
        <f t="shared" si="24"/>
        <v>46501.841777960377</v>
      </c>
    </row>
    <row r="202" spans="1:10" ht="15" customHeight="1">
      <c r="A202" s="85">
        <v>2025</v>
      </c>
      <c r="B202" s="86">
        <f t="shared" si="26"/>
        <v>47076</v>
      </c>
      <c r="C202" s="137"/>
      <c r="D202" s="87">
        <f t="shared" si="25"/>
        <v>37</v>
      </c>
      <c r="E202" s="89"/>
      <c r="F202" s="89"/>
      <c r="G202" s="89"/>
      <c r="H202" s="89"/>
      <c r="I202" s="138">
        <f t="shared" si="24"/>
        <v>47075.919898908891</v>
      </c>
    </row>
    <row r="203" spans="1:10" ht="15" customHeight="1">
      <c r="A203" s="56" t="s">
        <v>105</v>
      </c>
      <c r="B203" s="57"/>
    </row>
    <row r="204" spans="1:10" ht="15" customHeight="1">
      <c r="A204" s="56"/>
      <c r="B204" s="57"/>
    </row>
    <row r="205" spans="1:10" ht="24">
      <c r="A205" s="145" t="s">
        <v>32</v>
      </c>
      <c r="B205" s="146" t="s">
        <v>91</v>
      </c>
      <c r="C205" s="147" t="s">
        <v>72</v>
      </c>
      <c r="D205" s="147" t="s">
        <v>92</v>
      </c>
      <c r="E205" s="147" t="s">
        <v>93</v>
      </c>
      <c r="F205" s="147" t="s">
        <v>94</v>
      </c>
      <c r="G205" s="147" t="s">
        <v>95</v>
      </c>
      <c r="H205" s="148" t="s">
        <v>96</v>
      </c>
      <c r="I205" s="149" t="s">
        <v>106</v>
      </c>
      <c r="J205" s="150" t="s">
        <v>107</v>
      </c>
    </row>
    <row r="206" spans="1:10" ht="20.100000000000001" customHeight="1">
      <c r="A206" s="65">
        <v>2008</v>
      </c>
      <c r="B206" s="151">
        <f t="shared" ref="B206:B223" si="27">B25</f>
        <v>28269</v>
      </c>
      <c r="C206" s="152">
        <f t="shared" ref="C206:C223" si="28">B65</f>
        <v>32672</v>
      </c>
      <c r="D206" s="152">
        <f t="shared" ref="D206:D223" si="29">B105</f>
        <v>28913</v>
      </c>
      <c r="E206" s="152"/>
      <c r="F206" s="152">
        <f t="shared" ref="F206:F223" si="30">B185</f>
        <v>33535</v>
      </c>
      <c r="G206" s="152">
        <f t="shared" ref="G206:G223" si="31">ROUND(AVERAGE(B206:F206),1)</f>
        <v>30847.3</v>
      </c>
      <c r="H206" s="152">
        <f t="shared" ref="H206:H223" si="32">ROUND((SUM(B206:F206)-MAX(B206:F206)-MIN(B206:F206))/(COUNT(B206:F206)-2),1)</f>
        <v>30792.5</v>
      </c>
      <c r="I206" s="153">
        <f t="shared" ref="I206:I223" si="33">ROUND(SUMIF(B$224:H$224,"○",B206:H206),0)</f>
        <v>30793</v>
      </c>
      <c r="J206" s="261"/>
    </row>
    <row r="207" spans="1:10" ht="20.100000000000001" customHeight="1">
      <c r="A207" s="80">
        <v>2009</v>
      </c>
      <c r="B207" s="151">
        <f t="shared" si="27"/>
        <v>29216</v>
      </c>
      <c r="C207" s="152">
        <f t="shared" si="28"/>
        <v>33563</v>
      </c>
      <c r="D207" s="152">
        <f t="shared" si="29"/>
        <v>30593</v>
      </c>
      <c r="E207" s="152"/>
      <c r="F207" s="152">
        <f t="shared" si="30"/>
        <v>34523</v>
      </c>
      <c r="G207" s="152">
        <f t="shared" si="31"/>
        <v>31973.8</v>
      </c>
      <c r="H207" s="152">
        <f t="shared" si="32"/>
        <v>32078</v>
      </c>
      <c r="I207" s="153">
        <f t="shared" si="33"/>
        <v>32078</v>
      </c>
      <c r="J207" s="154"/>
    </row>
    <row r="208" spans="1:10" ht="20.100000000000001" customHeight="1">
      <c r="A208" s="80">
        <v>2010</v>
      </c>
      <c r="B208" s="151">
        <f t="shared" si="27"/>
        <v>30162</v>
      </c>
      <c r="C208" s="152">
        <f t="shared" si="28"/>
        <v>34454</v>
      </c>
      <c r="D208" s="152">
        <f t="shared" si="29"/>
        <v>32371</v>
      </c>
      <c r="E208" s="152"/>
      <c r="F208" s="152">
        <f t="shared" si="30"/>
        <v>35494</v>
      </c>
      <c r="G208" s="152">
        <f t="shared" si="31"/>
        <v>33120.300000000003</v>
      </c>
      <c r="H208" s="152">
        <f t="shared" si="32"/>
        <v>33412.5</v>
      </c>
      <c r="I208" s="153">
        <f t="shared" si="33"/>
        <v>33413</v>
      </c>
      <c r="J208" s="154"/>
    </row>
    <row r="209" spans="1:49" ht="20.100000000000001" customHeight="1">
      <c r="A209" s="80">
        <v>2011</v>
      </c>
      <c r="B209" s="151">
        <f t="shared" si="27"/>
        <v>31109</v>
      </c>
      <c r="C209" s="152">
        <f t="shared" si="28"/>
        <v>35345</v>
      </c>
      <c r="D209" s="152">
        <f t="shared" si="29"/>
        <v>34253</v>
      </c>
      <c r="E209" s="152"/>
      <c r="F209" s="152">
        <f t="shared" si="30"/>
        <v>36447</v>
      </c>
      <c r="G209" s="152">
        <f t="shared" si="31"/>
        <v>34288.5</v>
      </c>
      <c r="H209" s="152">
        <f t="shared" si="32"/>
        <v>34799</v>
      </c>
      <c r="I209" s="153">
        <f t="shared" si="33"/>
        <v>34799</v>
      </c>
      <c r="J209" s="154"/>
    </row>
    <row r="210" spans="1:49" ht="20.100000000000001" customHeight="1">
      <c r="A210" s="80">
        <v>2012</v>
      </c>
      <c r="B210" s="151">
        <f t="shared" si="27"/>
        <v>32055</v>
      </c>
      <c r="C210" s="152">
        <f t="shared" si="28"/>
        <v>36236</v>
      </c>
      <c r="D210" s="152">
        <f t="shared" si="29"/>
        <v>36244</v>
      </c>
      <c r="E210" s="152"/>
      <c r="F210" s="152">
        <f t="shared" si="30"/>
        <v>37379</v>
      </c>
      <c r="G210" s="152">
        <f t="shared" si="31"/>
        <v>35478.5</v>
      </c>
      <c r="H210" s="152">
        <f t="shared" si="32"/>
        <v>36240</v>
      </c>
      <c r="I210" s="153">
        <f t="shared" si="33"/>
        <v>36240</v>
      </c>
      <c r="J210" s="154"/>
    </row>
    <row r="211" spans="1:49" ht="20.100000000000001" customHeight="1">
      <c r="A211" s="80">
        <v>2013</v>
      </c>
      <c r="B211" s="151">
        <f t="shared" si="27"/>
        <v>33002</v>
      </c>
      <c r="C211" s="152">
        <f t="shared" si="28"/>
        <v>37128</v>
      </c>
      <c r="D211" s="152">
        <f t="shared" si="29"/>
        <v>38350</v>
      </c>
      <c r="E211" s="152"/>
      <c r="F211" s="152">
        <f t="shared" si="30"/>
        <v>38288</v>
      </c>
      <c r="G211" s="152">
        <f t="shared" si="31"/>
        <v>36692</v>
      </c>
      <c r="H211" s="152">
        <f t="shared" si="32"/>
        <v>37708</v>
      </c>
      <c r="I211" s="153">
        <f t="shared" si="33"/>
        <v>37708</v>
      </c>
      <c r="J211" s="154"/>
    </row>
    <row r="212" spans="1:49" ht="20.100000000000001" customHeight="1">
      <c r="A212" s="80">
        <v>2014</v>
      </c>
      <c r="B212" s="151">
        <f t="shared" si="27"/>
        <v>33948</v>
      </c>
      <c r="C212" s="152">
        <f t="shared" si="28"/>
        <v>38019</v>
      </c>
      <c r="D212" s="152">
        <f t="shared" si="29"/>
        <v>40579</v>
      </c>
      <c r="E212" s="152"/>
      <c r="F212" s="152">
        <f t="shared" si="30"/>
        <v>39173</v>
      </c>
      <c r="G212" s="152">
        <f t="shared" si="31"/>
        <v>37929.800000000003</v>
      </c>
      <c r="H212" s="152">
        <f t="shared" si="32"/>
        <v>38596</v>
      </c>
      <c r="I212" s="153">
        <f t="shared" si="33"/>
        <v>38596</v>
      </c>
      <c r="J212" s="154"/>
    </row>
    <row r="213" spans="1:49" ht="20.100000000000001" customHeight="1">
      <c r="A213" s="80">
        <v>2015</v>
      </c>
      <c r="B213" s="151">
        <f t="shared" si="27"/>
        <v>34894</v>
      </c>
      <c r="C213" s="152">
        <f t="shared" si="28"/>
        <v>38910</v>
      </c>
      <c r="D213" s="152">
        <f t="shared" si="29"/>
        <v>42937</v>
      </c>
      <c r="E213" s="152"/>
      <c r="F213" s="152">
        <f t="shared" si="30"/>
        <v>40033</v>
      </c>
      <c r="G213" s="152">
        <f t="shared" si="31"/>
        <v>39193.5</v>
      </c>
      <c r="H213" s="152">
        <f t="shared" si="32"/>
        <v>39471.5</v>
      </c>
      <c r="I213" s="153">
        <f t="shared" si="33"/>
        <v>39472</v>
      </c>
      <c r="J213" s="154"/>
    </row>
    <row r="214" spans="1:49" ht="20.100000000000001" customHeight="1">
      <c r="A214" s="80">
        <v>2016</v>
      </c>
      <c r="B214" s="151">
        <f t="shared" si="27"/>
        <v>35841</v>
      </c>
      <c r="C214" s="152">
        <f t="shared" si="28"/>
        <v>39801</v>
      </c>
      <c r="D214" s="152">
        <f t="shared" si="29"/>
        <v>45433</v>
      </c>
      <c r="E214" s="152"/>
      <c r="F214" s="152">
        <f t="shared" si="30"/>
        <v>40866</v>
      </c>
      <c r="G214" s="152">
        <f t="shared" si="31"/>
        <v>40485.300000000003</v>
      </c>
      <c r="H214" s="152">
        <f t="shared" si="32"/>
        <v>40333.5</v>
      </c>
      <c r="I214" s="153">
        <f t="shared" si="33"/>
        <v>40334</v>
      </c>
      <c r="J214" s="154"/>
    </row>
    <row r="215" spans="1:49" ht="20.100000000000001" customHeight="1">
      <c r="A215" s="80">
        <v>2017</v>
      </c>
      <c r="B215" s="151">
        <f t="shared" si="27"/>
        <v>36787</v>
      </c>
      <c r="C215" s="152">
        <f t="shared" si="28"/>
        <v>40693</v>
      </c>
      <c r="D215" s="152">
        <f t="shared" si="29"/>
        <v>48074</v>
      </c>
      <c r="E215" s="152"/>
      <c r="F215" s="152">
        <f t="shared" si="30"/>
        <v>41672</v>
      </c>
      <c r="G215" s="152">
        <f t="shared" si="31"/>
        <v>41806.5</v>
      </c>
      <c r="H215" s="152">
        <f t="shared" si="32"/>
        <v>41182.5</v>
      </c>
      <c r="I215" s="153">
        <f t="shared" si="33"/>
        <v>41183</v>
      </c>
      <c r="J215" s="154"/>
    </row>
    <row r="216" spans="1:49" ht="20.100000000000001" customHeight="1">
      <c r="A216" s="80">
        <v>2018</v>
      </c>
      <c r="B216" s="151">
        <f t="shared" si="27"/>
        <v>37734</v>
      </c>
      <c r="C216" s="152">
        <f t="shared" si="28"/>
        <v>41584</v>
      </c>
      <c r="D216" s="152">
        <f t="shared" si="29"/>
        <v>50868</v>
      </c>
      <c r="E216" s="152"/>
      <c r="F216" s="152">
        <f t="shared" si="30"/>
        <v>42449</v>
      </c>
      <c r="G216" s="152">
        <f t="shared" si="31"/>
        <v>43158.8</v>
      </c>
      <c r="H216" s="152">
        <f t="shared" si="32"/>
        <v>42016.5</v>
      </c>
      <c r="I216" s="153">
        <f t="shared" si="33"/>
        <v>42017</v>
      </c>
      <c r="J216" s="154"/>
    </row>
    <row r="217" spans="1:49" ht="20.100000000000001" customHeight="1">
      <c r="A217" s="80">
        <v>2019</v>
      </c>
      <c r="B217" s="151">
        <f t="shared" si="27"/>
        <v>38680</v>
      </c>
      <c r="C217" s="152">
        <f t="shared" si="28"/>
        <v>42475</v>
      </c>
      <c r="D217" s="152">
        <f t="shared" si="29"/>
        <v>53824</v>
      </c>
      <c r="E217" s="152"/>
      <c r="F217" s="152">
        <f t="shared" si="30"/>
        <v>43198</v>
      </c>
      <c r="G217" s="152">
        <f t="shared" si="31"/>
        <v>44544.3</v>
      </c>
      <c r="H217" s="152">
        <f t="shared" si="32"/>
        <v>42836.5</v>
      </c>
      <c r="I217" s="153">
        <f t="shared" si="33"/>
        <v>42837</v>
      </c>
      <c r="J217" s="154"/>
    </row>
    <row r="218" spans="1:49" ht="20.100000000000001" customHeight="1">
      <c r="A218" s="80">
        <v>2020</v>
      </c>
      <c r="B218" s="151">
        <f t="shared" si="27"/>
        <v>39626</v>
      </c>
      <c r="C218" s="152">
        <f t="shared" si="28"/>
        <v>43366</v>
      </c>
      <c r="D218" s="152">
        <f t="shared" si="29"/>
        <v>56952</v>
      </c>
      <c r="E218" s="152"/>
      <c r="F218" s="152">
        <f t="shared" si="30"/>
        <v>43917</v>
      </c>
      <c r="G218" s="152">
        <f t="shared" si="31"/>
        <v>45965.3</v>
      </c>
      <c r="H218" s="152">
        <f t="shared" si="32"/>
        <v>43641.5</v>
      </c>
      <c r="I218" s="153">
        <f t="shared" si="33"/>
        <v>43642</v>
      </c>
      <c r="J218" s="154"/>
    </row>
    <row r="219" spans="1:49" ht="20.100000000000001" customHeight="1">
      <c r="A219" s="80">
        <v>2021</v>
      </c>
      <c r="B219" s="151">
        <f t="shared" si="27"/>
        <v>40573</v>
      </c>
      <c r="C219" s="152">
        <f t="shared" si="28"/>
        <v>44258</v>
      </c>
      <c r="D219" s="152">
        <f t="shared" si="29"/>
        <v>60262</v>
      </c>
      <c r="E219" s="152"/>
      <c r="F219" s="152">
        <f t="shared" si="30"/>
        <v>44607</v>
      </c>
      <c r="G219" s="152">
        <f t="shared" si="31"/>
        <v>47425</v>
      </c>
      <c r="H219" s="152">
        <f t="shared" si="32"/>
        <v>44432.5</v>
      </c>
      <c r="I219" s="153">
        <f t="shared" si="33"/>
        <v>44433</v>
      </c>
      <c r="J219" s="154"/>
    </row>
    <row r="220" spans="1:49" ht="20.100000000000001" customHeight="1">
      <c r="A220" s="80">
        <v>2022</v>
      </c>
      <c r="B220" s="151">
        <f t="shared" si="27"/>
        <v>41519</v>
      </c>
      <c r="C220" s="152">
        <f t="shared" si="28"/>
        <v>45149</v>
      </c>
      <c r="D220" s="152">
        <f t="shared" si="29"/>
        <v>63765</v>
      </c>
      <c r="E220" s="152"/>
      <c r="F220" s="152">
        <f t="shared" si="30"/>
        <v>45268</v>
      </c>
      <c r="G220" s="152">
        <f t="shared" si="31"/>
        <v>48925.3</v>
      </c>
      <c r="H220" s="152">
        <f t="shared" si="32"/>
        <v>45208.5</v>
      </c>
      <c r="I220" s="153">
        <f t="shared" si="33"/>
        <v>45209</v>
      </c>
      <c r="J220" s="154"/>
      <c r="L220" s="55">
        <v>806200</v>
      </c>
    </row>
    <row r="221" spans="1:49" ht="20.100000000000001" customHeight="1">
      <c r="A221" s="80">
        <v>2023</v>
      </c>
      <c r="B221" s="151">
        <f t="shared" si="27"/>
        <v>42466</v>
      </c>
      <c r="C221" s="152">
        <f t="shared" si="28"/>
        <v>46040</v>
      </c>
      <c r="D221" s="152">
        <f t="shared" si="29"/>
        <v>67471</v>
      </c>
      <c r="E221" s="152"/>
      <c r="F221" s="152">
        <f t="shared" si="30"/>
        <v>45899</v>
      </c>
      <c r="G221" s="152">
        <f t="shared" si="31"/>
        <v>50469</v>
      </c>
      <c r="H221" s="152">
        <f t="shared" si="32"/>
        <v>45969.5</v>
      </c>
      <c r="I221" s="153">
        <f t="shared" si="33"/>
        <v>45970</v>
      </c>
      <c r="J221" s="154"/>
      <c r="K221" s="55">
        <v>51000</v>
      </c>
      <c r="L221" s="75">
        <f>+K221+E221</f>
        <v>51000</v>
      </c>
    </row>
    <row r="222" spans="1:49" ht="20.100000000000001" customHeight="1">
      <c r="A222" s="80">
        <v>2024</v>
      </c>
      <c r="B222" s="151">
        <f t="shared" si="27"/>
        <v>43412</v>
      </c>
      <c r="C222" s="152">
        <f t="shared" si="28"/>
        <v>46931</v>
      </c>
      <c r="D222" s="152">
        <f t="shared" si="29"/>
        <v>71392</v>
      </c>
      <c r="E222" s="152"/>
      <c r="F222" s="152">
        <f t="shared" si="30"/>
        <v>46502</v>
      </c>
      <c r="G222" s="152">
        <f t="shared" si="31"/>
        <v>52059.3</v>
      </c>
      <c r="H222" s="152">
        <f t="shared" si="32"/>
        <v>46716.5</v>
      </c>
      <c r="I222" s="153">
        <f t="shared" si="33"/>
        <v>46717</v>
      </c>
      <c r="J222" s="154"/>
      <c r="L222" s="75">
        <f>+L220-L221</f>
        <v>755200</v>
      </c>
    </row>
    <row r="223" spans="1:49" ht="20.100000000000001" customHeight="1">
      <c r="A223" s="80">
        <v>2025</v>
      </c>
      <c r="B223" s="151">
        <f t="shared" si="27"/>
        <v>44359</v>
      </c>
      <c r="C223" s="152">
        <f t="shared" si="28"/>
        <v>47823</v>
      </c>
      <c r="D223" s="152">
        <f t="shared" si="29"/>
        <v>75541</v>
      </c>
      <c r="E223" s="152"/>
      <c r="F223" s="152">
        <f t="shared" si="30"/>
        <v>47076</v>
      </c>
      <c r="G223" s="152">
        <f t="shared" si="31"/>
        <v>53699.8</v>
      </c>
      <c r="H223" s="152">
        <f t="shared" si="32"/>
        <v>47449.5</v>
      </c>
      <c r="I223" s="153">
        <f t="shared" si="33"/>
        <v>47450</v>
      </c>
      <c r="J223" s="154"/>
      <c r="K223" s="161"/>
      <c r="L223" s="161">
        <f>B165</f>
        <v>9341</v>
      </c>
      <c r="M223" s="162">
        <f>B166</f>
        <v>9501</v>
      </c>
      <c r="N223" s="161">
        <f>B167</f>
        <v>11719</v>
      </c>
      <c r="O223" s="162">
        <f>B168</f>
        <v>15093</v>
      </c>
      <c r="P223" s="161">
        <f>B169</f>
        <v>19308</v>
      </c>
      <c r="Q223" s="162">
        <f>B170</f>
        <v>22194</v>
      </c>
      <c r="R223" s="162">
        <f>B171</f>
        <v>24956</v>
      </c>
      <c r="S223" s="162">
        <f>B172</f>
        <v>25717</v>
      </c>
      <c r="T223" s="162">
        <f>B173</f>
        <v>27066</v>
      </c>
      <c r="U223" s="162">
        <f>B174</f>
        <v>27986</v>
      </c>
      <c r="V223" s="162">
        <f>B175</f>
        <v>28065</v>
      </c>
      <c r="W223" s="162">
        <f>B176</f>
        <v>27645</v>
      </c>
      <c r="X223" s="162">
        <f>B177</f>
        <v>27936</v>
      </c>
      <c r="Y223" s="162">
        <f>B178</f>
        <v>27280</v>
      </c>
      <c r="Z223" s="162">
        <f>B179</f>
        <v>26476</v>
      </c>
      <c r="AA223" s="162">
        <f>B180</f>
        <v>27113</v>
      </c>
      <c r="AB223" s="162">
        <f>B181</f>
        <v>27168</v>
      </c>
      <c r="AC223" s="162">
        <f>B182</f>
        <v>27044</v>
      </c>
      <c r="AD223" s="162">
        <f>B183</f>
        <v>27340</v>
      </c>
      <c r="AE223" s="162">
        <f>B184</f>
        <v>27323</v>
      </c>
      <c r="AF223" s="162"/>
      <c r="AG223" s="162"/>
      <c r="AH223" s="161"/>
      <c r="AI223" s="161"/>
      <c r="AJ223" s="161"/>
      <c r="AK223" s="161"/>
      <c r="AL223" s="161"/>
      <c r="AM223" s="161"/>
      <c r="AN223" s="161"/>
      <c r="AO223" s="161"/>
      <c r="AP223" s="161"/>
      <c r="AQ223" s="161"/>
      <c r="AR223" s="161"/>
      <c r="AS223" s="161"/>
      <c r="AT223" s="161"/>
      <c r="AU223" s="161"/>
      <c r="AV223" s="161"/>
      <c r="AW223" s="161"/>
    </row>
    <row r="224" spans="1:49" ht="20.100000000000001" customHeight="1">
      <c r="A224" s="155" t="s">
        <v>97</v>
      </c>
      <c r="B224" s="156"/>
      <c r="C224" s="157"/>
      <c r="D224" s="157"/>
      <c r="E224" s="157"/>
      <c r="F224" s="156"/>
      <c r="G224" s="158"/>
      <c r="H224" s="157" t="s">
        <v>243</v>
      </c>
      <c r="I224" s="159"/>
      <c r="J224" s="160"/>
      <c r="K224" s="161"/>
      <c r="L224" s="161"/>
      <c r="M224" s="161"/>
      <c r="N224" s="161"/>
      <c r="O224" s="161"/>
      <c r="P224" s="161"/>
      <c r="Q224" s="161"/>
      <c r="R224" s="161"/>
      <c r="S224" s="161"/>
      <c r="T224" s="161"/>
      <c r="U224" s="161"/>
      <c r="V224" s="161"/>
      <c r="W224" s="161"/>
      <c r="X224" s="161"/>
      <c r="Y224" s="161"/>
      <c r="Z224" s="161"/>
      <c r="AA224" s="161"/>
      <c r="AB224" s="161"/>
      <c r="AC224" s="161"/>
      <c r="AD224" s="161"/>
      <c r="AE224" s="161"/>
      <c r="AF224" s="161"/>
      <c r="AG224" s="161"/>
      <c r="AH224" s="161"/>
      <c r="AI224" s="161"/>
      <c r="AJ224" s="161"/>
      <c r="AK224" s="161"/>
      <c r="AL224" s="161"/>
      <c r="AM224" s="161"/>
      <c r="AN224" s="161"/>
      <c r="AO224" s="161"/>
      <c r="AP224" s="161"/>
      <c r="AQ224" s="161"/>
      <c r="AR224" s="161"/>
      <c r="AS224" s="161"/>
      <c r="AT224" s="161"/>
      <c r="AU224" s="161"/>
      <c r="AV224" s="161"/>
      <c r="AW224" s="161"/>
    </row>
    <row r="225" spans="1:50" s="161" customFormat="1" ht="20.100000000000001" customHeight="1">
      <c r="A225" s="85"/>
      <c r="B225" s="163"/>
      <c r="C225" s="164"/>
      <c r="D225" s="164"/>
      <c r="E225" s="164"/>
      <c r="F225" s="164"/>
      <c r="G225" s="164"/>
      <c r="H225" s="164"/>
      <c r="I225" s="165"/>
      <c r="J225" s="166"/>
      <c r="K225" s="174">
        <f>MAX(B226:I226,F226)</f>
        <v>0.68180489010939749</v>
      </c>
      <c r="L225" s="161">
        <f>A165</f>
        <v>1988</v>
      </c>
      <c r="M225" s="161">
        <f>+L225+1</f>
        <v>1989</v>
      </c>
      <c r="N225" s="161">
        <f t="shared" ref="N225:AX225" si="34">+M225+1</f>
        <v>1990</v>
      </c>
      <c r="O225" s="161">
        <f t="shared" si="34"/>
        <v>1991</v>
      </c>
      <c r="P225" s="161">
        <f t="shared" si="34"/>
        <v>1992</v>
      </c>
      <c r="Q225" s="161">
        <f t="shared" si="34"/>
        <v>1993</v>
      </c>
      <c r="R225" s="161">
        <f t="shared" si="34"/>
        <v>1994</v>
      </c>
      <c r="S225" s="161">
        <f t="shared" si="34"/>
        <v>1995</v>
      </c>
      <c r="T225" s="161">
        <f t="shared" si="34"/>
        <v>1996</v>
      </c>
      <c r="U225" s="161">
        <f t="shared" si="34"/>
        <v>1997</v>
      </c>
      <c r="V225" s="161">
        <f t="shared" si="34"/>
        <v>1998</v>
      </c>
      <c r="W225" s="161">
        <f t="shared" si="34"/>
        <v>1999</v>
      </c>
      <c r="X225" s="161">
        <f t="shared" si="34"/>
        <v>2000</v>
      </c>
      <c r="Y225" s="161">
        <f t="shared" si="34"/>
        <v>2001</v>
      </c>
      <c r="Z225" s="161">
        <f t="shared" si="34"/>
        <v>2002</v>
      </c>
      <c r="AA225" s="161">
        <f t="shared" si="34"/>
        <v>2003</v>
      </c>
      <c r="AB225" s="161">
        <f t="shared" si="34"/>
        <v>2004</v>
      </c>
      <c r="AC225" s="161">
        <f t="shared" si="34"/>
        <v>2005</v>
      </c>
      <c r="AD225" s="161">
        <f t="shared" si="34"/>
        <v>2006</v>
      </c>
      <c r="AE225" s="161">
        <f t="shared" si="34"/>
        <v>2007</v>
      </c>
      <c r="AF225" s="161">
        <f t="shared" si="34"/>
        <v>2008</v>
      </c>
      <c r="AG225" s="161">
        <f t="shared" si="34"/>
        <v>2009</v>
      </c>
      <c r="AH225" s="161">
        <f t="shared" si="34"/>
        <v>2010</v>
      </c>
      <c r="AI225" s="161">
        <f t="shared" si="34"/>
        <v>2011</v>
      </c>
      <c r="AJ225" s="161">
        <f t="shared" si="34"/>
        <v>2012</v>
      </c>
      <c r="AK225" s="161">
        <f t="shared" si="34"/>
        <v>2013</v>
      </c>
      <c r="AL225" s="161">
        <f t="shared" si="34"/>
        <v>2014</v>
      </c>
      <c r="AM225" s="161">
        <f t="shared" si="34"/>
        <v>2015</v>
      </c>
      <c r="AN225" s="161">
        <f t="shared" si="34"/>
        <v>2016</v>
      </c>
      <c r="AO225" s="161">
        <f t="shared" si="34"/>
        <v>2017</v>
      </c>
      <c r="AP225" s="161">
        <f t="shared" si="34"/>
        <v>2018</v>
      </c>
      <c r="AQ225" s="161">
        <f t="shared" si="34"/>
        <v>2019</v>
      </c>
      <c r="AR225" s="161">
        <f t="shared" si="34"/>
        <v>2020</v>
      </c>
      <c r="AS225" s="161">
        <f t="shared" si="34"/>
        <v>2021</v>
      </c>
      <c r="AT225" s="161">
        <f t="shared" si="34"/>
        <v>2022</v>
      </c>
      <c r="AU225" s="161">
        <f t="shared" si="34"/>
        <v>2023</v>
      </c>
      <c r="AV225" s="161">
        <f t="shared" si="34"/>
        <v>2024</v>
      </c>
      <c r="AW225" s="161">
        <f t="shared" si="34"/>
        <v>2025</v>
      </c>
      <c r="AX225" s="161">
        <f t="shared" si="34"/>
        <v>2026</v>
      </c>
    </row>
    <row r="226" spans="1:50" ht="20.100000000000001" customHeight="1">
      <c r="A226" s="167" t="s">
        <v>98</v>
      </c>
      <c r="B226" s="168">
        <f>I4</f>
        <v>0.64918560156423444</v>
      </c>
      <c r="C226" s="169">
        <f>I44</f>
        <v>0.68180489010939749</v>
      </c>
      <c r="D226" s="169">
        <f>I84</f>
        <v>0.51805109881592326</v>
      </c>
      <c r="E226" s="169"/>
      <c r="F226" s="169">
        <f>I164</f>
        <v>0.65767257458100448</v>
      </c>
      <c r="G226" s="170"/>
      <c r="H226" s="171"/>
      <c r="I226" s="172"/>
      <c r="J226" s="173"/>
      <c r="K226" s="161" t="s">
        <v>99</v>
      </c>
      <c r="L226" s="161"/>
      <c r="M226" s="161"/>
      <c r="N226" s="161"/>
      <c r="O226" s="161"/>
      <c r="P226" s="161"/>
      <c r="Q226" s="161"/>
      <c r="R226" s="161"/>
      <c r="S226" s="161"/>
      <c r="T226" s="161"/>
      <c r="U226" s="161"/>
      <c r="V226" s="161"/>
      <c r="W226" s="161"/>
      <c r="X226" s="161"/>
      <c r="Y226" s="161"/>
      <c r="Z226" s="161"/>
      <c r="AA226" s="161"/>
      <c r="AB226" s="161"/>
      <c r="AC226" s="161"/>
      <c r="AD226" s="161"/>
      <c r="AE226" s="162">
        <f>+AE223</f>
        <v>27323</v>
      </c>
      <c r="AF226" s="175">
        <f>B25</f>
        <v>28269</v>
      </c>
      <c r="AG226" s="162">
        <f>B26</f>
        <v>29216</v>
      </c>
      <c r="AH226" s="162">
        <f>B27</f>
        <v>30162</v>
      </c>
      <c r="AI226" s="162">
        <f>B28</f>
        <v>31109</v>
      </c>
      <c r="AJ226" s="162">
        <f>B29</f>
        <v>32055</v>
      </c>
      <c r="AK226" s="162">
        <f>B30</f>
        <v>33002</v>
      </c>
      <c r="AL226" s="162">
        <f>B31</f>
        <v>33948</v>
      </c>
      <c r="AM226" s="162">
        <f>B32</f>
        <v>34894</v>
      </c>
      <c r="AN226" s="162">
        <f>B33</f>
        <v>35841</v>
      </c>
      <c r="AO226" s="162">
        <f>B34</f>
        <v>36787</v>
      </c>
      <c r="AP226" s="162">
        <f>B35</f>
        <v>37734</v>
      </c>
      <c r="AQ226" s="162">
        <f>B36</f>
        <v>38680</v>
      </c>
      <c r="AR226" s="162">
        <f>B37</f>
        <v>39626</v>
      </c>
      <c r="AS226" s="162">
        <f>B38</f>
        <v>40573</v>
      </c>
      <c r="AT226" s="162">
        <f>B39</f>
        <v>41519</v>
      </c>
      <c r="AU226" s="162">
        <f>B40</f>
        <v>42466</v>
      </c>
      <c r="AV226" s="162">
        <f>B41</f>
        <v>43412</v>
      </c>
      <c r="AW226" s="162">
        <f>B42</f>
        <v>44359</v>
      </c>
      <c r="AX226" s="161" t="s">
        <v>99</v>
      </c>
    </row>
    <row r="227" spans="1:50" ht="20.100000000000001" customHeight="1">
      <c r="K227" s="161" t="s">
        <v>100</v>
      </c>
      <c r="L227" s="161"/>
      <c r="M227" s="161"/>
      <c r="N227" s="161"/>
      <c r="O227" s="161"/>
      <c r="P227" s="161"/>
      <c r="Q227" s="161"/>
      <c r="R227" s="161"/>
      <c r="S227" s="161"/>
      <c r="T227" s="161"/>
      <c r="U227" s="161"/>
      <c r="V227" s="161"/>
      <c r="W227" s="161"/>
      <c r="X227" s="161"/>
      <c r="Y227" s="161"/>
      <c r="Z227" s="161"/>
      <c r="AA227" s="161"/>
      <c r="AB227" s="161"/>
      <c r="AC227" s="161"/>
      <c r="AD227" s="161"/>
      <c r="AE227" s="162">
        <f>+AE226</f>
        <v>27323</v>
      </c>
      <c r="AF227" s="175">
        <f>B65</f>
        <v>32672</v>
      </c>
      <c r="AG227" s="162">
        <f>B66</f>
        <v>33563</v>
      </c>
      <c r="AH227" s="162">
        <f>B67</f>
        <v>34454</v>
      </c>
      <c r="AI227" s="162">
        <f>B68</f>
        <v>35345</v>
      </c>
      <c r="AJ227" s="162">
        <f>B69</f>
        <v>36236</v>
      </c>
      <c r="AK227" s="162">
        <f>B70</f>
        <v>37128</v>
      </c>
      <c r="AL227" s="162">
        <f>B71</f>
        <v>38019</v>
      </c>
      <c r="AM227" s="162">
        <f>B72</f>
        <v>38910</v>
      </c>
      <c r="AN227" s="162">
        <f>B73</f>
        <v>39801</v>
      </c>
      <c r="AO227" s="162">
        <f>B74</f>
        <v>40693</v>
      </c>
      <c r="AP227" s="162">
        <f>B75</f>
        <v>41584</v>
      </c>
      <c r="AQ227" s="162">
        <f>B76</f>
        <v>42475</v>
      </c>
      <c r="AR227" s="162">
        <f>B77</f>
        <v>43366</v>
      </c>
      <c r="AS227" s="162">
        <f>B78</f>
        <v>44258</v>
      </c>
      <c r="AT227" s="162">
        <f>B79</f>
        <v>45149</v>
      </c>
      <c r="AU227" s="162">
        <f>B80</f>
        <v>46040</v>
      </c>
      <c r="AV227" s="162">
        <f>B81</f>
        <v>46931</v>
      </c>
      <c r="AW227" s="162">
        <f>B82</f>
        <v>47823</v>
      </c>
      <c r="AX227" s="161" t="s">
        <v>100</v>
      </c>
    </row>
    <row r="228" spans="1:50" ht="20.100000000000001" customHeight="1">
      <c r="K228" s="161" t="s">
        <v>101</v>
      </c>
      <c r="L228" s="161"/>
      <c r="M228" s="161"/>
      <c r="N228" s="161"/>
      <c r="O228" s="161"/>
      <c r="P228" s="161"/>
      <c r="Q228" s="161"/>
      <c r="R228" s="161"/>
      <c r="S228" s="161"/>
      <c r="T228" s="161"/>
      <c r="U228" s="161"/>
      <c r="V228" s="161"/>
      <c r="W228" s="161"/>
      <c r="X228" s="161"/>
      <c r="Y228" s="161"/>
      <c r="Z228" s="161"/>
      <c r="AA228" s="161"/>
      <c r="AB228" s="161"/>
      <c r="AC228" s="161"/>
      <c r="AD228" s="161"/>
      <c r="AE228" s="162">
        <f>+AE227</f>
        <v>27323</v>
      </c>
      <c r="AF228" s="175">
        <f>+B105</f>
        <v>28913</v>
      </c>
      <c r="AG228" s="162">
        <f>B106</f>
        <v>30593</v>
      </c>
      <c r="AH228" s="162">
        <f>B107</f>
        <v>32371</v>
      </c>
      <c r="AI228" s="162">
        <f>B108</f>
        <v>34253</v>
      </c>
      <c r="AJ228" s="162">
        <f>B109</f>
        <v>36244</v>
      </c>
      <c r="AK228" s="162">
        <f>B110</f>
        <v>38350</v>
      </c>
      <c r="AL228" s="162">
        <f>B111</f>
        <v>40579</v>
      </c>
      <c r="AM228" s="162">
        <f>B112</f>
        <v>42937</v>
      </c>
      <c r="AN228" s="162">
        <f>B113</f>
        <v>45433</v>
      </c>
      <c r="AO228" s="162">
        <f>B114</f>
        <v>48074</v>
      </c>
      <c r="AP228" s="162">
        <f>B115</f>
        <v>50868</v>
      </c>
      <c r="AQ228" s="162">
        <f>B116</f>
        <v>53824</v>
      </c>
      <c r="AR228" s="162">
        <f>B117</f>
        <v>56952</v>
      </c>
      <c r="AS228" s="162">
        <f>B118</f>
        <v>60262</v>
      </c>
      <c r="AT228" s="162">
        <f>B119</f>
        <v>63765</v>
      </c>
      <c r="AU228" s="162">
        <f>B120</f>
        <v>67471</v>
      </c>
      <c r="AV228" s="162">
        <f>B121</f>
        <v>71392</v>
      </c>
      <c r="AW228" s="162">
        <f>B122</f>
        <v>75541</v>
      </c>
      <c r="AX228" s="161" t="s">
        <v>101</v>
      </c>
    </row>
    <row r="229" spans="1:50" ht="20.100000000000001" customHeight="1">
      <c r="K229" s="161" t="s">
        <v>102</v>
      </c>
      <c r="L229" s="161"/>
      <c r="M229" s="161"/>
      <c r="N229" s="161"/>
      <c r="O229" s="161"/>
      <c r="P229" s="161"/>
      <c r="Q229" s="161"/>
      <c r="R229" s="161"/>
      <c r="S229" s="161"/>
      <c r="T229" s="161"/>
      <c r="U229" s="161"/>
      <c r="V229" s="161"/>
      <c r="W229" s="161"/>
      <c r="X229" s="161"/>
      <c r="Y229" s="161"/>
      <c r="Z229" s="161"/>
      <c r="AA229" s="161"/>
      <c r="AB229" s="161"/>
      <c r="AC229" s="161"/>
      <c r="AD229" s="161"/>
      <c r="AE229" s="162">
        <f>+AE228</f>
        <v>27323</v>
      </c>
      <c r="AF229" s="175">
        <f>+B145</f>
        <v>41693</v>
      </c>
      <c r="AG229" s="162">
        <f>+B146</f>
        <v>43774</v>
      </c>
      <c r="AH229" s="162">
        <f>+B147</f>
        <v>45877</v>
      </c>
      <c r="AI229" s="162">
        <f>+B148</f>
        <v>48001</v>
      </c>
      <c r="AJ229" s="162">
        <f>+B149</f>
        <v>50147</v>
      </c>
      <c r="AK229" s="162">
        <f>+B150</f>
        <v>52313</v>
      </c>
      <c r="AL229" s="162">
        <f>+B151</f>
        <v>54498</v>
      </c>
      <c r="AM229" s="162">
        <f>+B152</f>
        <v>56702</v>
      </c>
      <c r="AN229" s="162">
        <f>+B153</f>
        <v>58925</v>
      </c>
      <c r="AO229" s="162">
        <f>+B154</f>
        <v>61165</v>
      </c>
      <c r="AP229" s="162">
        <f>+B155</f>
        <v>63423</v>
      </c>
      <c r="AQ229" s="162">
        <f>+B156</f>
        <v>65697</v>
      </c>
      <c r="AR229" s="162">
        <f>+B157</f>
        <v>67988</v>
      </c>
      <c r="AS229" s="162">
        <f>+B158</f>
        <v>70295</v>
      </c>
      <c r="AT229" s="162">
        <f>+B159</f>
        <v>72617</v>
      </c>
      <c r="AU229" s="162">
        <f>+B160</f>
        <v>74955</v>
      </c>
      <c r="AV229" s="162">
        <f>+B161</f>
        <v>77307</v>
      </c>
      <c r="AW229" s="162">
        <f>+B162</f>
        <v>79674</v>
      </c>
      <c r="AX229" s="161" t="s">
        <v>102</v>
      </c>
    </row>
    <row r="230" spans="1:50" ht="20.100000000000001" customHeight="1">
      <c r="K230" s="161" t="s">
        <v>103</v>
      </c>
      <c r="L230" s="161"/>
      <c r="M230" s="161"/>
      <c r="N230" s="161"/>
      <c r="O230" s="161"/>
      <c r="P230" s="161"/>
      <c r="Q230" s="161"/>
      <c r="R230" s="161"/>
      <c r="S230" s="161"/>
      <c r="T230" s="161"/>
      <c r="U230" s="161"/>
      <c r="V230" s="161"/>
      <c r="W230" s="161"/>
      <c r="X230" s="161"/>
      <c r="Y230" s="161"/>
      <c r="Z230" s="161"/>
      <c r="AA230" s="161"/>
      <c r="AB230" s="161"/>
      <c r="AC230" s="161"/>
      <c r="AD230" s="161"/>
      <c r="AE230" s="162">
        <f>+AE229</f>
        <v>27323</v>
      </c>
      <c r="AF230" s="175">
        <f>B185</f>
        <v>33535</v>
      </c>
      <c r="AG230" s="162">
        <f>B186</f>
        <v>34523</v>
      </c>
      <c r="AH230" s="162">
        <f>B187</f>
        <v>35494</v>
      </c>
      <c r="AI230" s="162">
        <f>B188</f>
        <v>36447</v>
      </c>
      <c r="AJ230" s="162">
        <f>B189</f>
        <v>37379</v>
      </c>
      <c r="AK230" s="162">
        <f>B190</f>
        <v>38288</v>
      </c>
      <c r="AL230" s="162">
        <f>B191</f>
        <v>39173</v>
      </c>
      <c r="AM230" s="162">
        <f>B192</f>
        <v>40033</v>
      </c>
      <c r="AN230" s="162">
        <f>B193</f>
        <v>40866</v>
      </c>
      <c r="AO230" s="162">
        <f>B194</f>
        <v>41672</v>
      </c>
      <c r="AP230" s="162">
        <f>B195</f>
        <v>42449</v>
      </c>
      <c r="AQ230" s="162">
        <f>B196</f>
        <v>43198</v>
      </c>
      <c r="AR230" s="162">
        <f>B197</f>
        <v>43917</v>
      </c>
      <c r="AS230" s="162">
        <f>B198</f>
        <v>44607</v>
      </c>
      <c r="AT230" s="162">
        <f>B199</f>
        <v>45268</v>
      </c>
      <c r="AU230" s="162">
        <f>B200</f>
        <v>45899</v>
      </c>
      <c r="AV230" s="162">
        <f>B201</f>
        <v>46502</v>
      </c>
      <c r="AW230" s="162">
        <f>B202</f>
        <v>47076</v>
      </c>
      <c r="AX230" s="161" t="s">
        <v>103</v>
      </c>
    </row>
    <row r="231" spans="1:50" ht="20.100000000000001" customHeight="1">
      <c r="K231" s="161" t="s">
        <v>95</v>
      </c>
      <c r="L231" s="161"/>
      <c r="M231" s="161"/>
      <c r="N231" s="161"/>
      <c r="O231" s="161"/>
      <c r="P231" s="161"/>
      <c r="Q231" s="161"/>
      <c r="R231" s="161"/>
      <c r="S231" s="161"/>
      <c r="T231" s="161"/>
      <c r="U231" s="161"/>
      <c r="V231" s="161"/>
      <c r="W231" s="161"/>
      <c r="X231" s="161"/>
      <c r="Y231" s="161"/>
      <c r="Z231" s="161"/>
      <c r="AA231" s="161"/>
      <c r="AB231" s="161"/>
      <c r="AC231" s="161"/>
      <c r="AD231" s="161"/>
      <c r="AE231" s="162">
        <f>+AE230</f>
        <v>27323</v>
      </c>
      <c r="AF231" s="211">
        <f>+H206</f>
        <v>30792.5</v>
      </c>
      <c r="AG231" s="211">
        <f>+H207</f>
        <v>32078</v>
      </c>
      <c r="AH231" s="211">
        <f>+H208</f>
        <v>33412.5</v>
      </c>
      <c r="AI231" s="211">
        <f>+H209</f>
        <v>34799</v>
      </c>
      <c r="AJ231" s="211">
        <f>+H210</f>
        <v>36240</v>
      </c>
      <c r="AK231" s="211">
        <f>+H211</f>
        <v>37708</v>
      </c>
      <c r="AL231" s="211">
        <f>+H212</f>
        <v>38596</v>
      </c>
      <c r="AM231" s="211">
        <f>+H213</f>
        <v>39471.5</v>
      </c>
      <c r="AN231" s="211">
        <f>+H214</f>
        <v>40333.5</v>
      </c>
      <c r="AO231" s="211">
        <f>+H215</f>
        <v>41182.5</v>
      </c>
      <c r="AP231" s="211">
        <f>+H216</f>
        <v>42016.5</v>
      </c>
      <c r="AQ231" s="211">
        <f>+H217</f>
        <v>42836.5</v>
      </c>
      <c r="AR231" s="211">
        <f>+H218</f>
        <v>43641.5</v>
      </c>
      <c r="AS231" s="211">
        <f>+H219</f>
        <v>44432.5</v>
      </c>
      <c r="AT231" s="211">
        <f>+H220</f>
        <v>45208.5</v>
      </c>
      <c r="AU231" s="211">
        <f>+H221</f>
        <v>45969.5</v>
      </c>
      <c r="AV231" s="211">
        <f>+H222</f>
        <v>46716.5</v>
      </c>
      <c r="AW231" s="75">
        <f>+H223</f>
        <v>47449.5</v>
      </c>
      <c r="AX231" s="161" t="s">
        <v>95</v>
      </c>
    </row>
    <row r="232" spans="1:50" ht="20.100000000000001" customHeight="1"/>
    <row r="233" spans="1:50" ht="20.100000000000001" customHeight="1"/>
    <row r="234" spans="1:50" ht="20.100000000000001" customHeight="1"/>
    <row r="235" spans="1:50" ht="20.100000000000001" customHeight="1"/>
    <row r="236" spans="1:50" ht="20.100000000000001" customHeight="1"/>
    <row r="237" spans="1:50" ht="20.100000000000001" customHeight="1"/>
    <row r="238" spans="1:50" ht="20.100000000000001" customHeight="1"/>
    <row r="239" spans="1:50" ht="20.100000000000001" customHeight="1"/>
    <row r="240" spans="1:50" ht="20.100000000000001" customHeight="1"/>
    <row r="241" ht="20.100000000000001" customHeight="1"/>
    <row r="242" ht="20.100000000000001" customHeight="1"/>
    <row r="243" ht="20.100000000000001" customHeight="1"/>
    <row r="244" ht="20.100000000000001" customHeight="1"/>
    <row r="245" ht="20.100000000000001" customHeight="1"/>
    <row r="246" ht="20.100000000000001" customHeight="1"/>
    <row r="247" ht="20.100000000000001" customHeight="1"/>
    <row r="248" ht="20.100000000000001" customHeight="1"/>
  </sheetData>
  <phoneticPr fontId="50" type="noConversion"/>
  <pageMargins left="0.74803149606299213" right="0.74803149606299213" top="0.78740157480314965" bottom="0.78740157480314965" header="0.51181102362204722" footer="0.51181102362204722"/>
  <pageSetup paperSize="9" scale="70" fitToHeight="3" orientation="portrait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>
  <sheetPr codeName="Sheet46">
    <tabColor indexed="46"/>
  </sheetPr>
  <dimension ref="A1:AO204"/>
  <sheetViews>
    <sheetView workbookViewId="0"/>
  </sheetViews>
  <sheetFormatPr defaultRowHeight="15" customHeight="1"/>
  <cols>
    <col min="1" max="1" width="8.88671875" style="55"/>
    <col min="2" max="2" width="9.21875" style="55" customWidth="1"/>
    <col min="3" max="3" width="9.5546875" style="55" customWidth="1"/>
    <col min="4" max="4" width="9" style="55" customWidth="1"/>
    <col min="5" max="5" width="11.33203125" style="55" customWidth="1"/>
    <col min="6" max="6" width="9.44140625" style="55" customWidth="1"/>
    <col min="7" max="7" width="15.109375" style="55" bestFit="1" customWidth="1"/>
    <col min="8" max="8" width="12.88671875" style="55" bestFit="1" customWidth="1"/>
    <col min="9" max="9" width="11.5546875" style="55" bestFit="1" customWidth="1"/>
    <col min="10" max="11" width="8.88671875" style="55"/>
    <col min="12" max="41" width="6.77734375" style="55" customWidth="1"/>
    <col min="42" max="16384" width="8.88671875" style="55"/>
  </cols>
  <sheetData>
    <row r="1" spans="1:13" ht="15" customHeight="1">
      <c r="A1" s="54" t="s">
        <v>271</v>
      </c>
    </row>
    <row r="2" spans="1:13" ht="15" customHeight="1">
      <c r="A2" s="54"/>
    </row>
    <row r="3" spans="1:13" ht="15" customHeight="1">
      <c r="A3" s="56" t="s">
        <v>74</v>
      </c>
      <c r="B3" s="57"/>
    </row>
    <row r="4" spans="1:13" ht="15" customHeight="1">
      <c r="A4" s="58" t="s">
        <v>32</v>
      </c>
      <c r="B4" s="59" t="s">
        <v>40</v>
      </c>
      <c r="C4" s="59" t="s">
        <v>33</v>
      </c>
      <c r="D4" s="60"/>
      <c r="E4" s="60"/>
      <c r="F4" s="61"/>
      <c r="G4" s="62"/>
      <c r="H4" s="63" t="s">
        <v>266</v>
      </c>
      <c r="I4" s="64">
        <f>RSQ(I5:I15,B5:B15)</f>
        <v>0.95447645976077422</v>
      </c>
    </row>
    <row r="5" spans="1:13" ht="15" customHeight="1">
      <c r="A5" s="176">
        <v>1997</v>
      </c>
      <c r="B5" s="180">
        <f>+묵호동20년!B14</f>
        <v>7375</v>
      </c>
      <c r="C5" s="177">
        <v>0</v>
      </c>
      <c r="D5" s="178"/>
      <c r="E5" s="178"/>
      <c r="F5" s="179"/>
      <c r="G5" s="262"/>
      <c r="H5" s="263"/>
      <c r="I5" s="70">
        <f t="shared" ref="I5:I33" si="0">$E$6*C5+$E$7</f>
        <v>7375</v>
      </c>
    </row>
    <row r="6" spans="1:13" ht="15" customHeight="1">
      <c r="A6" s="65" t="e">
        <f>#REF!</f>
        <v>#REF!</v>
      </c>
      <c r="B6" s="180">
        <f>+묵호동20년!B15</f>
        <v>7030</v>
      </c>
      <c r="C6" s="67">
        <f>+C5+1</f>
        <v>1</v>
      </c>
      <c r="D6" s="53" t="s">
        <v>75</v>
      </c>
      <c r="E6" s="68">
        <f>(B15-B5)/C15</f>
        <v>-254.9</v>
      </c>
      <c r="F6" s="69"/>
      <c r="G6" s="53"/>
      <c r="H6" s="69"/>
      <c r="I6" s="70">
        <f t="shared" si="0"/>
        <v>7120.1</v>
      </c>
      <c r="J6" s="71">
        <v>570570</v>
      </c>
      <c r="K6" s="55">
        <v>570570</v>
      </c>
      <c r="L6" s="55">
        <v>766</v>
      </c>
    </row>
    <row r="7" spans="1:13" ht="15" customHeight="1">
      <c r="A7" s="65" t="e">
        <f>#REF!</f>
        <v>#REF!</v>
      </c>
      <c r="B7" s="180">
        <f>+묵호동20년!B16</f>
        <v>6695</v>
      </c>
      <c r="C7" s="67">
        <f t="shared" ref="C7:C33" si="1">C6+1</f>
        <v>2</v>
      </c>
      <c r="D7" s="53" t="s">
        <v>76</v>
      </c>
      <c r="E7" s="72">
        <f>B5</f>
        <v>7375</v>
      </c>
      <c r="F7" s="69"/>
      <c r="G7" s="53"/>
      <c r="H7" s="69"/>
      <c r="I7" s="70">
        <f t="shared" si="0"/>
        <v>6865.2</v>
      </c>
      <c r="J7" s="71">
        <v>583230</v>
      </c>
      <c r="K7" s="55">
        <v>583230</v>
      </c>
      <c r="L7" s="55">
        <v>1094</v>
      </c>
    </row>
    <row r="8" spans="1:13" ht="15" customHeight="1">
      <c r="A8" s="65" t="e">
        <f>#REF!</f>
        <v>#REF!</v>
      </c>
      <c r="B8" s="180">
        <f>+묵호동20년!B17</f>
        <v>6281</v>
      </c>
      <c r="C8" s="67">
        <f t="shared" si="1"/>
        <v>3</v>
      </c>
      <c r="D8" s="53" t="s">
        <v>77</v>
      </c>
      <c r="E8" s="73">
        <f>I4</f>
        <v>0.95447645976077422</v>
      </c>
      <c r="F8" s="69"/>
      <c r="G8" s="53"/>
      <c r="H8" s="69"/>
      <c r="I8" s="70">
        <f t="shared" si="0"/>
        <v>6610.3</v>
      </c>
      <c r="J8" s="71">
        <v>590162</v>
      </c>
      <c r="K8" s="55">
        <v>590162</v>
      </c>
      <c r="L8" s="55">
        <v>1277</v>
      </c>
    </row>
    <row r="9" spans="1:13" ht="15" customHeight="1">
      <c r="A9" s="65" t="e">
        <f>#REF!</f>
        <v>#REF!</v>
      </c>
      <c r="B9" s="180">
        <f>+묵호동20년!B18</f>
        <v>5959</v>
      </c>
      <c r="C9" s="67">
        <f t="shared" si="1"/>
        <v>4</v>
      </c>
      <c r="D9" s="53"/>
      <c r="E9" s="53"/>
      <c r="F9" s="69"/>
      <c r="G9" s="53"/>
      <c r="H9" s="69"/>
      <c r="I9" s="70">
        <f t="shared" si="0"/>
        <v>6355.4</v>
      </c>
      <c r="J9" s="71">
        <v>600343</v>
      </c>
      <c r="K9" s="55">
        <v>600343</v>
      </c>
      <c r="L9" s="55">
        <v>1147</v>
      </c>
    </row>
    <row r="10" spans="1:13" ht="15" customHeight="1">
      <c r="A10" s="65" t="e">
        <f>#REF!</f>
        <v>#REF!</v>
      </c>
      <c r="B10" s="180">
        <f>+묵호동20년!B19</f>
        <v>5578</v>
      </c>
      <c r="C10" s="67">
        <f t="shared" si="1"/>
        <v>5</v>
      </c>
      <c r="D10" s="53"/>
      <c r="E10" s="53"/>
      <c r="F10" s="69"/>
      <c r="G10" s="53"/>
      <c r="H10" s="69"/>
      <c r="I10" s="70">
        <f t="shared" si="0"/>
        <v>6100.5</v>
      </c>
      <c r="J10" s="71">
        <v>611921</v>
      </c>
      <c r="K10" s="55">
        <v>611921</v>
      </c>
      <c r="L10" s="55">
        <v>1355</v>
      </c>
    </row>
    <row r="11" spans="1:13" ht="15" customHeight="1">
      <c r="A11" s="65" t="e">
        <f>#REF!</f>
        <v>#REF!</v>
      </c>
      <c r="B11" s="180">
        <f>+묵호동20년!B20</f>
        <v>5267</v>
      </c>
      <c r="C11" s="67">
        <f t="shared" si="1"/>
        <v>6</v>
      </c>
      <c r="D11" s="53"/>
      <c r="E11" s="53"/>
      <c r="F11" s="69"/>
      <c r="G11" s="53"/>
      <c r="H11" s="69"/>
      <c r="I11" s="70">
        <f t="shared" si="0"/>
        <v>5845.6</v>
      </c>
      <c r="J11" s="74">
        <v>622238</v>
      </c>
      <c r="K11" s="55">
        <v>622238</v>
      </c>
      <c r="L11" s="55">
        <v>1717</v>
      </c>
    </row>
    <row r="12" spans="1:13" ht="15" customHeight="1">
      <c r="A12" s="65" t="e">
        <f>#REF!</f>
        <v>#REF!</v>
      </c>
      <c r="B12" s="180">
        <f>+묵호동20년!B21</f>
        <v>5105</v>
      </c>
      <c r="C12" s="67">
        <f t="shared" si="1"/>
        <v>7</v>
      </c>
      <c r="D12" s="53" t="s">
        <v>73</v>
      </c>
      <c r="E12" s="53"/>
      <c r="F12" s="69"/>
      <c r="G12" s="53"/>
      <c r="H12" s="69"/>
      <c r="I12" s="70">
        <f t="shared" si="0"/>
        <v>5590.7</v>
      </c>
      <c r="J12" s="74">
        <v>623897</v>
      </c>
      <c r="K12" s="55">
        <v>623897</v>
      </c>
      <c r="L12" s="55">
        <v>1614</v>
      </c>
    </row>
    <row r="13" spans="1:13" ht="15" customHeight="1">
      <c r="A13" s="65" t="e">
        <f>#REF!</f>
        <v>#REF!</v>
      </c>
      <c r="B13" s="180">
        <f>+묵호동20년!B22</f>
        <v>4844</v>
      </c>
      <c r="C13" s="67">
        <f t="shared" si="1"/>
        <v>8</v>
      </c>
      <c r="D13" s="53"/>
      <c r="E13" s="53"/>
      <c r="F13" s="69"/>
      <c r="G13" s="53"/>
      <c r="H13" s="69"/>
      <c r="I13" s="70">
        <f t="shared" si="0"/>
        <v>5335.8</v>
      </c>
      <c r="J13" s="74">
        <v>626069</v>
      </c>
      <c r="K13" s="55">
        <v>626069</v>
      </c>
      <c r="L13" s="55">
        <v>1584</v>
      </c>
    </row>
    <row r="14" spans="1:13" ht="15" customHeight="1">
      <c r="A14" s="65" t="e">
        <f>#REF!</f>
        <v>#REF!</v>
      </c>
      <c r="B14" s="180">
        <f>+묵호동20년!B23</f>
        <v>4774</v>
      </c>
      <c r="C14" s="67">
        <f t="shared" si="1"/>
        <v>9</v>
      </c>
      <c r="D14" s="53"/>
      <c r="E14" s="53"/>
      <c r="F14" s="69"/>
      <c r="G14" s="53"/>
      <c r="H14" s="69"/>
      <c r="I14" s="70">
        <f t="shared" si="0"/>
        <v>5080.8999999999996</v>
      </c>
      <c r="J14" s="74">
        <v>618816</v>
      </c>
      <c r="K14" s="55">
        <v>620374</v>
      </c>
      <c r="L14" s="75">
        <v>1555</v>
      </c>
      <c r="M14" s="75"/>
    </row>
    <row r="15" spans="1:13" ht="15" customHeight="1" thickBot="1">
      <c r="A15" s="97" t="e">
        <f>#REF!</f>
        <v>#REF!</v>
      </c>
      <c r="B15" s="181">
        <f>+묵호동20년!B24</f>
        <v>4826</v>
      </c>
      <c r="C15" s="99">
        <f t="shared" si="1"/>
        <v>10</v>
      </c>
      <c r="D15" s="101"/>
      <c r="E15" s="101"/>
      <c r="F15" s="100"/>
      <c r="G15" s="101"/>
      <c r="H15" s="100"/>
      <c r="I15" s="102">
        <f t="shared" si="0"/>
        <v>4826</v>
      </c>
      <c r="J15" s="74">
        <v>622472</v>
      </c>
      <c r="K15" s="55">
        <v>624260</v>
      </c>
      <c r="L15" s="75">
        <v>1788</v>
      </c>
      <c r="M15" s="75"/>
    </row>
    <row r="16" spans="1:13" ht="15" customHeight="1" thickTop="1">
      <c r="A16" s="80">
        <v>2008</v>
      </c>
      <c r="B16" s="81">
        <f t="shared" ref="B16:B33" si="2">ROUND($E$6*C16+$E$7,0)</f>
        <v>4571</v>
      </c>
      <c r="C16" s="77">
        <f t="shared" si="1"/>
        <v>11</v>
      </c>
      <c r="D16" s="256"/>
      <c r="E16" s="256"/>
      <c r="F16" s="78"/>
      <c r="G16" s="256"/>
      <c r="H16" s="78"/>
      <c r="I16" s="79">
        <f t="shared" si="0"/>
        <v>4571.1000000000004</v>
      </c>
      <c r="K16" s="55">
        <v>623804</v>
      </c>
      <c r="L16" s="75">
        <f>+J16-K16</f>
        <v>-623804</v>
      </c>
      <c r="M16" s="75"/>
    </row>
    <row r="17" spans="1:9" ht="15" customHeight="1">
      <c r="A17" s="80">
        <v>2009</v>
      </c>
      <c r="B17" s="81">
        <f t="shared" si="2"/>
        <v>4316</v>
      </c>
      <c r="C17" s="67">
        <f t="shared" si="1"/>
        <v>12</v>
      </c>
      <c r="D17" s="69"/>
      <c r="E17" s="69"/>
      <c r="F17" s="69"/>
      <c r="G17" s="69"/>
      <c r="H17" s="69"/>
      <c r="I17" s="70">
        <f t="shared" si="0"/>
        <v>4316.2</v>
      </c>
    </row>
    <row r="18" spans="1:9" ht="15" customHeight="1">
      <c r="A18" s="80">
        <v>2010</v>
      </c>
      <c r="B18" s="81">
        <f t="shared" si="2"/>
        <v>4061</v>
      </c>
      <c r="C18" s="82">
        <f t="shared" si="1"/>
        <v>13</v>
      </c>
      <c r="D18" s="69"/>
      <c r="E18" s="69"/>
      <c r="F18" s="69"/>
      <c r="G18" s="69"/>
      <c r="H18" s="69"/>
      <c r="I18" s="70">
        <f t="shared" si="0"/>
        <v>4061.2999999999997</v>
      </c>
    </row>
    <row r="19" spans="1:9" ht="15" customHeight="1">
      <c r="A19" s="80">
        <v>2011</v>
      </c>
      <c r="B19" s="81">
        <f t="shared" si="2"/>
        <v>3806</v>
      </c>
      <c r="C19" s="82">
        <f t="shared" si="1"/>
        <v>14</v>
      </c>
      <c r="D19" s="69"/>
      <c r="E19" s="69"/>
      <c r="F19" s="69"/>
      <c r="G19" s="69"/>
      <c r="H19" s="69"/>
      <c r="I19" s="70">
        <f t="shared" si="0"/>
        <v>3806.4</v>
      </c>
    </row>
    <row r="20" spans="1:9" ht="15" customHeight="1">
      <c r="A20" s="80">
        <v>2012</v>
      </c>
      <c r="B20" s="81">
        <f t="shared" si="2"/>
        <v>3552</v>
      </c>
      <c r="C20" s="82">
        <f t="shared" si="1"/>
        <v>15</v>
      </c>
      <c r="D20" s="69"/>
      <c r="E20" s="69"/>
      <c r="F20" s="69"/>
      <c r="G20" s="69"/>
      <c r="H20" s="69"/>
      <c r="I20" s="70">
        <f t="shared" si="0"/>
        <v>3551.5</v>
      </c>
    </row>
    <row r="21" spans="1:9" ht="15" customHeight="1">
      <c r="A21" s="80">
        <v>2013</v>
      </c>
      <c r="B21" s="81">
        <f t="shared" si="2"/>
        <v>3297</v>
      </c>
      <c r="C21" s="82">
        <f t="shared" si="1"/>
        <v>16</v>
      </c>
      <c r="D21" s="69"/>
      <c r="E21" s="69"/>
      <c r="F21" s="69"/>
      <c r="G21" s="69"/>
      <c r="H21" s="69"/>
      <c r="I21" s="70">
        <f t="shared" si="0"/>
        <v>3296.6</v>
      </c>
    </row>
    <row r="22" spans="1:9" ht="15" customHeight="1">
      <c r="A22" s="80">
        <v>2014</v>
      </c>
      <c r="B22" s="81">
        <f t="shared" si="2"/>
        <v>3042</v>
      </c>
      <c r="C22" s="82">
        <f t="shared" si="1"/>
        <v>17</v>
      </c>
      <c r="D22" s="69"/>
      <c r="E22" s="69"/>
      <c r="F22" s="69"/>
      <c r="G22" s="69"/>
      <c r="H22" s="69"/>
      <c r="I22" s="70">
        <f t="shared" si="0"/>
        <v>3041.7</v>
      </c>
    </row>
    <row r="23" spans="1:9" ht="15" customHeight="1">
      <c r="A23" s="80">
        <v>2015</v>
      </c>
      <c r="B23" s="81">
        <f t="shared" si="2"/>
        <v>2787</v>
      </c>
      <c r="C23" s="82">
        <f t="shared" si="1"/>
        <v>18</v>
      </c>
      <c r="D23" s="69"/>
      <c r="E23" s="69"/>
      <c r="F23" s="69"/>
      <c r="G23" s="69"/>
      <c r="H23" s="69"/>
      <c r="I23" s="70">
        <f t="shared" si="0"/>
        <v>2786.8</v>
      </c>
    </row>
    <row r="24" spans="1:9" ht="15" customHeight="1">
      <c r="A24" s="80">
        <v>2016</v>
      </c>
      <c r="B24" s="81">
        <f t="shared" si="2"/>
        <v>2532</v>
      </c>
      <c r="C24" s="82">
        <f t="shared" si="1"/>
        <v>19</v>
      </c>
      <c r="D24" s="69"/>
      <c r="E24" s="69"/>
      <c r="F24" s="69"/>
      <c r="G24" s="69"/>
      <c r="H24" s="69"/>
      <c r="I24" s="70">
        <f t="shared" si="0"/>
        <v>2531.8999999999996</v>
      </c>
    </row>
    <row r="25" spans="1:9" ht="15" customHeight="1">
      <c r="A25" s="80">
        <v>2017</v>
      </c>
      <c r="B25" s="81">
        <f t="shared" si="2"/>
        <v>2277</v>
      </c>
      <c r="C25" s="82">
        <f t="shared" si="1"/>
        <v>20</v>
      </c>
      <c r="D25" s="69"/>
      <c r="E25" s="69"/>
      <c r="F25" s="69"/>
      <c r="G25" s="69"/>
      <c r="H25" s="69"/>
      <c r="I25" s="70">
        <f t="shared" si="0"/>
        <v>2277</v>
      </c>
    </row>
    <row r="26" spans="1:9" ht="15" customHeight="1">
      <c r="A26" s="80">
        <v>2018</v>
      </c>
      <c r="B26" s="81">
        <f t="shared" si="2"/>
        <v>2022</v>
      </c>
      <c r="C26" s="82">
        <f t="shared" si="1"/>
        <v>21</v>
      </c>
      <c r="D26" s="69"/>
      <c r="E26" s="69"/>
      <c r="F26" s="69"/>
      <c r="G26" s="69"/>
      <c r="H26" s="69"/>
      <c r="I26" s="70">
        <f t="shared" si="0"/>
        <v>2022.0999999999995</v>
      </c>
    </row>
    <row r="27" spans="1:9" ht="15" customHeight="1">
      <c r="A27" s="80">
        <v>2019</v>
      </c>
      <c r="B27" s="81">
        <f t="shared" si="2"/>
        <v>1767</v>
      </c>
      <c r="C27" s="82">
        <f t="shared" si="1"/>
        <v>22</v>
      </c>
      <c r="D27" s="69"/>
      <c r="E27" s="69"/>
      <c r="F27" s="69"/>
      <c r="G27" s="69"/>
      <c r="H27" s="69"/>
      <c r="I27" s="70">
        <f t="shared" si="0"/>
        <v>1767.1999999999998</v>
      </c>
    </row>
    <row r="28" spans="1:9" ht="15" customHeight="1">
      <c r="A28" s="80">
        <v>2020</v>
      </c>
      <c r="B28" s="81">
        <f t="shared" si="2"/>
        <v>1512</v>
      </c>
      <c r="C28" s="82">
        <f t="shared" si="1"/>
        <v>23</v>
      </c>
      <c r="D28" s="69"/>
      <c r="E28" s="69"/>
      <c r="F28" s="69"/>
      <c r="G28" s="69"/>
      <c r="H28" s="69"/>
      <c r="I28" s="70">
        <f t="shared" si="0"/>
        <v>1512.3000000000002</v>
      </c>
    </row>
    <row r="29" spans="1:9" ht="15" customHeight="1">
      <c r="A29" s="80">
        <v>2021</v>
      </c>
      <c r="B29" s="81">
        <f t="shared" si="2"/>
        <v>1257</v>
      </c>
      <c r="C29" s="82">
        <f t="shared" si="1"/>
        <v>24</v>
      </c>
      <c r="D29" s="69"/>
      <c r="E29" s="69"/>
      <c r="F29" s="69"/>
      <c r="G29" s="69"/>
      <c r="H29" s="69"/>
      <c r="I29" s="70">
        <f t="shared" si="0"/>
        <v>1257.3999999999996</v>
      </c>
    </row>
    <row r="30" spans="1:9" ht="15" customHeight="1">
      <c r="A30" s="80">
        <v>2022</v>
      </c>
      <c r="B30" s="81">
        <f t="shared" si="2"/>
        <v>1003</v>
      </c>
      <c r="C30" s="82">
        <f t="shared" si="1"/>
        <v>25</v>
      </c>
      <c r="D30" s="69"/>
      <c r="E30" s="69"/>
      <c r="F30" s="69"/>
      <c r="G30" s="69"/>
      <c r="H30" s="69"/>
      <c r="I30" s="70">
        <f t="shared" si="0"/>
        <v>1002.5</v>
      </c>
    </row>
    <row r="31" spans="1:9" ht="15" customHeight="1">
      <c r="A31" s="80">
        <v>2023</v>
      </c>
      <c r="B31" s="81">
        <f t="shared" si="2"/>
        <v>748</v>
      </c>
      <c r="C31" s="82">
        <f t="shared" si="1"/>
        <v>26</v>
      </c>
      <c r="D31" s="69"/>
      <c r="E31" s="69"/>
      <c r="F31" s="69"/>
      <c r="G31" s="69"/>
      <c r="H31" s="69"/>
      <c r="I31" s="70">
        <f t="shared" si="0"/>
        <v>747.59999999999945</v>
      </c>
    </row>
    <row r="32" spans="1:9" ht="15" customHeight="1">
      <c r="A32" s="80">
        <v>2024</v>
      </c>
      <c r="B32" s="81">
        <f t="shared" si="2"/>
        <v>493</v>
      </c>
      <c r="C32" s="67">
        <f t="shared" si="1"/>
        <v>27</v>
      </c>
      <c r="D32" s="83"/>
      <c r="E32" s="69"/>
      <c r="F32" s="69"/>
      <c r="G32" s="69"/>
      <c r="H32" s="84"/>
      <c r="I32" s="70">
        <f t="shared" si="0"/>
        <v>492.69999999999982</v>
      </c>
    </row>
    <row r="33" spans="1:9" ht="15" customHeight="1">
      <c r="A33" s="85">
        <v>2025</v>
      </c>
      <c r="B33" s="86">
        <f t="shared" si="2"/>
        <v>238</v>
      </c>
      <c r="C33" s="87">
        <f t="shared" si="1"/>
        <v>28</v>
      </c>
      <c r="D33" s="88"/>
      <c r="E33" s="89"/>
      <c r="F33" s="89"/>
      <c r="G33" s="89"/>
      <c r="H33" s="90"/>
      <c r="I33" s="91">
        <f t="shared" si="0"/>
        <v>237.80000000000018</v>
      </c>
    </row>
    <row r="34" spans="1:9" ht="15" customHeight="1">
      <c r="A34" s="56" t="s">
        <v>78</v>
      </c>
      <c r="B34" s="92"/>
      <c r="I34" s="89"/>
    </row>
    <row r="35" spans="1:9" ht="15" customHeight="1">
      <c r="A35" s="58" t="s">
        <v>32</v>
      </c>
      <c r="B35" s="59" t="s">
        <v>40</v>
      </c>
      <c r="C35" s="59" t="s">
        <v>33</v>
      </c>
      <c r="D35" s="60"/>
      <c r="E35" s="60"/>
      <c r="F35" s="61"/>
      <c r="G35" s="62"/>
      <c r="H35" s="63" t="s">
        <v>266</v>
      </c>
      <c r="I35" s="64">
        <f>RSQ(I36:I46,B36:B46)</f>
        <v>0.95447645976077422</v>
      </c>
    </row>
    <row r="36" spans="1:9" ht="15" customHeight="1">
      <c r="A36" s="65">
        <f t="shared" ref="A36:B46" si="3">A5</f>
        <v>1997</v>
      </c>
      <c r="B36" s="93">
        <f t="shared" si="3"/>
        <v>7375</v>
      </c>
      <c r="C36" s="67">
        <v>0</v>
      </c>
      <c r="D36" s="53"/>
      <c r="E36" s="53"/>
      <c r="F36" s="69"/>
      <c r="G36" s="264"/>
      <c r="H36" s="265"/>
      <c r="I36" s="94">
        <f t="shared" ref="I36:I64" si="4">$E$37*C36+$E$38</f>
        <v>7174.2727272727279</v>
      </c>
    </row>
    <row r="37" spans="1:9" ht="15" customHeight="1">
      <c r="A37" s="65" t="e">
        <f t="shared" si="3"/>
        <v>#REF!</v>
      </c>
      <c r="B37" s="93">
        <f t="shared" si="3"/>
        <v>7030</v>
      </c>
      <c r="C37" s="67">
        <f>+C36+1</f>
        <v>1</v>
      </c>
      <c r="D37" s="53" t="s">
        <v>75</v>
      </c>
      <c r="E37" s="68">
        <f>INDEX(LINEST(B36:B46,C36:C46),1)</f>
        <v>-276.05454545454552</v>
      </c>
      <c r="F37" s="69"/>
      <c r="G37" s="53"/>
      <c r="H37" s="69"/>
      <c r="I37" s="70">
        <f t="shared" si="4"/>
        <v>6898.2181818181825</v>
      </c>
    </row>
    <row r="38" spans="1:9" ht="15" customHeight="1">
      <c r="A38" s="65" t="e">
        <f t="shared" si="3"/>
        <v>#REF!</v>
      </c>
      <c r="B38" s="93">
        <f t="shared" si="3"/>
        <v>6695</v>
      </c>
      <c r="C38" s="67">
        <f t="shared" ref="C38:C64" si="5">C37+1</f>
        <v>2</v>
      </c>
      <c r="D38" s="53" t="s">
        <v>76</v>
      </c>
      <c r="E38" s="72">
        <f>INDEX(LINEST(B36:B46,C36:C46),2)</f>
        <v>7174.2727272727279</v>
      </c>
      <c r="F38" s="69"/>
      <c r="G38" s="53"/>
      <c r="H38" s="69"/>
      <c r="I38" s="70">
        <f t="shared" si="4"/>
        <v>6622.1636363636371</v>
      </c>
    </row>
    <row r="39" spans="1:9" ht="15" customHeight="1">
      <c r="A39" s="65" t="e">
        <f t="shared" si="3"/>
        <v>#REF!</v>
      </c>
      <c r="B39" s="93">
        <f t="shared" si="3"/>
        <v>6281</v>
      </c>
      <c r="C39" s="67">
        <f t="shared" si="5"/>
        <v>3</v>
      </c>
      <c r="D39" s="53" t="s">
        <v>77</v>
      </c>
      <c r="E39" s="73">
        <f>I35</f>
        <v>0.95447645976077422</v>
      </c>
      <c r="F39" s="69"/>
      <c r="G39" s="53"/>
      <c r="H39" s="69"/>
      <c r="I39" s="70">
        <f t="shared" si="4"/>
        <v>6346.1090909090917</v>
      </c>
    </row>
    <row r="40" spans="1:9" ht="15" customHeight="1">
      <c r="A40" s="65" t="e">
        <f t="shared" si="3"/>
        <v>#REF!</v>
      </c>
      <c r="B40" s="93">
        <f t="shared" si="3"/>
        <v>5959</v>
      </c>
      <c r="C40" s="67">
        <f t="shared" si="5"/>
        <v>4</v>
      </c>
      <c r="D40" s="53"/>
      <c r="E40" s="53"/>
      <c r="F40" s="69"/>
      <c r="G40" s="53"/>
      <c r="H40" s="69"/>
      <c r="I40" s="70">
        <f t="shared" si="4"/>
        <v>6070.0545454545463</v>
      </c>
    </row>
    <row r="41" spans="1:9" ht="15" customHeight="1">
      <c r="A41" s="65" t="e">
        <f t="shared" si="3"/>
        <v>#REF!</v>
      </c>
      <c r="B41" s="93">
        <f t="shared" si="3"/>
        <v>5578</v>
      </c>
      <c r="C41" s="67">
        <f t="shared" si="5"/>
        <v>5</v>
      </c>
      <c r="D41" s="53"/>
      <c r="E41" s="53"/>
      <c r="F41" s="69"/>
      <c r="G41" s="95"/>
      <c r="H41" s="69"/>
      <c r="I41" s="70">
        <f t="shared" si="4"/>
        <v>5794</v>
      </c>
    </row>
    <row r="42" spans="1:9" ht="15" customHeight="1">
      <c r="A42" s="65" t="e">
        <f t="shared" si="3"/>
        <v>#REF!</v>
      </c>
      <c r="B42" s="93">
        <f t="shared" si="3"/>
        <v>5267</v>
      </c>
      <c r="C42" s="67">
        <f t="shared" si="5"/>
        <v>6</v>
      </c>
      <c r="D42" s="53"/>
      <c r="E42" s="53"/>
      <c r="F42" s="69"/>
      <c r="G42" s="53"/>
      <c r="H42" s="69"/>
      <c r="I42" s="70">
        <f t="shared" si="4"/>
        <v>5517.9454545454546</v>
      </c>
    </row>
    <row r="43" spans="1:9" ht="15" customHeight="1">
      <c r="A43" s="65" t="e">
        <f t="shared" si="3"/>
        <v>#REF!</v>
      </c>
      <c r="B43" s="93">
        <f t="shared" si="3"/>
        <v>5105</v>
      </c>
      <c r="C43" s="67">
        <f t="shared" si="5"/>
        <v>7</v>
      </c>
      <c r="D43" s="53" t="s">
        <v>73</v>
      </c>
      <c r="E43" s="53"/>
      <c r="F43" s="69"/>
      <c r="G43" s="53"/>
      <c r="H43" s="69"/>
      <c r="I43" s="70">
        <f t="shared" si="4"/>
        <v>5241.8909090909092</v>
      </c>
    </row>
    <row r="44" spans="1:9" ht="15" customHeight="1">
      <c r="A44" s="65" t="e">
        <f t="shared" si="3"/>
        <v>#REF!</v>
      </c>
      <c r="B44" s="93">
        <f t="shared" si="3"/>
        <v>4844</v>
      </c>
      <c r="C44" s="67">
        <f t="shared" si="5"/>
        <v>8</v>
      </c>
      <c r="D44" s="53"/>
      <c r="E44" s="53"/>
      <c r="F44" s="69"/>
      <c r="G44" s="53"/>
      <c r="H44" s="69"/>
      <c r="I44" s="70">
        <f t="shared" si="4"/>
        <v>4965.8363636363638</v>
      </c>
    </row>
    <row r="45" spans="1:9" ht="15" customHeight="1">
      <c r="A45" s="65" t="e">
        <f t="shared" si="3"/>
        <v>#REF!</v>
      </c>
      <c r="B45" s="93">
        <f t="shared" si="3"/>
        <v>4774</v>
      </c>
      <c r="C45" s="67">
        <f t="shared" si="5"/>
        <v>9</v>
      </c>
      <c r="D45" s="53"/>
      <c r="E45" s="53"/>
      <c r="F45" s="69"/>
      <c r="G45" s="53"/>
      <c r="H45" s="69"/>
      <c r="I45" s="70">
        <f t="shared" si="4"/>
        <v>4689.7818181818184</v>
      </c>
    </row>
    <row r="46" spans="1:9" ht="15" customHeight="1" thickBot="1">
      <c r="A46" s="97" t="e">
        <f t="shared" si="3"/>
        <v>#REF!</v>
      </c>
      <c r="B46" s="98">
        <f t="shared" si="3"/>
        <v>4826</v>
      </c>
      <c r="C46" s="99">
        <f t="shared" si="5"/>
        <v>10</v>
      </c>
      <c r="D46" s="100"/>
      <c r="E46" s="100"/>
      <c r="F46" s="100"/>
      <c r="G46" s="101"/>
      <c r="H46" s="101"/>
      <c r="I46" s="102">
        <f t="shared" si="4"/>
        <v>4413.727272727273</v>
      </c>
    </row>
    <row r="47" spans="1:9" ht="15" customHeight="1" thickTop="1">
      <c r="A47" s="80">
        <v>2008</v>
      </c>
      <c r="B47" s="81">
        <f t="shared" ref="B47:B64" si="6">ROUND(E$37*C47+E$38,0)</f>
        <v>4138</v>
      </c>
      <c r="C47" s="77">
        <f t="shared" si="5"/>
        <v>11</v>
      </c>
      <c r="D47" s="78"/>
      <c r="E47" s="78"/>
      <c r="F47" s="78"/>
      <c r="G47" s="256"/>
      <c r="H47" s="256"/>
      <c r="I47" s="79">
        <f t="shared" si="4"/>
        <v>4137.6727272727276</v>
      </c>
    </row>
    <row r="48" spans="1:9" ht="15" customHeight="1">
      <c r="A48" s="80">
        <v>2009</v>
      </c>
      <c r="B48" s="81">
        <f t="shared" si="6"/>
        <v>3862</v>
      </c>
      <c r="C48" s="67">
        <f t="shared" si="5"/>
        <v>12</v>
      </c>
      <c r="D48" s="69"/>
      <c r="E48" s="69"/>
      <c r="F48" s="69"/>
      <c r="G48" s="69"/>
      <c r="H48" s="69"/>
      <c r="I48" s="70">
        <f t="shared" si="4"/>
        <v>3861.6181818181817</v>
      </c>
    </row>
    <row r="49" spans="1:9" ht="15" customHeight="1">
      <c r="A49" s="80">
        <v>2010</v>
      </c>
      <c r="B49" s="81">
        <f t="shared" si="6"/>
        <v>3586</v>
      </c>
      <c r="C49" s="82">
        <f t="shared" si="5"/>
        <v>13</v>
      </c>
      <c r="D49" s="69"/>
      <c r="E49" s="69"/>
      <c r="F49" s="69"/>
      <c r="G49" s="69"/>
      <c r="H49" s="69"/>
      <c r="I49" s="70">
        <f t="shared" si="4"/>
        <v>3585.5636363636363</v>
      </c>
    </row>
    <row r="50" spans="1:9" ht="15" customHeight="1">
      <c r="A50" s="80">
        <v>2011</v>
      </c>
      <c r="B50" s="81">
        <f t="shared" si="6"/>
        <v>3310</v>
      </c>
      <c r="C50" s="82">
        <f t="shared" si="5"/>
        <v>14</v>
      </c>
      <c r="D50" s="69"/>
      <c r="E50" s="69"/>
      <c r="F50" s="69"/>
      <c r="G50" s="69"/>
      <c r="H50" s="69"/>
      <c r="I50" s="70">
        <f t="shared" si="4"/>
        <v>3309.5090909090904</v>
      </c>
    </row>
    <row r="51" spans="1:9" ht="15" customHeight="1">
      <c r="A51" s="80">
        <v>2012</v>
      </c>
      <c r="B51" s="81">
        <f t="shared" si="6"/>
        <v>3033</v>
      </c>
      <c r="C51" s="82">
        <f t="shared" si="5"/>
        <v>15</v>
      </c>
      <c r="D51" s="69"/>
      <c r="E51" s="69"/>
      <c r="F51" s="69"/>
      <c r="G51" s="69"/>
      <c r="H51" s="69"/>
      <c r="I51" s="70">
        <f t="shared" si="4"/>
        <v>3033.454545454545</v>
      </c>
    </row>
    <row r="52" spans="1:9" ht="15" customHeight="1">
      <c r="A52" s="80">
        <v>2013</v>
      </c>
      <c r="B52" s="81">
        <f t="shared" si="6"/>
        <v>2757</v>
      </c>
      <c r="C52" s="82">
        <f t="shared" si="5"/>
        <v>16</v>
      </c>
      <c r="D52" s="69"/>
      <c r="E52" s="69"/>
      <c r="F52" s="69"/>
      <c r="G52" s="69"/>
      <c r="H52" s="69"/>
      <c r="I52" s="70">
        <f t="shared" si="4"/>
        <v>2757.3999999999996</v>
      </c>
    </row>
    <row r="53" spans="1:9" ht="15" customHeight="1">
      <c r="A53" s="80">
        <v>2014</v>
      </c>
      <c r="B53" s="81">
        <f t="shared" si="6"/>
        <v>2481</v>
      </c>
      <c r="C53" s="82">
        <f t="shared" si="5"/>
        <v>17</v>
      </c>
      <c r="D53" s="69"/>
      <c r="E53" s="69"/>
      <c r="F53" s="69"/>
      <c r="G53" s="69"/>
      <c r="H53" s="69"/>
      <c r="I53" s="70">
        <f t="shared" si="4"/>
        <v>2481.3454545454542</v>
      </c>
    </row>
    <row r="54" spans="1:9" ht="15" customHeight="1">
      <c r="A54" s="80">
        <v>2015</v>
      </c>
      <c r="B54" s="81">
        <f t="shared" si="6"/>
        <v>2205</v>
      </c>
      <c r="C54" s="82">
        <f t="shared" si="5"/>
        <v>18</v>
      </c>
      <c r="D54" s="69"/>
      <c r="E54" s="69"/>
      <c r="F54" s="69"/>
      <c r="G54" s="69"/>
      <c r="H54" s="69"/>
      <c r="I54" s="70">
        <f t="shared" si="4"/>
        <v>2205.2909090909088</v>
      </c>
    </row>
    <row r="55" spans="1:9" ht="15" customHeight="1">
      <c r="A55" s="80">
        <v>2016</v>
      </c>
      <c r="B55" s="81">
        <f t="shared" si="6"/>
        <v>1929</v>
      </c>
      <c r="C55" s="82">
        <f t="shared" si="5"/>
        <v>19</v>
      </c>
      <c r="D55" s="69"/>
      <c r="E55" s="69"/>
      <c r="F55" s="69"/>
      <c r="G55" s="69"/>
      <c r="H55" s="69"/>
      <c r="I55" s="70">
        <f t="shared" si="4"/>
        <v>1929.2363636363634</v>
      </c>
    </row>
    <row r="56" spans="1:9" ht="15" customHeight="1">
      <c r="A56" s="80">
        <v>2017</v>
      </c>
      <c r="B56" s="81">
        <f t="shared" si="6"/>
        <v>1653</v>
      </c>
      <c r="C56" s="82">
        <f t="shared" si="5"/>
        <v>20</v>
      </c>
      <c r="D56" s="69"/>
      <c r="E56" s="69"/>
      <c r="F56" s="69"/>
      <c r="G56" s="69"/>
      <c r="H56" s="69"/>
      <c r="I56" s="70">
        <f t="shared" si="4"/>
        <v>1653.181818181818</v>
      </c>
    </row>
    <row r="57" spans="1:9" ht="15" customHeight="1">
      <c r="A57" s="80">
        <v>2018</v>
      </c>
      <c r="B57" s="81">
        <f t="shared" si="6"/>
        <v>1377</v>
      </c>
      <c r="C57" s="82">
        <f t="shared" si="5"/>
        <v>21</v>
      </c>
      <c r="D57" s="69"/>
      <c r="E57" s="69"/>
      <c r="F57" s="69"/>
      <c r="G57" s="69"/>
      <c r="H57" s="69"/>
      <c r="I57" s="70">
        <f t="shared" si="4"/>
        <v>1377.1272727272717</v>
      </c>
    </row>
    <row r="58" spans="1:9" ht="15" customHeight="1">
      <c r="A58" s="80">
        <v>2019</v>
      </c>
      <c r="B58" s="81">
        <f t="shared" si="6"/>
        <v>1101</v>
      </c>
      <c r="C58" s="82">
        <f t="shared" si="5"/>
        <v>22</v>
      </c>
      <c r="D58" s="69"/>
      <c r="E58" s="69"/>
      <c r="F58" s="69"/>
      <c r="G58" s="69"/>
      <c r="H58" s="69"/>
      <c r="I58" s="70">
        <f t="shared" si="4"/>
        <v>1101.0727272727263</v>
      </c>
    </row>
    <row r="59" spans="1:9" ht="15" customHeight="1">
      <c r="A59" s="80">
        <v>2020</v>
      </c>
      <c r="B59" s="81">
        <f t="shared" si="6"/>
        <v>825</v>
      </c>
      <c r="C59" s="82">
        <f t="shared" si="5"/>
        <v>23</v>
      </c>
      <c r="D59" s="69"/>
      <c r="E59" s="69"/>
      <c r="F59" s="69"/>
      <c r="G59" s="69"/>
      <c r="H59" s="69"/>
      <c r="I59" s="70">
        <f t="shared" si="4"/>
        <v>825.01818181818089</v>
      </c>
    </row>
    <row r="60" spans="1:9" ht="15" customHeight="1">
      <c r="A60" s="80">
        <v>2021</v>
      </c>
      <c r="B60" s="81">
        <f t="shared" si="6"/>
        <v>549</v>
      </c>
      <c r="C60" s="82">
        <f t="shared" si="5"/>
        <v>24</v>
      </c>
      <c r="D60" s="69"/>
      <c r="E60" s="69"/>
      <c r="F60" s="69"/>
      <c r="G60" s="69"/>
      <c r="H60" s="69"/>
      <c r="I60" s="70">
        <f t="shared" si="4"/>
        <v>548.96363636363549</v>
      </c>
    </row>
    <row r="61" spans="1:9" ht="15" customHeight="1">
      <c r="A61" s="80">
        <v>2022</v>
      </c>
      <c r="B61" s="81">
        <f t="shared" si="6"/>
        <v>273</v>
      </c>
      <c r="C61" s="82">
        <f t="shared" si="5"/>
        <v>25</v>
      </c>
      <c r="D61" s="69"/>
      <c r="E61" s="69"/>
      <c r="F61" s="69"/>
      <c r="G61" s="69"/>
      <c r="H61" s="69"/>
      <c r="I61" s="70">
        <f t="shared" si="4"/>
        <v>272.90909090909008</v>
      </c>
    </row>
    <row r="62" spans="1:9" ht="15" customHeight="1">
      <c r="A62" s="80">
        <v>2023</v>
      </c>
      <c r="B62" s="81">
        <f t="shared" si="6"/>
        <v>-3</v>
      </c>
      <c r="C62" s="82">
        <f t="shared" si="5"/>
        <v>26</v>
      </c>
      <c r="D62" s="69"/>
      <c r="E62" s="69"/>
      <c r="F62" s="69"/>
      <c r="G62" s="69"/>
      <c r="H62" s="69"/>
      <c r="I62" s="70">
        <f t="shared" si="4"/>
        <v>-3.1454545454553227</v>
      </c>
    </row>
    <row r="63" spans="1:9" ht="15" customHeight="1">
      <c r="A63" s="80">
        <v>2024</v>
      </c>
      <c r="B63" s="81">
        <f t="shared" si="6"/>
        <v>-279</v>
      </c>
      <c r="C63" s="67">
        <f t="shared" si="5"/>
        <v>27</v>
      </c>
      <c r="D63" s="69"/>
      <c r="E63" s="69"/>
      <c r="F63" s="69"/>
      <c r="G63" s="69"/>
      <c r="H63" s="69"/>
      <c r="I63" s="70">
        <f t="shared" si="4"/>
        <v>-279.20000000000073</v>
      </c>
    </row>
    <row r="64" spans="1:9" ht="15" customHeight="1">
      <c r="A64" s="85">
        <v>2025</v>
      </c>
      <c r="B64" s="86">
        <f t="shared" si="6"/>
        <v>-555</v>
      </c>
      <c r="C64" s="87">
        <f t="shared" si="5"/>
        <v>28</v>
      </c>
      <c r="D64" s="89"/>
      <c r="E64" s="89"/>
      <c r="F64" s="89"/>
      <c r="G64" s="89"/>
      <c r="H64" s="89"/>
      <c r="I64" s="91">
        <f t="shared" si="4"/>
        <v>-555.25454545454704</v>
      </c>
    </row>
    <row r="65" spans="1:11" ht="15" customHeight="1">
      <c r="A65" s="56" t="s">
        <v>79</v>
      </c>
      <c r="B65" s="57"/>
    </row>
    <row r="66" spans="1:11" ht="15" customHeight="1">
      <c r="A66" s="58" t="s">
        <v>32</v>
      </c>
      <c r="B66" s="59" t="s">
        <v>40</v>
      </c>
      <c r="C66" s="59" t="s">
        <v>34</v>
      </c>
      <c r="D66" s="59" t="s">
        <v>33</v>
      </c>
      <c r="E66" s="103"/>
      <c r="F66" s="60"/>
      <c r="G66" s="61"/>
      <c r="H66" s="63" t="s">
        <v>266</v>
      </c>
      <c r="I66" s="64">
        <f>RSQ(I67:I77,B67:B77)</f>
        <v>0.9737285657742345</v>
      </c>
    </row>
    <row r="67" spans="1:11" ht="15" customHeight="1">
      <c r="A67" s="65">
        <v>1997</v>
      </c>
      <c r="B67" s="104">
        <f t="shared" ref="B67:B77" si="7">B5</f>
        <v>7375</v>
      </c>
      <c r="C67" s="105">
        <f t="shared" ref="C67:C95" si="8">LN(B67)</f>
        <v>8.9058511812080212</v>
      </c>
      <c r="D67" s="67">
        <v>0</v>
      </c>
      <c r="E67" s="106"/>
      <c r="F67" s="53"/>
      <c r="G67" s="69"/>
      <c r="H67" s="265"/>
      <c r="I67" s="109">
        <f t="shared" ref="I67:I95" si="9">ROUND($F$69*(1+$F$68)^(D67),1)</f>
        <v>7375</v>
      </c>
    </row>
    <row r="68" spans="1:11" ht="15" customHeight="1">
      <c r="A68" s="65" t="e">
        <f t="shared" ref="A68:A77" si="10">A6</f>
        <v>#REF!</v>
      </c>
      <c r="B68" s="104">
        <f t="shared" si="7"/>
        <v>7030</v>
      </c>
      <c r="C68" s="105">
        <f t="shared" si="8"/>
        <v>8.857941984804711</v>
      </c>
      <c r="D68" s="67">
        <f>+D67+1</f>
        <v>1</v>
      </c>
      <c r="E68" s="106" t="s">
        <v>37</v>
      </c>
      <c r="F68" s="73">
        <f>ROUND((B77/B67)^(1/D77)-1,5)</f>
        <v>-4.1520000000000001E-2</v>
      </c>
      <c r="G68" s="107"/>
      <c r="H68" s="108"/>
      <c r="I68" s="109">
        <f t="shared" si="9"/>
        <v>7068.8</v>
      </c>
    </row>
    <row r="69" spans="1:11" ht="15" customHeight="1">
      <c r="A69" s="65" t="e">
        <f t="shared" si="10"/>
        <v>#REF!</v>
      </c>
      <c r="B69" s="104">
        <f t="shared" si="7"/>
        <v>6695</v>
      </c>
      <c r="C69" s="105">
        <f t="shared" si="8"/>
        <v>8.8091162581252735</v>
      </c>
      <c r="D69" s="67">
        <f t="shared" ref="D69:D95" si="11">D68+1</f>
        <v>2</v>
      </c>
      <c r="E69" s="106" t="s">
        <v>80</v>
      </c>
      <c r="F69" s="110">
        <f>B67</f>
        <v>7375</v>
      </c>
      <c r="G69" s="107"/>
      <c r="H69" s="108"/>
      <c r="I69" s="109">
        <f t="shared" si="9"/>
        <v>6775.3</v>
      </c>
      <c r="K69" s="111"/>
    </row>
    <row r="70" spans="1:11" ht="15" customHeight="1">
      <c r="A70" s="65" t="e">
        <f t="shared" si="10"/>
        <v>#REF!</v>
      </c>
      <c r="B70" s="104">
        <f t="shared" si="7"/>
        <v>6281</v>
      </c>
      <c r="C70" s="105">
        <f t="shared" si="8"/>
        <v>8.7452844824543803</v>
      </c>
      <c r="D70" s="67">
        <f t="shared" si="11"/>
        <v>3</v>
      </c>
      <c r="E70" s="106" t="s">
        <v>77</v>
      </c>
      <c r="F70" s="73">
        <f>I66</f>
        <v>0.9737285657742345</v>
      </c>
      <c r="G70" s="108"/>
      <c r="H70" s="108"/>
      <c r="I70" s="109">
        <f t="shared" si="9"/>
        <v>6494</v>
      </c>
    </row>
    <row r="71" spans="1:11" ht="15" customHeight="1">
      <c r="A71" s="65" t="e">
        <f t="shared" si="10"/>
        <v>#REF!</v>
      </c>
      <c r="B71" s="104">
        <f t="shared" si="7"/>
        <v>5959</v>
      </c>
      <c r="C71" s="105">
        <f t="shared" si="8"/>
        <v>8.6926579607469794</v>
      </c>
      <c r="D71" s="67">
        <f t="shared" si="11"/>
        <v>4</v>
      </c>
      <c r="E71" s="106"/>
      <c r="F71" s="73"/>
      <c r="G71" s="108"/>
      <c r="H71" s="108"/>
      <c r="I71" s="109">
        <f t="shared" si="9"/>
        <v>6224.4</v>
      </c>
    </row>
    <row r="72" spans="1:11" ht="15" customHeight="1">
      <c r="A72" s="65" t="e">
        <f t="shared" si="10"/>
        <v>#REF!</v>
      </c>
      <c r="B72" s="104">
        <f t="shared" si="7"/>
        <v>5578</v>
      </c>
      <c r="C72" s="105">
        <f t="shared" si="8"/>
        <v>8.6265855681874335</v>
      </c>
      <c r="D72" s="67">
        <f t="shared" si="11"/>
        <v>5</v>
      </c>
      <c r="E72" s="106" t="s">
        <v>81</v>
      </c>
      <c r="F72" s="72"/>
      <c r="G72" s="108"/>
      <c r="H72" s="108"/>
      <c r="I72" s="109">
        <f t="shared" si="9"/>
        <v>5965.9</v>
      </c>
    </row>
    <row r="73" spans="1:11" ht="15" customHeight="1">
      <c r="A73" s="65" t="e">
        <f t="shared" si="10"/>
        <v>#REF!</v>
      </c>
      <c r="B73" s="104">
        <f t="shared" si="7"/>
        <v>5267</v>
      </c>
      <c r="C73" s="105">
        <f t="shared" si="8"/>
        <v>8.5692162194833887</v>
      </c>
      <c r="D73" s="67">
        <f t="shared" si="11"/>
        <v>6</v>
      </c>
      <c r="E73" s="112"/>
      <c r="F73" s="113"/>
      <c r="G73" s="108"/>
      <c r="H73" s="108"/>
      <c r="I73" s="109">
        <f t="shared" si="9"/>
        <v>5718.2</v>
      </c>
    </row>
    <row r="74" spans="1:11" ht="15" customHeight="1">
      <c r="A74" s="65" t="e">
        <f t="shared" si="10"/>
        <v>#REF!</v>
      </c>
      <c r="B74" s="104">
        <f t="shared" si="7"/>
        <v>5105</v>
      </c>
      <c r="C74" s="105">
        <f t="shared" si="8"/>
        <v>8.5379757305987667</v>
      </c>
      <c r="D74" s="67">
        <f t="shared" si="11"/>
        <v>7</v>
      </c>
      <c r="E74" s="114"/>
      <c r="F74" s="113"/>
      <c r="G74" s="108"/>
      <c r="H74" s="108"/>
      <c r="I74" s="109">
        <f t="shared" si="9"/>
        <v>5480.8</v>
      </c>
    </row>
    <row r="75" spans="1:11" ht="15" customHeight="1">
      <c r="A75" s="65" t="e">
        <f t="shared" si="10"/>
        <v>#REF!</v>
      </c>
      <c r="B75" s="104">
        <f t="shared" si="7"/>
        <v>4844</v>
      </c>
      <c r="C75" s="105">
        <f t="shared" si="8"/>
        <v>8.4854961046729827</v>
      </c>
      <c r="D75" s="67">
        <f t="shared" si="11"/>
        <v>8</v>
      </c>
      <c r="E75" s="114"/>
      <c r="F75" s="113"/>
      <c r="G75" s="108"/>
      <c r="H75" s="108"/>
      <c r="I75" s="109">
        <f t="shared" si="9"/>
        <v>5253.2</v>
      </c>
    </row>
    <row r="76" spans="1:11" ht="15" customHeight="1">
      <c r="A76" s="65" t="e">
        <f t="shared" si="10"/>
        <v>#REF!</v>
      </c>
      <c r="B76" s="104">
        <f t="shared" si="7"/>
        <v>4774</v>
      </c>
      <c r="C76" s="105">
        <f t="shared" si="8"/>
        <v>8.4709398068987749</v>
      </c>
      <c r="D76" s="67">
        <f t="shared" si="11"/>
        <v>9</v>
      </c>
      <c r="E76" s="108"/>
      <c r="F76" s="108"/>
      <c r="G76" s="115"/>
      <c r="H76" s="108"/>
      <c r="I76" s="109">
        <f t="shared" si="9"/>
        <v>5035.1000000000004</v>
      </c>
    </row>
    <row r="77" spans="1:11" s="100" customFormat="1" ht="15" customHeight="1" thickBot="1">
      <c r="A77" s="97" t="e">
        <f t="shared" si="10"/>
        <v>#REF!</v>
      </c>
      <c r="B77" s="116">
        <f t="shared" si="7"/>
        <v>4826</v>
      </c>
      <c r="C77" s="117">
        <f t="shared" si="8"/>
        <v>8.4817732461849769</v>
      </c>
      <c r="D77" s="99">
        <f t="shared" si="11"/>
        <v>10</v>
      </c>
      <c r="E77" s="118"/>
      <c r="F77" s="118"/>
      <c r="G77" s="119"/>
      <c r="H77" s="118"/>
      <c r="I77" s="120">
        <f t="shared" si="9"/>
        <v>4826.1000000000004</v>
      </c>
    </row>
    <row r="78" spans="1:11" s="78" customFormat="1" ht="15" customHeight="1" thickTop="1">
      <c r="A78" s="80">
        <v>2008</v>
      </c>
      <c r="B78" s="81">
        <f t="shared" ref="B78:B95" si="12">ROUND(F$69*(1+F$68)^D78,0)</f>
        <v>4626</v>
      </c>
      <c r="C78" s="121">
        <f t="shared" si="8"/>
        <v>8.4394478427913846</v>
      </c>
      <c r="D78" s="77">
        <f t="shared" si="11"/>
        <v>11</v>
      </c>
      <c r="E78" s="259"/>
      <c r="F78" s="259"/>
      <c r="G78" s="260"/>
      <c r="H78" s="259"/>
      <c r="I78" s="123">
        <f t="shared" si="9"/>
        <v>4625.7</v>
      </c>
    </row>
    <row r="79" spans="1:11" ht="15" customHeight="1">
      <c r="A79" s="80">
        <v>2009</v>
      </c>
      <c r="B79" s="81">
        <f t="shared" si="12"/>
        <v>4434</v>
      </c>
      <c r="C79" s="105">
        <f t="shared" si="8"/>
        <v>8.397057390176256</v>
      </c>
      <c r="D79" s="67">
        <f t="shared" si="11"/>
        <v>12</v>
      </c>
      <c r="E79" s="83"/>
      <c r="F79" s="69"/>
      <c r="G79" s="69"/>
      <c r="H79" s="69"/>
      <c r="I79" s="109">
        <f t="shared" si="9"/>
        <v>4433.6000000000004</v>
      </c>
    </row>
    <row r="80" spans="1:11" ht="15" customHeight="1">
      <c r="A80" s="80">
        <v>2010</v>
      </c>
      <c r="B80" s="81">
        <f t="shared" si="12"/>
        <v>4250</v>
      </c>
      <c r="C80" s="105">
        <f t="shared" si="8"/>
        <v>8.3546742619184631</v>
      </c>
      <c r="D80" s="67">
        <f t="shared" si="11"/>
        <v>13</v>
      </c>
      <c r="E80" s="83"/>
      <c r="F80" s="69"/>
      <c r="G80" s="69"/>
      <c r="H80" s="69"/>
      <c r="I80" s="109">
        <f t="shared" si="9"/>
        <v>4249.5</v>
      </c>
    </row>
    <row r="81" spans="1:9" ht="15" customHeight="1">
      <c r="A81" s="80">
        <v>2011</v>
      </c>
      <c r="B81" s="81">
        <f t="shared" si="12"/>
        <v>4073</v>
      </c>
      <c r="C81" s="105">
        <f t="shared" si="8"/>
        <v>8.3121351076484125</v>
      </c>
      <c r="D81" s="67">
        <f t="shared" si="11"/>
        <v>14</v>
      </c>
      <c r="E81" s="83"/>
      <c r="F81" s="69"/>
      <c r="G81" s="69"/>
      <c r="H81" s="69"/>
      <c r="I81" s="109">
        <f t="shared" si="9"/>
        <v>4073.1</v>
      </c>
    </row>
    <row r="82" spans="1:9" ht="15" customHeight="1">
      <c r="A82" s="80">
        <v>2012</v>
      </c>
      <c r="B82" s="81">
        <f t="shared" si="12"/>
        <v>3904</v>
      </c>
      <c r="C82" s="105">
        <f t="shared" si="8"/>
        <v>8.2697569475329828</v>
      </c>
      <c r="D82" s="67">
        <f t="shared" si="11"/>
        <v>15</v>
      </c>
      <c r="E82" s="83"/>
      <c r="F82" s="69"/>
      <c r="G82" s="69"/>
      <c r="H82" s="69"/>
      <c r="I82" s="109">
        <f t="shared" si="9"/>
        <v>3904</v>
      </c>
    </row>
    <row r="83" spans="1:9" ht="15" customHeight="1">
      <c r="A83" s="80">
        <v>2013</v>
      </c>
      <c r="B83" s="81">
        <f t="shared" si="12"/>
        <v>3742</v>
      </c>
      <c r="C83" s="105">
        <f t="shared" si="8"/>
        <v>8.2273755068340346</v>
      </c>
      <c r="D83" s="67">
        <f t="shared" si="11"/>
        <v>16</v>
      </c>
      <c r="E83" s="83"/>
      <c r="F83" s="69"/>
      <c r="G83" s="69"/>
      <c r="H83" s="69"/>
      <c r="I83" s="109">
        <f t="shared" si="9"/>
        <v>3741.9</v>
      </c>
    </row>
    <row r="84" spans="1:9" ht="15" customHeight="1">
      <c r="A84" s="80">
        <v>2014</v>
      </c>
      <c r="B84" s="81">
        <f t="shared" si="12"/>
        <v>3587</v>
      </c>
      <c r="C84" s="105">
        <f t="shared" si="8"/>
        <v>8.1850714775322828</v>
      </c>
      <c r="D84" s="67">
        <f t="shared" si="11"/>
        <v>17</v>
      </c>
      <c r="E84" s="83"/>
      <c r="F84" s="69"/>
      <c r="G84" s="69"/>
      <c r="H84" s="69"/>
      <c r="I84" s="109">
        <f t="shared" si="9"/>
        <v>3586.5</v>
      </c>
    </row>
    <row r="85" spans="1:9" ht="15" customHeight="1">
      <c r="A85" s="80">
        <v>2015</v>
      </c>
      <c r="B85" s="81">
        <f t="shared" si="12"/>
        <v>3438</v>
      </c>
      <c r="C85" s="105">
        <f t="shared" si="8"/>
        <v>8.1426451859427953</v>
      </c>
      <c r="D85" s="67">
        <f t="shared" si="11"/>
        <v>18</v>
      </c>
      <c r="E85" s="83"/>
      <c r="F85" s="69"/>
      <c r="G85" s="69"/>
      <c r="H85" s="69"/>
      <c r="I85" s="109">
        <f t="shared" si="9"/>
        <v>3437.6</v>
      </c>
    </row>
    <row r="86" spans="1:9" ht="15" customHeight="1">
      <c r="A86" s="80">
        <v>2016</v>
      </c>
      <c r="B86" s="81">
        <f t="shared" si="12"/>
        <v>3295</v>
      </c>
      <c r="C86" s="105">
        <f t="shared" si="8"/>
        <v>8.1001614469366068</v>
      </c>
      <c r="D86" s="67">
        <f t="shared" si="11"/>
        <v>19</v>
      </c>
      <c r="E86" s="83"/>
      <c r="F86" s="69"/>
      <c r="G86" s="69"/>
      <c r="H86" s="69"/>
      <c r="I86" s="109">
        <f t="shared" si="9"/>
        <v>3294.9</v>
      </c>
    </row>
    <row r="87" spans="1:9" ht="15" customHeight="1">
      <c r="A87" s="80">
        <v>2017</v>
      </c>
      <c r="B87" s="81">
        <f t="shared" si="12"/>
        <v>3158</v>
      </c>
      <c r="C87" s="105">
        <f t="shared" si="8"/>
        <v>8.0576941948155874</v>
      </c>
      <c r="D87" s="67">
        <f t="shared" si="11"/>
        <v>20</v>
      </c>
      <c r="E87" s="83"/>
      <c r="F87" s="69"/>
      <c r="G87" s="69"/>
      <c r="H87" s="69"/>
      <c r="I87" s="109">
        <f t="shared" si="9"/>
        <v>3158.1</v>
      </c>
    </row>
    <row r="88" spans="1:9" ht="15" customHeight="1">
      <c r="A88" s="80">
        <v>2018</v>
      </c>
      <c r="B88" s="81">
        <f t="shared" si="12"/>
        <v>3027</v>
      </c>
      <c r="C88" s="105">
        <f t="shared" si="8"/>
        <v>8.0153273090217194</v>
      </c>
      <c r="D88" s="67">
        <f t="shared" si="11"/>
        <v>21</v>
      </c>
      <c r="E88" s="83"/>
      <c r="F88" s="69"/>
      <c r="G88" s="69"/>
      <c r="H88" s="69"/>
      <c r="I88" s="109">
        <f t="shared" si="9"/>
        <v>3027</v>
      </c>
    </row>
    <row r="89" spans="1:9" ht="15" customHeight="1">
      <c r="A89" s="80">
        <v>2019</v>
      </c>
      <c r="B89" s="81">
        <f t="shared" si="12"/>
        <v>2901</v>
      </c>
      <c r="C89" s="105">
        <f t="shared" si="8"/>
        <v>7.9728107841214042</v>
      </c>
      <c r="D89" s="67">
        <f t="shared" si="11"/>
        <v>22</v>
      </c>
      <c r="E89" s="83"/>
      <c r="F89" s="69"/>
      <c r="G89" s="69"/>
      <c r="H89" s="69"/>
      <c r="I89" s="109">
        <f t="shared" si="9"/>
        <v>2901.3</v>
      </c>
    </row>
    <row r="90" spans="1:9" ht="15" customHeight="1">
      <c r="A90" s="80">
        <v>2020</v>
      </c>
      <c r="B90" s="81">
        <f t="shared" si="12"/>
        <v>2781</v>
      </c>
      <c r="C90" s="105">
        <f t="shared" si="8"/>
        <v>7.930565854233965</v>
      </c>
      <c r="D90" s="67">
        <f t="shared" si="11"/>
        <v>23</v>
      </c>
      <c r="E90" s="83"/>
      <c r="F90" s="69"/>
      <c r="G90" s="69"/>
      <c r="H90" s="69"/>
      <c r="I90" s="109">
        <f t="shared" si="9"/>
        <v>2780.8</v>
      </c>
    </row>
    <row r="91" spans="1:9" ht="15" customHeight="1">
      <c r="A91" s="80">
        <v>2021</v>
      </c>
      <c r="B91" s="81">
        <f t="shared" si="12"/>
        <v>2665</v>
      </c>
      <c r="C91" s="105">
        <f t="shared" si="8"/>
        <v>7.8879593365999447</v>
      </c>
      <c r="D91" s="67">
        <f t="shared" si="11"/>
        <v>24</v>
      </c>
      <c r="E91" s="83"/>
      <c r="F91" s="69"/>
      <c r="G91" s="69"/>
      <c r="H91" s="69"/>
      <c r="I91" s="109">
        <f t="shared" si="9"/>
        <v>2665.4</v>
      </c>
    </row>
    <row r="92" spans="1:9" ht="15" customHeight="1">
      <c r="A92" s="80">
        <v>2022</v>
      </c>
      <c r="B92" s="81">
        <f t="shared" si="12"/>
        <v>2555</v>
      </c>
      <c r="C92" s="105">
        <f t="shared" si="8"/>
        <v>7.8458075026378049</v>
      </c>
      <c r="D92" s="67">
        <f t="shared" si="11"/>
        <v>25</v>
      </c>
      <c r="E92" s="83"/>
      <c r="F92" s="69"/>
      <c r="G92" s="69"/>
      <c r="H92" s="69"/>
      <c r="I92" s="109">
        <f t="shared" si="9"/>
        <v>2554.6999999999998</v>
      </c>
    </row>
    <row r="93" spans="1:9" ht="15" customHeight="1">
      <c r="A93" s="80">
        <v>2023</v>
      </c>
      <c r="B93" s="81">
        <f t="shared" si="12"/>
        <v>2449</v>
      </c>
      <c r="C93" s="105">
        <f t="shared" si="8"/>
        <v>7.8034350569521678</v>
      </c>
      <c r="D93" s="67">
        <f t="shared" si="11"/>
        <v>26</v>
      </c>
      <c r="E93" s="83"/>
      <c r="F93" s="69"/>
      <c r="G93" s="69"/>
      <c r="H93" s="69"/>
      <c r="I93" s="109">
        <f t="shared" si="9"/>
        <v>2448.6</v>
      </c>
    </row>
    <row r="94" spans="1:9" ht="15" customHeight="1">
      <c r="A94" s="80">
        <v>2024</v>
      </c>
      <c r="B94" s="81">
        <f t="shared" si="12"/>
        <v>2347</v>
      </c>
      <c r="C94" s="105">
        <f t="shared" si="8"/>
        <v>7.7608931958510237</v>
      </c>
      <c r="D94" s="67">
        <f t="shared" si="11"/>
        <v>27</v>
      </c>
      <c r="E94" s="69"/>
      <c r="F94" s="69"/>
      <c r="G94" s="69"/>
      <c r="H94" s="69"/>
      <c r="I94" s="109">
        <f t="shared" si="9"/>
        <v>2347</v>
      </c>
    </row>
    <row r="95" spans="1:9" ht="15" customHeight="1">
      <c r="A95" s="85">
        <v>2025</v>
      </c>
      <c r="B95" s="86">
        <f t="shared" si="12"/>
        <v>2250</v>
      </c>
      <c r="C95" s="124">
        <f t="shared" si="8"/>
        <v>7.718685495198466</v>
      </c>
      <c r="D95" s="87">
        <f t="shared" si="11"/>
        <v>28</v>
      </c>
      <c r="E95" s="89"/>
      <c r="F95" s="89"/>
      <c r="G95" s="89"/>
      <c r="H95" s="89"/>
      <c r="I95" s="125">
        <f t="shared" si="9"/>
        <v>2249.5</v>
      </c>
    </row>
    <row r="96" spans="1:9" ht="15" customHeight="1">
      <c r="A96" s="56" t="s">
        <v>82</v>
      </c>
      <c r="B96" s="57"/>
    </row>
    <row r="97" spans="1:9" ht="15" customHeight="1">
      <c r="A97" s="58" t="s">
        <v>32</v>
      </c>
      <c r="B97" s="59" t="s">
        <v>40</v>
      </c>
      <c r="C97" s="59" t="s">
        <v>83</v>
      </c>
      <c r="D97" s="59" t="s">
        <v>33</v>
      </c>
      <c r="E97" s="59" t="s">
        <v>35</v>
      </c>
      <c r="F97" s="103"/>
      <c r="G97" s="60"/>
      <c r="H97" s="63" t="s">
        <v>266</v>
      </c>
      <c r="I97" s="64" t="e">
        <f>RSQ(I98:I108,B98:B108)</f>
        <v>#VALUE!</v>
      </c>
    </row>
    <row r="98" spans="1:9" ht="15" customHeight="1">
      <c r="A98" s="65">
        <v>1997</v>
      </c>
      <c r="B98" s="104">
        <f t="shared" ref="B98:B108" si="13">B5</f>
        <v>7375</v>
      </c>
      <c r="C98" s="126"/>
      <c r="D98" s="67">
        <v>0</v>
      </c>
      <c r="E98" s="67"/>
      <c r="F98" s="106"/>
      <c r="G98" s="53"/>
      <c r="H98" s="265"/>
      <c r="I98" s="276" t="e">
        <f>$B$98+$G$103*D98^$G$99</f>
        <v>#VALUE!</v>
      </c>
    </row>
    <row r="99" spans="1:9" ht="15" customHeight="1">
      <c r="A99" s="65" t="e">
        <f t="shared" ref="A99:A108" si="14">A6</f>
        <v>#REF!</v>
      </c>
      <c r="B99" s="104">
        <f t="shared" si="13"/>
        <v>7030</v>
      </c>
      <c r="C99" s="126" t="e">
        <f t="shared" ref="C99:C108" si="15">LN(-B$98+B99)</f>
        <v>#NUM!</v>
      </c>
      <c r="D99" s="67">
        <f>+D98+1</f>
        <v>1</v>
      </c>
      <c r="E99" s="67">
        <f t="shared" ref="E99:E108" si="16">LN(D99)</f>
        <v>0</v>
      </c>
      <c r="F99" s="106" t="s">
        <v>75</v>
      </c>
      <c r="G99" s="73" t="e">
        <f>INDEX(LINEST(C99:C108,E99:E108),1)</f>
        <v>#VALUE!</v>
      </c>
      <c r="H99" s="127"/>
      <c r="I99" s="128" t="e">
        <f t="shared" ref="I99:I126" si="17">$B$98+$G$103*D99^$G$99</f>
        <v>#VALUE!</v>
      </c>
    </row>
    <row r="100" spans="1:9" ht="15" customHeight="1">
      <c r="A100" s="65" t="e">
        <f t="shared" si="14"/>
        <v>#REF!</v>
      </c>
      <c r="B100" s="104">
        <f t="shared" si="13"/>
        <v>6695</v>
      </c>
      <c r="C100" s="126" t="e">
        <f t="shared" si="15"/>
        <v>#NUM!</v>
      </c>
      <c r="D100" s="67">
        <f t="shared" ref="D100:D126" si="18">D99+1</f>
        <v>2</v>
      </c>
      <c r="E100" s="67">
        <f t="shared" si="16"/>
        <v>0.69314718055994529</v>
      </c>
      <c r="F100" s="106" t="s">
        <v>76</v>
      </c>
      <c r="G100" s="73" t="e">
        <f>INDEX(LINEST(C99:C108,E99:E108),2)</f>
        <v>#VALUE!</v>
      </c>
      <c r="H100" s="129" t="s">
        <v>84</v>
      </c>
      <c r="I100" s="128" t="e">
        <f t="shared" si="17"/>
        <v>#VALUE!</v>
      </c>
    </row>
    <row r="101" spans="1:9" ht="15" customHeight="1">
      <c r="A101" s="65" t="e">
        <f t="shared" si="14"/>
        <v>#REF!</v>
      </c>
      <c r="B101" s="104">
        <f t="shared" si="13"/>
        <v>6281</v>
      </c>
      <c r="C101" s="126" t="e">
        <f t="shared" si="15"/>
        <v>#NUM!</v>
      </c>
      <c r="D101" s="67">
        <f t="shared" si="18"/>
        <v>3</v>
      </c>
      <c r="E101" s="67">
        <f t="shared" si="16"/>
        <v>1.0986122886681098</v>
      </c>
      <c r="F101" s="69"/>
      <c r="G101" s="130"/>
      <c r="H101" s="127"/>
      <c r="I101" s="128" t="e">
        <f t="shared" si="17"/>
        <v>#VALUE!</v>
      </c>
    </row>
    <row r="102" spans="1:9" ht="15" customHeight="1">
      <c r="A102" s="65" t="e">
        <f t="shared" si="14"/>
        <v>#REF!</v>
      </c>
      <c r="B102" s="104">
        <f t="shared" si="13"/>
        <v>5959</v>
      </c>
      <c r="C102" s="126" t="e">
        <f t="shared" si="15"/>
        <v>#NUM!</v>
      </c>
      <c r="D102" s="67">
        <f t="shared" si="18"/>
        <v>4</v>
      </c>
      <c r="E102" s="67">
        <f t="shared" si="16"/>
        <v>1.3862943611198906</v>
      </c>
      <c r="F102" s="106" t="s">
        <v>77</v>
      </c>
      <c r="G102" s="73" t="e">
        <f>I97</f>
        <v>#VALUE!</v>
      </c>
      <c r="H102" s="127"/>
      <c r="I102" s="128" t="e">
        <f t="shared" si="17"/>
        <v>#VALUE!</v>
      </c>
    </row>
    <row r="103" spans="1:9" ht="15" customHeight="1">
      <c r="A103" s="65" t="e">
        <f t="shared" si="14"/>
        <v>#REF!</v>
      </c>
      <c r="B103" s="104">
        <f t="shared" si="13"/>
        <v>5578</v>
      </c>
      <c r="C103" s="126" t="e">
        <f t="shared" si="15"/>
        <v>#NUM!</v>
      </c>
      <c r="D103" s="67">
        <f t="shared" si="18"/>
        <v>5</v>
      </c>
      <c r="E103" s="67">
        <f t="shared" si="16"/>
        <v>1.6094379124341003</v>
      </c>
      <c r="F103" s="106" t="s">
        <v>38</v>
      </c>
      <c r="G103" s="131" t="e">
        <f>EXP(G100)</f>
        <v>#VALUE!</v>
      </c>
      <c r="H103" s="127"/>
      <c r="I103" s="128" t="e">
        <f t="shared" si="17"/>
        <v>#VALUE!</v>
      </c>
    </row>
    <row r="104" spans="1:9" ht="15" customHeight="1">
      <c r="A104" s="65" t="e">
        <f t="shared" si="14"/>
        <v>#REF!</v>
      </c>
      <c r="B104" s="104">
        <f t="shared" si="13"/>
        <v>5267</v>
      </c>
      <c r="C104" s="126" t="e">
        <f t="shared" si="15"/>
        <v>#NUM!</v>
      </c>
      <c r="D104" s="67">
        <f t="shared" si="18"/>
        <v>6</v>
      </c>
      <c r="E104" s="67">
        <f t="shared" si="16"/>
        <v>1.791759469228055</v>
      </c>
      <c r="F104" s="106"/>
      <c r="G104" s="53"/>
      <c r="H104" s="127"/>
      <c r="I104" s="128" t="e">
        <f t="shared" si="17"/>
        <v>#VALUE!</v>
      </c>
    </row>
    <row r="105" spans="1:9" ht="15" customHeight="1">
      <c r="A105" s="65" t="e">
        <f t="shared" si="14"/>
        <v>#REF!</v>
      </c>
      <c r="B105" s="104">
        <f t="shared" si="13"/>
        <v>5105</v>
      </c>
      <c r="C105" s="126" t="e">
        <f t="shared" si="15"/>
        <v>#NUM!</v>
      </c>
      <c r="D105" s="67">
        <f t="shared" si="18"/>
        <v>7</v>
      </c>
      <c r="E105" s="67">
        <f t="shared" si="16"/>
        <v>1.9459101490553132</v>
      </c>
      <c r="F105" s="106"/>
      <c r="G105" s="53"/>
      <c r="H105" s="127"/>
      <c r="I105" s="128" t="e">
        <f t="shared" si="17"/>
        <v>#VALUE!</v>
      </c>
    </row>
    <row r="106" spans="1:9" ht="15" customHeight="1">
      <c r="A106" s="65" t="e">
        <f t="shared" si="14"/>
        <v>#REF!</v>
      </c>
      <c r="B106" s="104">
        <f t="shared" si="13"/>
        <v>4844</v>
      </c>
      <c r="C106" s="126" t="e">
        <f t="shared" si="15"/>
        <v>#NUM!</v>
      </c>
      <c r="D106" s="67">
        <f t="shared" si="18"/>
        <v>8</v>
      </c>
      <c r="E106" s="67">
        <f t="shared" si="16"/>
        <v>2.0794415416798357</v>
      </c>
      <c r="F106" s="132" t="s">
        <v>85</v>
      </c>
      <c r="G106" s="53"/>
      <c r="H106" s="127"/>
      <c r="I106" s="128" t="e">
        <f t="shared" si="17"/>
        <v>#VALUE!</v>
      </c>
    </row>
    <row r="107" spans="1:9" ht="15" customHeight="1">
      <c r="A107" s="65" t="e">
        <f t="shared" si="14"/>
        <v>#REF!</v>
      </c>
      <c r="B107" s="104">
        <f t="shared" si="13"/>
        <v>4774</v>
      </c>
      <c r="C107" s="126" t="e">
        <f t="shared" si="15"/>
        <v>#NUM!</v>
      </c>
      <c r="D107" s="67">
        <f t="shared" si="18"/>
        <v>9</v>
      </c>
      <c r="E107" s="67">
        <f t="shared" si="16"/>
        <v>2.1972245773362196</v>
      </c>
      <c r="F107" s="132" t="s">
        <v>86</v>
      </c>
      <c r="G107" s="53"/>
      <c r="H107" s="127"/>
      <c r="I107" s="128" t="e">
        <f t="shared" si="17"/>
        <v>#VALUE!</v>
      </c>
    </row>
    <row r="108" spans="1:9" s="100" customFormat="1" ht="15" customHeight="1" thickBot="1">
      <c r="A108" s="97" t="e">
        <f t="shared" si="14"/>
        <v>#REF!</v>
      </c>
      <c r="B108" s="116">
        <f t="shared" si="13"/>
        <v>4826</v>
      </c>
      <c r="C108" s="126" t="e">
        <f t="shared" si="15"/>
        <v>#NUM!</v>
      </c>
      <c r="D108" s="99">
        <f t="shared" si="18"/>
        <v>10</v>
      </c>
      <c r="E108" s="99">
        <f t="shared" si="16"/>
        <v>2.3025850929940459</v>
      </c>
      <c r="F108" s="182"/>
      <c r="G108" s="101"/>
      <c r="H108" s="143"/>
      <c r="I108" s="144" t="e">
        <f t="shared" si="17"/>
        <v>#VALUE!</v>
      </c>
    </row>
    <row r="109" spans="1:9" s="78" customFormat="1" ht="15" customHeight="1" thickTop="1">
      <c r="A109" s="80">
        <v>2008</v>
      </c>
      <c r="B109" s="81" t="e">
        <f>ROUND(LOOKUP(0,D$98:D$108,B$98:B$108)+G$103*D109^G$99,0)</f>
        <v>#VALUE!</v>
      </c>
      <c r="C109" s="257"/>
      <c r="D109" s="77">
        <f t="shared" si="18"/>
        <v>11</v>
      </c>
      <c r="E109" s="77"/>
      <c r="F109" s="266"/>
      <c r="G109" s="256"/>
      <c r="H109" s="258"/>
      <c r="I109" s="133" t="e">
        <f t="shared" si="17"/>
        <v>#VALUE!</v>
      </c>
    </row>
    <row r="110" spans="1:9" ht="15" customHeight="1">
      <c r="A110" s="80">
        <v>2009</v>
      </c>
      <c r="B110" s="81" t="e">
        <f t="shared" ref="B110:B126" si="19">ROUND(LOOKUP(0,D$98:D$108,B$98:B$108)+G$103*D110^G$99,0)</f>
        <v>#VALUE!</v>
      </c>
      <c r="C110" s="134"/>
      <c r="D110" s="67">
        <f t="shared" si="18"/>
        <v>12</v>
      </c>
      <c r="E110" s="67"/>
      <c r="F110" s="83"/>
      <c r="G110" s="69"/>
      <c r="H110" s="84"/>
      <c r="I110" s="128" t="e">
        <f t="shared" si="17"/>
        <v>#VALUE!</v>
      </c>
    </row>
    <row r="111" spans="1:9" ht="15" customHeight="1">
      <c r="A111" s="80">
        <v>2010</v>
      </c>
      <c r="B111" s="81" t="e">
        <f t="shared" si="19"/>
        <v>#VALUE!</v>
      </c>
      <c r="C111" s="134"/>
      <c r="D111" s="67">
        <f t="shared" si="18"/>
        <v>13</v>
      </c>
      <c r="E111" s="67"/>
      <c r="F111" s="83"/>
      <c r="G111" s="69"/>
      <c r="H111" s="84"/>
      <c r="I111" s="128" t="e">
        <f t="shared" si="17"/>
        <v>#VALUE!</v>
      </c>
    </row>
    <row r="112" spans="1:9" ht="15" customHeight="1">
      <c r="A112" s="80">
        <v>2011</v>
      </c>
      <c r="B112" s="81" t="e">
        <f t="shared" si="19"/>
        <v>#VALUE!</v>
      </c>
      <c r="C112" s="134"/>
      <c r="D112" s="67">
        <f t="shared" si="18"/>
        <v>14</v>
      </c>
      <c r="E112" s="67"/>
      <c r="F112" s="83"/>
      <c r="G112" s="69"/>
      <c r="H112" s="84"/>
      <c r="I112" s="128" t="e">
        <f t="shared" si="17"/>
        <v>#VALUE!</v>
      </c>
    </row>
    <row r="113" spans="1:9" ht="15" customHeight="1">
      <c r="A113" s="80">
        <v>2012</v>
      </c>
      <c r="B113" s="81" t="e">
        <f t="shared" si="19"/>
        <v>#VALUE!</v>
      </c>
      <c r="C113" s="134"/>
      <c r="D113" s="67">
        <f t="shared" si="18"/>
        <v>15</v>
      </c>
      <c r="E113" s="67"/>
      <c r="F113" s="83"/>
      <c r="G113" s="69"/>
      <c r="H113" s="84"/>
      <c r="I113" s="128" t="e">
        <f t="shared" si="17"/>
        <v>#VALUE!</v>
      </c>
    </row>
    <row r="114" spans="1:9" ht="15" customHeight="1">
      <c r="A114" s="80">
        <v>2013</v>
      </c>
      <c r="B114" s="81" t="e">
        <f t="shared" si="19"/>
        <v>#VALUE!</v>
      </c>
      <c r="C114" s="134"/>
      <c r="D114" s="67">
        <f t="shared" si="18"/>
        <v>16</v>
      </c>
      <c r="E114" s="67"/>
      <c r="F114" s="83"/>
      <c r="G114" s="69"/>
      <c r="H114" s="84"/>
      <c r="I114" s="128" t="e">
        <f t="shared" si="17"/>
        <v>#VALUE!</v>
      </c>
    </row>
    <row r="115" spans="1:9" ht="15" customHeight="1">
      <c r="A115" s="80">
        <v>2014</v>
      </c>
      <c r="B115" s="81" t="e">
        <f t="shared" si="19"/>
        <v>#VALUE!</v>
      </c>
      <c r="C115" s="134"/>
      <c r="D115" s="67">
        <f t="shared" si="18"/>
        <v>17</v>
      </c>
      <c r="E115" s="67"/>
      <c r="F115" s="83"/>
      <c r="G115" s="69"/>
      <c r="H115" s="84"/>
      <c r="I115" s="128" t="e">
        <f t="shared" si="17"/>
        <v>#VALUE!</v>
      </c>
    </row>
    <row r="116" spans="1:9" ht="15" customHeight="1">
      <c r="A116" s="80">
        <v>2015</v>
      </c>
      <c r="B116" s="81" t="e">
        <f t="shared" si="19"/>
        <v>#VALUE!</v>
      </c>
      <c r="C116" s="134"/>
      <c r="D116" s="67">
        <f t="shared" si="18"/>
        <v>18</v>
      </c>
      <c r="E116" s="67"/>
      <c r="F116" s="83"/>
      <c r="G116" s="69"/>
      <c r="H116" s="84"/>
      <c r="I116" s="128" t="e">
        <f t="shared" si="17"/>
        <v>#VALUE!</v>
      </c>
    </row>
    <row r="117" spans="1:9" ht="15" customHeight="1">
      <c r="A117" s="80">
        <v>2016</v>
      </c>
      <c r="B117" s="81" t="e">
        <f t="shared" si="19"/>
        <v>#VALUE!</v>
      </c>
      <c r="C117" s="134"/>
      <c r="D117" s="67">
        <f t="shared" si="18"/>
        <v>19</v>
      </c>
      <c r="E117" s="67"/>
      <c r="F117" s="83"/>
      <c r="G117" s="69"/>
      <c r="H117" s="84"/>
      <c r="I117" s="128" t="e">
        <f t="shared" si="17"/>
        <v>#VALUE!</v>
      </c>
    </row>
    <row r="118" spans="1:9" ht="15" customHeight="1">
      <c r="A118" s="80">
        <v>2017</v>
      </c>
      <c r="B118" s="81" t="e">
        <f t="shared" si="19"/>
        <v>#VALUE!</v>
      </c>
      <c r="C118" s="134"/>
      <c r="D118" s="67">
        <f t="shared" si="18"/>
        <v>20</v>
      </c>
      <c r="E118" s="67"/>
      <c r="F118" s="83"/>
      <c r="G118" s="69"/>
      <c r="H118" s="84"/>
      <c r="I118" s="128" t="e">
        <f t="shared" si="17"/>
        <v>#VALUE!</v>
      </c>
    </row>
    <row r="119" spans="1:9" ht="15" customHeight="1">
      <c r="A119" s="80">
        <v>2018</v>
      </c>
      <c r="B119" s="81" t="e">
        <f t="shared" si="19"/>
        <v>#VALUE!</v>
      </c>
      <c r="C119" s="134"/>
      <c r="D119" s="67">
        <f t="shared" si="18"/>
        <v>21</v>
      </c>
      <c r="E119" s="67"/>
      <c r="F119" s="83"/>
      <c r="G119" s="69"/>
      <c r="H119" s="84"/>
      <c r="I119" s="128" t="e">
        <f t="shared" si="17"/>
        <v>#VALUE!</v>
      </c>
    </row>
    <row r="120" spans="1:9" ht="15" customHeight="1">
      <c r="A120" s="80">
        <v>2019</v>
      </c>
      <c r="B120" s="81" t="e">
        <f t="shared" si="19"/>
        <v>#VALUE!</v>
      </c>
      <c r="C120" s="134"/>
      <c r="D120" s="67">
        <f t="shared" si="18"/>
        <v>22</v>
      </c>
      <c r="E120" s="67"/>
      <c r="F120" s="83"/>
      <c r="G120" s="69"/>
      <c r="H120" s="84"/>
      <c r="I120" s="128" t="e">
        <f t="shared" si="17"/>
        <v>#VALUE!</v>
      </c>
    </row>
    <row r="121" spans="1:9" ht="15" customHeight="1">
      <c r="A121" s="80">
        <v>2020</v>
      </c>
      <c r="B121" s="81" t="e">
        <f t="shared" si="19"/>
        <v>#VALUE!</v>
      </c>
      <c r="C121" s="134"/>
      <c r="D121" s="67">
        <f t="shared" si="18"/>
        <v>23</v>
      </c>
      <c r="E121" s="67"/>
      <c r="F121" s="83"/>
      <c r="G121" s="69"/>
      <c r="H121" s="84"/>
      <c r="I121" s="128" t="e">
        <f t="shared" si="17"/>
        <v>#VALUE!</v>
      </c>
    </row>
    <row r="122" spans="1:9" ht="15" customHeight="1">
      <c r="A122" s="80">
        <v>2021</v>
      </c>
      <c r="B122" s="81" t="e">
        <f t="shared" si="19"/>
        <v>#VALUE!</v>
      </c>
      <c r="C122" s="134"/>
      <c r="D122" s="67">
        <f t="shared" si="18"/>
        <v>24</v>
      </c>
      <c r="E122" s="67"/>
      <c r="F122" s="83"/>
      <c r="G122" s="69"/>
      <c r="H122" s="84"/>
      <c r="I122" s="128" t="e">
        <f t="shared" si="17"/>
        <v>#VALUE!</v>
      </c>
    </row>
    <row r="123" spans="1:9" ht="15" customHeight="1">
      <c r="A123" s="80">
        <v>2022</v>
      </c>
      <c r="B123" s="81" t="e">
        <f t="shared" si="19"/>
        <v>#VALUE!</v>
      </c>
      <c r="C123" s="134"/>
      <c r="D123" s="67">
        <f t="shared" si="18"/>
        <v>25</v>
      </c>
      <c r="E123" s="67"/>
      <c r="F123" s="83"/>
      <c r="G123" s="69"/>
      <c r="H123" s="84"/>
      <c r="I123" s="128" t="e">
        <f t="shared" si="17"/>
        <v>#VALUE!</v>
      </c>
    </row>
    <row r="124" spans="1:9" ht="15" customHeight="1">
      <c r="A124" s="80">
        <v>2023</v>
      </c>
      <c r="B124" s="81" t="e">
        <f t="shared" si="19"/>
        <v>#VALUE!</v>
      </c>
      <c r="C124" s="134"/>
      <c r="D124" s="67">
        <f t="shared" si="18"/>
        <v>26</v>
      </c>
      <c r="E124" s="67"/>
      <c r="F124" s="83"/>
      <c r="G124" s="69"/>
      <c r="H124" s="84"/>
      <c r="I124" s="128" t="e">
        <f t="shared" si="17"/>
        <v>#VALUE!</v>
      </c>
    </row>
    <row r="125" spans="1:9" ht="15" customHeight="1">
      <c r="A125" s="80">
        <v>2024</v>
      </c>
      <c r="B125" s="81" t="e">
        <f t="shared" si="19"/>
        <v>#VALUE!</v>
      </c>
      <c r="C125" s="135"/>
      <c r="D125" s="67">
        <f t="shared" si="18"/>
        <v>27</v>
      </c>
      <c r="E125" s="67"/>
      <c r="F125" s="69"/>
      <c r="G125" s="69"/>
      <c r="H125" s="69"/>
      <c r="I125" s="136" t="e">
        <f t="shared" si="17"/>
        <v>#VALUE!</v>
      </c>
    </row>
    <row r="126" spans="1:9" ht="15" customHeight="1">
      <c r="A126" s="85">
        <v>2025</v>
      </c>
      <c r="B126" s="86" t="e">
        <f t="shared" si="19"/>
        <v>#VALUE!</v>
      </c>
      <c r="C126" s="137"/>
      <c r="D126" s="87">
        <f t="shared" si="18"/>
        <v>28</v>
      </c>
      <c r="E126" s="87"/>
      <c r="F126" s="89"/>
      <c r="G126" s="89"/>
      <c r="H126" s="89"/>
      <c r="I126" s="138" t="e">
        <f t="shared" si="17"/>
        <v>#VALUE!</v>
      </c>
    </row>
    <row r="127" spans="1:9" ht="15" customHeight="1">
      <c r="A127" s="56" t="s">
        <v>87</v>
      </c>
      <c r="B127" s="57"/>
    </row>
    <row r="128" spans="1:9" ht="15" customHeight="1">
      <c r="A128" s="58" t="s">
        <v>32</v>
      </c>
      <c r="B128" s="59" t="s">
        <v>40</v>
      </c>
      <c r="C128" s="59" t="s">
        <v>36</v>
      </c>
      <c r="D128" s="59" t="s">
        <v>33</v>
      </c>
      <c r="E128" s="103"/>
      <c r="F128" s="60"/>
      <c r="G128" s="61"/>
      <c r="H128" s="63" t="s">
        <v>266</v>
      </c>
      <c r="I128" s="64">
        <f>RSQ(I129:I139,B129:B139)</f>
        <v>0.96351330410053448</v>
      </c>
    </row>
    <row r="129" spans="1:9" ht="15" customHeight="1">
      <c r="A129" s="65">
        <v>1997</v>
      </c>
      <c r="B129" s="104">
        <f t="shared" ref="B129:B139" si="20">+B5</f>
        <v>7375</v>
      </c>
      <c r="C129" s="126">
        <f t="shared" ref="C129:C139" si="21">LN(F$133/B129-1)</f>
        <v>0</v>
      </c>
      <c r="D129" s="67">
        <v>0</v>
      </c>
      <c r="E129" s="106"/>
      <c r="F129" s="53"/>
      <c r="G129" s="69"/>
      <c r="H129" s="265"/>
      <c r="I129" s="267">
        <f t="shared" ref="I129:I157" si="22">$F$133/(1+EXP($F$131+$F$130*D129))</f>
        <v>7194.1950496189957</v>
      </c>
    </row>
    <row r="130" spans="1:9" ht="15" customHeight="1">
      <c r="A130" s="65" t="e">
        <f t="shared" ref="A130:A139" si="23">A6</f>
        <v>#REF!</v>
      </c>
      <c r="B130" s="104">
        <f t="shared" si="20"/>
        <v>7030</v>
      </c>
      <c r="C130" s="126">
        <f t="shared" si="21"/>
        <v>9.362765821411119E-2</v>
      </c>
      <c r="D130" s="67">
        <f>+D129+1</f>
        <v>1</v>
      </c>
      <c r="E130" s="106" t="s">
        <v>75</v>
      </c>
      <c r="F130" s="139">
        <f>INDEX(LINEST(C129:C139,D129:D139),1)</f>
        <v>7.8576907344850344E-2</v>
      </c>
      <c r="G130" s="140" t="s">
        <v>88</v>
      </c>
      <c r="H130" s="127"/>
      <c r="I130" s="128">
        <f t="shared" si="22"/>
        <v>6905.0441227080337</v>
      </c>
    </row>
    <row r="131" spans="1:9" ht="15" customHeight="1">
      <c r="A131" s="65" t="e">
        <f t="shared" si="23"/>
        <v>#REF!</v>
      </c>
      <c r="B131" s="104">
        <f t="shared" si="20"/>
        <v>6695</v>
      </c>
      <c r="C131" s="126">
        <f t="shared" si="21"/>
        <v>0.18493203748580198</v>
      </c>
      <c r="D131" s="67">
        <f t="shared" ref="D131:D157" si="24">D130+1</f>
        <v>2</v>
      </c>
      <c r="E131" s="106" t="s">
        <v>76</v>
      </c>
      <c r="F131" s="139">
        <f>INDEX(LINEST(C129:C139,D129:D139),2)</f>
        <v>4.9041677709030562E-2</v>
      </c>
      <c r="G131" s="69"/>
      <c r="H131" s="127"/>
      <c r="I131" s="128">
        <f t="shared" si="22"/>
        <v>6617.3366593892706</v>
      </c>
    </row>
    <row r="132" spans="1:9" ht="15" customHeight="1">
      <c r="A132" s="65" t="e">
        <f t="shared" si="23"/>
        <v>#REF!</v>
      </c>
      <c r="B132" s="104">
        <f t="shared" si="20"/>
        <v>6281</v>
      </c>
      <c r="C132" s="126">
        <f t="shared" si="21"/>
        <v>0.29888323446721815</v>
      </c>
      <c r="D132" s="67">
        <f t="shared" si="24"/>
        <v>3</v>
      </c>
      <c r="E132" s="106" t="s">
        <v>77</v>
      </c>
      <c r="F132" s="73">
        <f>I128</f>
        <v>0.96351330410053448</v>
      </c>
      <c r="G132" s="69"/>
      <c r="H132" s="127"/>
      <c r="I132" s="128">
        <f t="shared" si="22"/>
        <v>6331.9411992856931</v>
      </c>
    </row>
    <row r="133" spans="1:9" ht="15" customHeight="1">
      <c r="A133" s="65" t="e">
        <f t="shared" si="23"/>
        <v>#REF!</v>
      </c>
      <c r="B133" s="104">
        <f t="shared" si="20"/>
        <v>5959</v>
      </c>
      <c r="C133" s="126">
        <f t="shared" si="21"/>
        <v>0.38882578910419968</v>
      </c>
      <c r="D133" s="67">
        <f t="shared" si="24"/>
        <v>4</v>
      </c>
      <c r="E133" s="106" t="s">
        <v>39</v>
      </c>
      <c r="F133" s="110">
        <f>MAX(B129:B139)*2</f>
        <v>14750</v>
      </c>
      <c r="G133" s="69"/>
      <c r="H133" s="127"/>
      <c r="I133" s="128">
        <f t="shared" si="22"/>
        <v>6049.6982753815946</v>
      </c>
    </row>
    <row r="134" spans="1:9" ht="15" customHeight="1">
      <c r="A134" s="65" t="e">
        <f t="shared" si="23"/>
        <v>#REF!</v>
      </c>
      <c r="B134" s="104">
        <f t="shared" si="20"/>
        <v>5578</v>
      </c>
      <c r="C134" s="126">
        <f t="shared" si="21"/>
        <v>0.49732507579036067</v>
      </c>
      <c r="D134" s="67">
        <f t="shared" si="24"/>
        <v>5</v>
      </c>
      <c r="E134" s="106"/>
      <c r="F134" s="53"/>
      <c r="G134" s="69"/>
      <c r="H134" s="127"/>
      <c r="I134" s="128">
        <f t="shared" si="22"/>
        <v>5771.4107794915844</v>
      </c>
    </row>
    <row r="135" spans="1:9" ht="15" customHeight="1">
      <c r="A135" s="65" t="e">
        <f t="shared" si="23"/>
        <v>#REF!</v>
      </c>
      <c r="B135" s="104">
        <f t="shared" si="20"/>
        <v>5267</v>
      </c>
      <c r="C135" s="126">
        <f t="shared" si="21"/>
        <v>0.58803978140033797</v>
      </c>
      <c r="D135" s="67">
        <f t="shared" si="24"/>
        <v>6</v>
      </c>
      <c r="E135" s="106"/>
      <c r="F135" s="53"/>
      <c r="G135" s="69"/>
      <c r="H135" s="127"/>
      <c r="I135" s="128">
        <f t="shared" si="22"/>
        <v>5497.835269108954</v>
      </c>
    </row>
    <row r="136" spans="1:9" ht="15" customHeight="1">
      <c r="A136" s="65" t="e">
        <f t="shared" si="23"/>
        <v>#REF!</v>
      </c>
      <c r="B136" s="104">
        <f t="shared" si="20"/>
        <v>5105</v>
      </c>
      <c r="C136" s="126">
        <f t="shared" si="21"/>
        <v>0.63621919474106348</v>
      </c>
      <c r="D136" s="67">
        <f t="shared" si="24"/>
        <v>7</v>
      </c>
      <c r="E136" s="132" t="s">
        <v>89</v>
      </c>
      <c r="F136" s="53"/>
      <c r="G136" s="69"/>
      <c r="H136" s="127"/>
      <c r="I136" s="128">
        <f t="shared" si="22"/>
        <v>5229.6744028739276</v>
      </c>
    </row>
    <row r="137" spans="1:9" ht="15" customHeight="1">
      <c r="A137" s="65" t="e">
        <f t="shared" si="23"/>
        <v>#REF!</v>
      </c>
      <c r="B137" s="104">
        <f t="shared" si="20"/>
        <v>4844</v>
      </c>
      <c r="C137" s="126">
        <f t="shared" si="21"/>
        <v>0.71539980847520013</v>
      </c>
      <c r="D137" s="67">
        <f t="shared" si="24"/>
        <v>8</v>
      </c>
      <c r="E137" s="132" t="s">
        <v>90</v>
      </c>
      <c r="F137" s="53"/>
      <c r="G137" s="69"/>
      <c r="H137" s="127"/>
      <c r="I137" s="128">
        <f t="shared" si="22"/>
        <v>4967.5706458477789</v>
      </c>
    </row>
    <row r="138" spans="1:9" ht="15" customHeight="1">
      <c r="A138" s="65" t="e">
        <f t="shared" si="23"/>
        <v>#REF!</v>
      </c>
      <c r="B138" s="104">
        <f t="shared" si="20"/>
        <v>4774</v>
      </c>
      <c r="C138" s="126">
        <f t="shared" si="21"/>
        <v>0.73699768046109693</v>
      </c>
      <c r="D138" s="67">
        <f t="shared" si="24"/>
        <v>9</v>
      </c>
      <c r="E138" s="132"/>
      <c r="F138" s="53"/>
      <c r="G138" s="69"/>
      <c r="H138" s="127"/>
      <c r="I138" s="128">
        <f t="shared" si="22"/>
        <v>4712.1013362266995</v>
      </c>
    </row>
    <row r="139" spans="1:9" ht="15" customHeight="1" thickBot="1">
      <c r="A139" s="97" t="e">
        <f t="shared" si="23"/>
        <v>#REF!</v>
      </c>
      <c r="B139" s="116">
        <f t="shared" si="20"/>
        <v>4826</v>
      </c>
      <c r="C139" s="141">
        <f t="shared" si="21"/>
        <v>0.72093809862671454</v>
      </c>
      <c r="D139" s="99">
        <f t="shared" si="24"/>
        <v>10</v>
      </c>
      <c r="E139" s="182"/>
      <c r="F139" s="101"/>
      <c r="G139" s="100"/>
      <c r="H139" s="143"/>
      <c r="I139" s="144">
        <f t="shared" si="22"/>
        <v>4463.7751549151462</v>
      </c>
    </row>
    <row r="140" spans="1:9" ht="15" customHeight="1" thickTop="1">
      <c r="A140" s="80">
        <v>2008</v>
      </c>
      <c r="B140" s="81">
        <f t="shared" ref="B140:B157" si="25">ROUND(F$133/(1+EXP(F$131+F$130*D140)),0)</f>
        <v>4223</v>
      </c>
      <c r="C140" s="257"/>
      <c r="D140" s="77">
        <f t="shared" si="24"/>
        <v>11</v>
      </c>
      <c r="E140" s="266"/>
      <c r="F140" s="256"/>
      <c r="G140" s="78"/>
      <c r="H140" s="258"/>
      <c r="I140" s="133">
        <f t="shared" si="22"/>
        <v>4223.0299911597103</v>
      </c>
    </row>
    <row r="141" spans="1:9" ht="15" customHeight="1">
      <c r="A141" s="80">
        <v>2009</v>
      </c>
      <c r="B141" s="81">
        <f t="shared" si="25"/>
        <v>3990</v>
      </c>
      <c r="C141" s="134"/>
      <c r="D141" s="67">
        <f t="shared" si="24"/>
        <v>12</v>
      </c>
      <c r="E141" s="83"/>
      <c r="F141" s="69"/>
      <c r="G141" s="69"/>
      <c r="H141" s="84"/>
      <c r="I141" s="128">
        <f t="shared" si="22"/>
        <v>3990.2321535169199</v>
      </c>
    </row>
    <row r="142" spans="1:9" ht="15" customHeight="1">
      <c r="A142" s="80">
        <v>2010</v>
      </c>
      <c r="B142" s="81">
        <f t="shared" si="25"/>
        <v>3766</v>
      </c>
      <c r="C142" s="134"/>
      <c r="D142" s="67">
        <f t="shared" si="24"/>
        <v>13</v>
      </c>
      <c r="E142" s="83"/>
      <c r="F142" s="69"/>
      <c r="G142" s="69"/>
      <c r="H142" s="84"/>
      <c r="I142" s="128">
        <f t="shared" si="22"/>
        <v>3765.6768375926031</v>
      </c>
    </row>
    <row r="143" spans="1:9" ht="15" customHeight="1">
      <c r="A143" s="80">
        <v>2011</v>
      </c>
      <c r="B143" s="81">
        <f t="shared" si="25"/>
        <v>3550</v>
      </c>
      <c r="C143" s="134"/>
      <c r="D143" s="67">
        <f t="shared" si="24"/>
        <v>14</v>
      </c>
      <c r="E143" s="83"/>
      <c r="F143" s="69"/>
      <c r="G143" s="69"/>
      <c r="H143" s="84"/>
      <c r="I143" s="128">
        <f t="shared" si="22"/>
        <v>3549.5897314786284</v>
      </c>
    </row>
    <row r="144" spans="1:9" ht="15" customHeight="1">
      <c r="A144" s="80">
        <v>2012</v>
      </c>
      <c r="B144" s="81">
        <f t="shared" si="25"/>
        <v>3342</v>
      </c>
      <c r="C144" s="134"/>
      <c r="D144" s="67">
        <f t="shared" si="24"/>
        <v>15</v>
      </c>
      <c r="E144" s="83"/>
      <c r="F144" s="69"/>
      <c r="G144" s="69"/>
      <c r="H144" s="84"/>
      <c r="I144" s="128">
        <f t="shared" si="22"/>
        <v>3342.1296172703323</v>
      </c>
    </row>
    <row r="145" spans="1:10" ht="15" customHeight="1">
      <c r="A145" s="80">
        <v>2013</v>
      </c>
      <c r="B145" s="81">
        <f t="shared" si="25"/>
        <v>3143</v>
      </c>
      <c r="C145" s="134"/>
      <c r="D145" s="67">
        <f t="shared" si="24"/>
        <v>16</v>
      </c>
      <c r="E145" s="83"/>
      <c r="F145" s="69"/>
      <c r="G145" s="69"/>
      <c r="H145" s="84"/>
      <c r="I145" s="128">
        <f t="shared" si="22"/>
        <v>3143.3918125687933</v>
      </c>
    </row>
    <row r="146" spans="1:10" ht="15" customHeight="1">
      <c r="A146" s="80">
        <v>2014</v>
      </c>
      <c r="B146" s="81">
        <f t="shared" si="25"/>
        <v>2953</v>
      </c>
      <c r="C146" s="134"/>
      <c r="D146" s="67">
        <f t="shared" si="24"/>
        <v>17</v>
      </c>
      <c r="E146" s="83"/>
      <c r="F146" s="69"/>
      <c r="G146" s="69"/>
      <c r="H146" s="84"/>
      <c r="I146" s="128">
        <f t="shared" si="22"/>
        <v>2953.4122890722615</v>
      </c>
    </row>
    <row r="147" spans="1:10" ht="15" customHeight="1">
      <c r="A147" s="80">
        <v>2015</v>
      </c>
      <c r="B147" s="81">
        <f t="shared" si="25"/>
        <v>2772</v>
      </c>
      <c r="C147" s="134"/>
      <c r="D147" s="67">
        <f t="shared" si="24"/>
        <v>18</v>
      </c>
      <c r="E147" s="83"/>
      <c r="F147" s="69"/>
      <c r="G147" s="69"/>
      <c r="H147" s="84"/>
      <c r="I147" s="128">
        <f t="shared" si="22"/>
        <v>2772.1723054794352</v>
      </c>
    </row>
    <row r="148" spans="1:10" ht="15" customHeight="1">
      <c r="A148" s="80">
        <v>2016</v>
      </c>
      <c r="B148" s="81">
        <f t="shared" si="25"/>
        <v>2600</v>
      </c>
      <c r="C148" s="134"/>
      <c r="D148" s="67">
        <f t="shared" si="24"/>
        <v>19</v>
      </c>
      <c r="E148" s="83"/>
      <c r="F148" s="69"/>
      <c r="G148" s="69"/>
      <c r="H148" s="84"/>
      <c r="I148" s="128">
        <f t="shared" si="22"/>
        <v>2599.6033979382614</v>
      </c>
    </row>
    <row r="149" spans="1:10" ht="15" customHeight="1">
      <c r="A149" s="80">
        <v>2017</v>
      </c>
      <c r="B149" s="81">
        <f t="shared" si="25"/>
        <v>2436</v>
      </c>
      <c r="C149" s="134"/>
      <c r="D149" s="67">
        <f t="shared" si="24"/>
        <v>20</v>
      </c>
      <c r="E149" s="83"/>
      <c r="F149" s="69"/>
      <c r="G149" s="69"/>
      <c r="H149" s="84"/>
      <c r="I149" s="128">
        <f t="shared" si="22"/>
        <v>2435.592582000339</v>
      </c>
    </row>
    <row r="150" spans="1:10" ht="15" customHeight="1">
      <c r="A150" s="80">
        <v>2018</v>
      </c>
      <c r="B150" s="81">
        <f t="shared" si="25"/>
        <v>2280</v>
      </c>
      <c r="C150" s="134"/>
      <c r="D150" s="67">
        <f t="shared" si="24"/>
        <v>21</v>
      </c>
      <c r="E150" s="83"/>
      <c r="F150" s="69"/>
      <c r="G150" s="69"/>
      <c r="H150" s="84"/>
      <c r="I150" s="128">
        <f t="shared" si="22"/>
        <v>2279.9876342565944</v>
      </c>
    </row>
    <row r="151" spans="1:10" ht="15" customHeight="1">
      <c r="A151" s="80">
        <v>2019</v>
      </c>
      <c r="B151" s="81">
        <f t="shared" si="25"/>
        <v>2133</v>
      </c>
      <c r="C151" s="134"/>
      <c r="D151" s="67">
        <f t="shared" si="24"/>
        <v>22</v>
      </c>
      <c r="E151" s="83"/>
      <c r="F151" s="69"/>
      <c r="G151" s="69"/>
      <c r="H151" s="84"/>
      <c r="I151" s="128">
        <f t="shared" si="22"/>
        <v>2132.6023383456181</v>
      </c>
    </row>
    <row r="152" spans="1:10" ht="15" customHeight="1">
      <c r="A152" s="80">
        <v>2020</v>
      </c>
      <c r="B152" s="81">
        <f t="shared" si="25"/>
        <v>1993</v>
      </c>
      <c r="C152" s="134"/>
      <c r="D152" s="67">
        <f t="shared" si="24"/>
        <v>23</v>
      </c>
      <c r="E152" s="83"/>
      <c r="F152" s="69"/>
      <c r="G152" s="69"/>
      <c r="H152" s="84"/>
      <c r="I152" s="128">
        <f t="shared" si="22"/>
        <v>1993.2215977551841</v>
      </c>
    </row>
    <row r="153" spans="1:10" ht="15" customHeight="1">
      <c r="A153" s="80">
        <v>2021</v>
      </c>
      <c r="B153" s="81">
        <f t="shared" si="25"/>
        <v>1862</v>
      </c>
      <c r="C153" s="134"/>
      <c r="D153" s="67">
        <f t="shared" si="24"/>
        <v>24</v>
      </c>
      <c r="E153" s="83"/>
      <c r="F153" s="69"/>
      <c r="G153" s="69"/>
      <c r="H153" s="84"/>
      <c r="I153" s="128">
        <f t="shared" si="22"/>
        <v>1861.6063358403369</v>
      </c>
    </row>
    <row r="154" spans="1:10" ht="15" customHeight="1">
      <c r="A154" s="80">
        <v>2022</v>
      </c>
      <c r="B154" s="81">
        <f t="shared" si="25"/>
        <v>1737</v>
      </c>
      <c r="C154" s="134"/>
      <c r="D154" s="67">
        <f t="shared" si="24"/>
        <v>25</v>
      </c>
      <c r="E154" s="83"/>
      <c r="F154" s="69"/>
      <c r="G154" s="69"/>
      <c r="H154" s="84"/>
      <c r="I154" s="128">
        <f t="shared" si="22"/>
        <v>1737.4981209893115</v>
      </c>
    </row>
    <row r="155" spans="1:10" ht="15" customHeight="1">
      <c r="A155" s="80">
        <v>2023</v>
      </c>
      <c r="B155" s="81">
        <f t="shared" si="25"/>
        <v>1621</v>
      </c>
      <c r="C155" s="134"/>
      <c r="D155" s="67">
        <f t="shared" si="24"/>
        <v>26</v>
      </c>
      <c r="E155" s="83"/>
      <c r="F155" s="69"/>
      <c r="G155" s="69"/>
      <c r="H155" s="84"/>
      <c r="I155" s="128">
        <f t="shared" si="22"/>
        <v>1620.623471291259</v>
      </c>
    </row>
    <row r="156" spans="1:10" ht="15" customHeight="1">
      <c r="A156" s="80">
        <v>2024</v>
      </c>
      <c r="B156" s="81">
        <f t="shared" si="25"/>
        <v>1511</v>
      </c>
      <c r="C156" s="135"/>
      <c r="D156" s="67">
        <f t="shared" si="24"/>
        <v>27</v>
      </c>
      <c r="E156" s="69"/>
      <c r="F156" s="69"/>
      <c r="G156" s="69"/>
      <c r="H156" s="69"/>
      <c r="I156" s="136">
        <f t="shared" si="22"/>
        <v>1510.6978079792757</v>
      </c>
    </row>
    <row r="157" spans="1:10" ht="15" customHeight="1">
      <c r="A157" s="85">
        <v>2025</v>
      </c>
      <c r="B157" s="86">
        <f t="shared" si="25"/>
        <v>1407</v>
      </c>
      <c r="C157" s="137"/>
      <c r="D157" s="87">
        <f t="shared" si="24"/>
        <v>28</v>
      </c>
      <c r="E157" s="89"/>
      <c r="F157" s="89"/>
      <c r="G157" s="89"/>
      <c r="H157" s="89"/>
      <c r="I157" s="138">
        <f t="shared" si="22"/>
        <v>1407.4290400768614</v>
      </c>
    </row>
    <row r="158" spans="1:10" ht="15" customHeight="1">
      <c r="A158" s="56" t="s">
        <v>267</v>
      </c>
      <c r="B158" s="57"/>
    </row>
    <row r="159" spans="1:10" ht="15" customHeight="1">
      <c r="A159" s="56"/>
      <c r="B159" s="57"/>
    </row>
    <row r="160" spans="1:10" ht="24">
      <c r="A160" s="145" t="s">
        <v>32</v>
      </c>
      <c r="B160" s="146" t="s">
        <v>91</v>
      </c>
      <c r="C160" s="147" t="s">
        <v>72</v>
      </c>
      <c r="D160" s="147" t="s">
        <v>92</v>
      </c>
      <c r="E160" s="147" t="s">
        <v>93</v>
      </c>
      <c r="F160" s="147" t="s">
        <v>94</v>
      </c>
      <c r="G160" s="147" t="s">
        <v>95</v>
      </c>
      <c r="H160" s="148" t="s">
        <v>96</v>
      </c>
      <c r="I160" s="149" t="s">
        <v>268</v>
      </c>
      <c r="J160" s="150" t="s">
        <v>269</v>
      </c>
    </row>
    <row r="161" spans="1:12" ht="20.100000000000001" customHeight="1">
      <c r="A161" s="65">
        <v>2008</v>
      </c>
      <c r="B161" s="151">
        <f t="shared" ref="B161:B178" si="26">B16</f>
        <v>4571</v>
      </c>
      <c r="C161" s="152">
        <f t="shared" ref="C161:C178" si="27">B47</f>
        <v>4138</v>
      </c>
      <c r="D161" s="152">
        <f t="shared" ref="D161:D178" si="28">B78</f>
        <v>4626</v>
      </c>
      <c r="E161" s="268"/>
      <c r="F161" s="152">
        <f t="shared" ref="F161:F178" si="29">B140</f>
        <v>4223</v>
      </c>
      <c r="G161" s="152">
        <f t="shared" ref="G161:G178" si="30">ROUND(AVERAGE(B161:F161),1)</f>
        <v>4389.5</v>
      </c>
      <c r="H161" s="152">
        <f t="shared" ref="H161:H178" si="31">ROUND((SUM(B161:F161)-MAX(B161:F161)-MIN(B161:F161))/(COUNT(B161:F161)-2),1)</f>
        <v>4397</v>
      </c>
      <c r="I161" s="153">
        <f t="shared" ref="I161:I178" si="32">ROUND(SUMIF(B$179:H$179,"○",B161:H161),0)</f>
        <v>4390</v>
      </c>
      <c r="J161" s="261"/>
    </row>
    <row r="162" spans="1:12" ht="20.100000000000001" customHeight="1">
      <c r="A162" s="80">
        <v>2009</v>
      </c>
      <c r="B162" s="151">
        <f t="shared" si="26"/>
        <v>4316</v>
      </c>
      <c r="C162" s="152">
        <f t="shared" si="27"/>
        <v>3862</v>
      </c>
      <c r="D162" s="152">
        <f t="shared" si="28"/>
        <v>4434</v>
      </c>
      <c r="E162" s="268"/>
      <c r="F162" s="152">
        <f t="shared" si="29"/>
        <v>3990</v>
      </c>
      <c r="G162" s="152">
        <f t="shared" si="30"/>
        <v>4150.5</v>
      </c>
      <c r="H162" s="152">
        <f t="shared" si="31"/>
        <v>4153</v>
      </c>
      <c r="I162" s="153">
        <f t="shared" si="32"/>
        <v>4151</v>
      </c>
      <c r="J162" s="154"/>
    </row>
    <row r="163" spans="1:12" ht="20.100000000000001" customHeight="1">
      <c r="A163" s="80">
        <v>2010</v>
      </c>
      <c r="B163" s="151">
        <f t="shared" si="26"/>
        <v>4061</v>
      </c>
      <c r="C163" s="152">
        <f t="shared" si="27"/>
        <v>3586</v>
      </c>
      <c r="D163" s="152">
        <f t="shared" si="28"/>
        <v>4250</v>
      </c>
      <c r="E163" s="268"/>
      <c r="F163" s="152">
        <f t="shared" si="29"/>
        <v>3766</v>
      </c>
      <c r="G163" s="152">
        <f t="shared" si="30"/>
        <v>3915.8</v>
      </c>
      <c r="H163" s="152">
        <f t="shared" si="31"/>
        <v>3913.5</v>
      </c>
      <c r="I163" s="153">
        <f t="shared" si="32"/>
        <v>3916</v>
      </c>
      <c r="J163" s="154"/>
    </row>
    <row r="164" spans="1:12" ht="20.100000000000001" customHeight="1">
      <c r="A164" s="80">
        <v>2011</v>
      </c>
      <c r="B164" s="151">
        <f t="shared" si="26"/>
        <v>3806</v>
      </c>
      <c r="C164" s="152">
        <f t="shared" si="27"/>
        <v>3310</v>
      </c>
      <c r="D164" s="152">
        <f t="shared" si="28"/>
        <v>4073</v>
      </c>
      <c r="E164" s="268"/>
      <c r="F164" s="152">
        <f t="shared" si="29"/>
        <v>3550</v>
      </c>
      <c r="G164" s="152">
        <f t="shared" si="30"/>
        <v>3684.8</v>
      </c>
      <c r="H164" s="152">
        <f t="shared" si="31"/>
        <v>3678</v>
      </c>
      <c r="I164" s="153">
        <f t="shared" si="32"/>
        <v>3685</v>
      </c>
      <c r="J164" s="154"/>
    </row>
    <row r="165" spans="1:12" ht="20.100000000000001" customHeight="1">
      <c r="A165" s="80">
        <v>2012</v>
      </c>
      <c r="B165" s="151">
        <f t="shared" si="26"/>
        <v>3552</v>
      </c>
      <c r="C165" s="152">
        <f t="shared" si="27"/>
        <v>3033</v>
      </c>
      <c r="D165" s="152">
        <f t="shared" si="28"/>
        <v>3904</v>
      </c>
      <c r="E165" s="268"/>
      <c r="F165" s="152">
        <f t="shared" si="29"/>
        <v>3342</v>
      </c>
      <c r="G165" s="152">
        <f t="shared" si="30"/>
        <v>3457.8</v>
      </c>
      <c r="H165" s="152">
        <f t="shared" si="31"/>
        <v>3447</v>
      </c>
      <c r="I165" s="153">
        <f t="shared" si="32"/>
        <v>3458</v>
      </c>
      <c r="J165" s="154"/>
    </row>
    <row r="166" spans="1:12" ht="20.100000000000001" customHeight="1">
      <c r="A166" s="80">
        <v>2013</v>
      </c>
      <c r="B166" s="151">
        <f t="shared" si="26"/>
        <v>3297</v>
      </c>
      <c r="C166" s="152">
        <f t="shared" si="27"/>
        <v>2757</v>
      </c>
      <c r="D166" s="152">
        <f t="shared" si="28"/>
        <v>3742</v>
      </c>
      <c r="E166" s="268"/>
      <c r="F166" s="152">
        <f t="shared" si="29"/>
        <v>3143</v>
      </c>
      <c r="G166" s="152">
        <f t="shared" si="30"/>
        <v>3234.8</v>
      </c>
      <c r="H166" s="152">
        <f t="shared" si="31"/>
        <v>3220</v>
      </c>
      <c r="I166" s="153">
        <f t="shared" si="32"/>
        <v>3235</v>
      </c>
      <c r="J166" s="154"/>
    </row>
    <row r="167" spans="1:12" ht="20.100000000000001" customHeight="1">
      <c r="A167" s="80">
        <v>2014</v>
      </c>
      <c r="B167" s="151">
        <f t="shared" si="26"/>
        <v>3042</v>
      </c>
      <c r="C167" s="152">
        <f t="shared" si="27"/>
        <v>2481</v>
      </c>
      <c r="D167" s="152">
        <f t="shared" si="28"/>
        <v>3587</v>
      </c>
      <c r="E167" s="268"/>
      <c r="F167" s="152">
        <f t="shared" si="29"/>
        <v>2953</v>
      </c>
      <c r="G167" s="152">
        <f t="shared" si="30"/>
        <v>3015.8</v>
      </c>
      <c r="H167" s="152">
        <f t="shared" si="31"/>
        <v>2997.5</v>
      </c>
      <c r="I167" s="153">
        <f t="shared" si="32"/>
        <v>3016</v>
      </c>
      <c r="J167" s="154"/>
    </row>
    <row r="168" spans="1:12" ht="20.100000000000001" customHeight="1">
      <c r="A168" s="80">
        <v>2015</v>
      </c>
      <c r="B168" s="151">
        <f t="shared" si="26"/>
        <v>2787</v>
      </c>
      <c r="C168" s="152">
        <f t="shared" si="27"/>
        <v>2205</v>
      </c>
      <c r="D168" s="152">
        <f t="shared" si="28"/>
        <v>3438</v>
      </c>
      <c r="E168" s="268"/>
      <c r="F168" s="152">
        <f t="shared" si="29"/>
        <v>2772</v>
      </c>
      <c r="G168" s="152">
        <f t="shared" si="30"/>
        <v>2800.5</v>
      </c>
      <c r="H168" s="152">
        <f t="shared" si="31"/>
        <v>2779.5</v>
      </c>
      <c r="I168" s="153">
        <f t="shared" si="32"/>
        <v>2801</v>
      </c>
      <c r="J168" s="154"/>
    </row>
    <row r="169" spans="1:12" ht="20.100000000000001" customHeight="1">
      <c r="A169" s="80">
        <v>2016</v>
      </c>
      <c r="B169" s="151">
        <f t="shared" si="26"/>
        <v>2532</v>
      </c>
      <c r="C169" s="152">
        <f t="shared" si="27"/>
        <v>1929</v>
      </c>
      <c r="D169" s="152">
        <f t="shared" si="28"/>
        <v>3295</v>
      </c>
      <c r="E169" s="268"/>
      <c r="F169" s="152">
        <f t="shared" si="29"/>
        <v>2600</v>
      </c>
      <c r="G169" s="152">
        <f t="shared" si="30"/>
        <v>2589</v>
      </c>
      <c r="H169" s="152">
        <f t="shared" si="31"/>
        <v>2566</v>
      </c>
      <c r="I169" s="153">
        <f t="shared" si="32"/>
        <v>2589</v>
      </c>
      <c r="J169" s="154"/>
    </row>
    <row r="170" spans="1:12" ht="20.100000000000001" customHeight="1">
      <c r="A170" s="80">
        <v>2017</v>
      </c>
      <c r="B170" s="151">
        <f t="shared" si="26"/>
        <v>2277</v>
      </c>
      <c r="C170" s="152">
        <f t="shared" si="27"/>
        <v>1653</v>
      </c>
      <c r="D170" s="152">
        <f t="shared" si="28"/>
        <v>3158</v>
      </c>
      <c r="E170" s="268"/>
      <c r="F170" s="152">
        <f t="shared" si="29"/>
        <v>2436</v>
      </c>
      <c r="G170" s="152">
        <f t="shared" si="30"/>
        <v>2381</v>
      </c>
      <c r="H170" s="152">
        <f t="shared" si="31"/>
        <v>2356.5</v>
      </c>
      <c r="I170" s="153">
        <f t="shared" si="32"/>
        <v>2381</v>
      </c>
      <c r="J170" s="154"/>
    </row>
    <row r="171" spans="1:12" ht="20.100000000000001" customHeight="1">
      <c r="A171" s="80">
        <v>2018</v>
      </c>
      <c r="B171" s="151">
        <f t="shared" si="26"/>
        <v>2022</v>
      </c>
      <c r="C171" s="152">
        <f t="shared" si="27"/>
        <v>1377</v>
      </c>
      <c r="D171" s="152">
        <f t="shared" si="28"/>
        <v>3027</v>
      </c>
      <c r="E171" s="268"/>
      <c r="F171" s="152">
        <f t="shared" si="29"/>
        <v>2280</v>
      </c>
      <c r="G171" s="152">
        <f t="shared" si="30"/>
        <v>2176.5</v>
      </c>
      <c r="H171" s="152">
        <f t="shared" si="31"/>
        <v>2151</v>
      </c>
      <c r="I171" s="153">
        <f t="shared" si="32"/>
        <v>2177</v>
      </c>
      <c r="J171" s="154"/>
    </row>
    <row r="172" spans="1:12" ht="20.100000000000001" customHeight="1">
      <c r="A172" s="80">
        <v>2019</v>
      </c>
      <c r="B172" s="151">
        <f t="shared" si="26"/>
        <v>1767</v>
      </c>
      <c r="C172" s="152">
        <f t="shared" si="27"/>
        <v>1101</v>
      </c>
      <c r="D172" s="152">
        <f t="shared" si="28"/>
        <v>2901</v>
      </c>
      <c r="E172" s="268"/>
      <c r="F172" s="152">
        <f t="shared" si="29"/>
        <v>2133</v>
      </c>
      <c r="G172" s="152">
        <f t="shared" si="30"/>
        <v>1975.5</v>
      </c>
      <c r="H172" s="152">
        <f t="shared" si="31"/>
        <v>1950</v>
      </c>
      <c r="I172" s="153">
        <f t="shared" si="32"/>
        <v>1976</v>
      </c>
      <c r="J172" s="154"/>
    </row>
    <row r="173" spans="1:12" ht="20.100000000000001" customHeight="1">
      <c r="A173" s="80">
        <v>2020</v>
      </c>
      <c r="B173" s="151">
        <f t="shared" si="26"/>
        <v>1512</v>
      </c>
      <c r="C173" s="152">
        <f t="shared" si="27"/>
        <v>825</v>
      </c>
      <c r="D173" s="152">
        <f t="shared" si="28"/>
        <v>2781</v>
      </c>
      <c r="E173" s="268"/>
      <c r="F173" s="152">
        <f t="shared" si="29"/>
        <v>1993</v>
      </c>
      <c r="G173" s="152">
        <f t="shared" si="30"/>
        <v>1777.8</v>
      </c>
      <c r="H173" s="152">
        <f t="shared" si="31"/>
        <v>1752.5</v>
      </c>
      <c r="I173" s="153">
        <f t="shared" si="32"/>
        <v>1778</v>
      </c>
      <c r="J173" s="154"/>
    </row>
    <row r="174" spans="1:12" ht="20.100000000000001" customHeight="1">
      <c r="A174" s="80">
        <v>2021</v>
      </c>
      <c r="B174" s="151">
        <f t="shared" si="26"/>
        <v>1257</v>
      </c>
      <c r="C174" s="152">
        <f t="shared" si="27"/>
        <v>549</v>
      </c>
      <c r="D174" s="152">
        <f t="shared" si="28"/>
        <v>2665</v>
      </c>
      <c r="E174" s="268"/>
      <c r="F174" s="152">
        <f t="shared" si="29"/>
        <v>1862</v>
      </c>
      <c r="G174" s="152">
        <f t="shared" si="30"/>
        <v>1583.3</v>
      </c>
      <c r="H174" s="152">
        <f t="shared" si="31"/>
        <v>1559.5</v>
      </c>
      <c r="I174" s="153">
        <f t="shared" si="32"/>
        <v>1583</v>
      </c>
      <c r="J174" s="154"/>
    </row>
    <row r="175" spans="1:12" ht="20.100000000000001" customHeight="1">
      <c r="A175" s="80">
        <v>2022</v>
      </c>
      <c r="B175" s="151">
        <f t="shared" si="26"/>
        <v>1003</v>
      </c>
      <c r="C175" s="152">
        <f t="shared" si="27"/>
        <v>273</v>
      </c>
      <c r="D175" s="152">
        <f t="shared" si="28"/>
        <v>2555</v>
      </c>
      <c r="E175" s="268"/>
      <c r="F175" s="152">
        <f t="shared" si="29"/>
        <v>1737</v>
      </c>
      <c r="G175" s="152">
        <f t="shared" si="30"/>
        <v>1392</v>
      </c>
      <c r="H175" s="152">
        <f t="shared" si="31"/>
        <v>1370</v>
      </c>
      <c r="I175" s="153">
        <f t="shared" si="32"/>
        <v>1392</v>
      </c>
      <c r="J175" s="154"/>
    </row>
    <row r="176" spans="1:12" ht="20.100000000000001" customHeight="1">
      <c r="A176" s="80">
        <v>2023</v>
      </c>
      <c r="B176" s="151">
        <f t="shared" si="26"/>
        <v>748</v>
      </c>
      <c r="C176" s="152">
        <f t="shared" si="27"/>
        <v>-3</v>
      </c>
      <c r="D176" s="152">
        <f t="shared" si="28"/>
        <v>2449</v>
      </c>
      <c r="E176" s="268"/>
      <c r="F176" s="152">
        <f t="shared" si="29"/>
        <v>1621</v>
      </c>
      <c r="G176" s="152">
        <f t="shared" si="30"/>
        <v>1203.8</v>
      </c>
      <c r="H176" s="152">
        <f t="shared" si="31"/>
        <v>1184.5</v>
      </c>
      <c r="I176" s="153">
        <f t="shared" si="32"/>
        <v>1204</v>
      </c>
      <c r="J176" s="154"/>
      <c r="L176" s="55">
        <v>806200</v>
      </c>
    </row>
    <row r="177" spans="1:41" ht="20.100000000000001" customHeight="1">
      <c r="A177" s="80">
        <v>2024</v>
      </c>
      <c r="B177" s="151">
        <f t="shared" si="26"/>
        <v>493</v>
      </c>
      <c r="C177" s="152">
        <f t="shared" si="27"/>
        <v>-279</v>
      </c>
      <c r="D177" s="152">
        <f t="shared" si="28"/>
        <v>2347</v>
      </c>
      <c r="E177" s="268"/>
      <c r="F177" s="152">
        <f t="shared" si="29"/>
        <v>1511</v>
      </c>
      <c r="G177" s="152">
        <f t="shared" si="30"/>
        <v>1018</v>
      </c>
      <c r="H177" s="152">
        <f t="shared" si="31"/>
        <v>1002</v>
      </c>
      <c r="I177" s="153">
        <f t="shared" si="32"/>
        <v>1018</v>
      </c>
      <c r="J177" s="154"/>
      <c r="K177" s="55">
        <v>51000</v>
      </c>
      <c r="L177" s="75">
        <f>+K177+E177</f>
        <v>51000</v>
      </c>
      <c r="M177" s="75"/>
    </row>
    <row r="178" spans="1:41" ht="20.100000000000001" customHeight="1">
      <c r="A178" s="80">
        <v>2025</v>
      </c>
      <c r="B178" s="151">
        <f t="shared" si="26"/>
        <v>238</v>
      </c>
      <c r="C178" s="152">
        <f t="shared" si="27"/>
        <v>-555</v>
      </c>
      <c r="D178" s="152">
        <f t="shared" si="28"/>
        <v>2250</v>
      </c>
      <c r="E178" s="268"/>
      <c r="F178" s="152">
        <f t="shared" si="29"/>
        <v>1407</v>
      </c>
      <c r="G178" s="152">
        <f t="shared" si="30"/>
        <v>835</v>
      </c>
      <c r="H178" s="152">
        <f t="shared" si="31"/>
        <v>822.5</v>
      </c>
      <c r="I178" s="153">
        <f t="shared" si="32"/>
        <v>835</v>
      </c>
      <c r="J178" s="154"/>
      <c r="L178" s="75">
        <f>+L176-L177</f>
        <v>755200</v>
      </c>
      <c r="M178" s="75"/>
    </row>
    <row r="179" spans="1:41" ht="20.100000000000001" customHeight="1">
      <c r="A179" s="155" t="s">
        <v>97</v>
      </c>
      <c r="B179" s="156"/>
      <c r="C179" s="157"/>
      <c r="D179" s="157"/>
      <c r="E179" s="157"/>
      <c r="F179" s="156"/>
      <c r="G179" s="269" t="s">
        <v>270</v>
      </c>
      <c r="H179" s="157"/>
      <c r="I179" s="159"/>
      <c r="J179" s="160"/>
      <c r="K179" s="161"/>
      <c r="L179" s="162">
        <f>B129</f>
        <v>7375</v>
      </c>
      <c r="M179" s="162">
        <f>+B130</f>
        <v>7030</v>
      </c>
      <c r="N179" s="162">
        <f>B131</f>
        <v>6695</v>
      </c>
      <c r="O179" s="161">
        <f>B132</f>
        <v>6281</v>
      </c>
      <c r="P179" s="162">
        <f>B133</f>
        <v>5959</v>
      </c>
      <c r="Q179" s="161">
        <f>B134</f>
        <v>5578</v>
      </c>
      <c r="R179" s="162">
        <f>B135</f>
        <v>5267</v>
      </c>
      <c r="S179" s="162">
        <f>B136</f>
        <v>5105</v>
      </c>
      <c r="T179" s="162">
        <f>B137</f>
        <v>4844</v>
      </c>
      <c r="U179" s="162">
        <f>B138</f>
        <v>4774</v>
      </c>
      <c r="V179" s="162">
        <f>B139</f>
        <v>4826</v>
      </c>
      <c r="W179" s="162">
        <f>B16</f>
        <v>4571</v>
      </c>
      <c r="X179" s="162"/>
      <c r="Y179" s="161"/>
      <c r="Z179" s="161"/>
      <c r="AA179" s="161"/>
      <c r="AB179" s="161"/>
      <c r="AC179" s="161"/>
      <c r="AD179" s="161"/>
      <c r="AE179" s="161"/>
      <c r="AF179" s="161"/>
      <c r="AG179" s="161"/>
      <c r="AH179" s="161"/>
      <c r="AI179" s="161"/>
      <c r="AJ179" s="161"/>
      <c r="AK179" s="161"/>
      <c r="AL179" s="161"/>
      <c r="AM179" s="161"/>
      <c r="AN179" s="161"/>
    </row>
    <row r="180" spans="1:41" ht="20.100000000000001" hidden="1" customHeight="1">
      <c r="A180" s="85"/>
      <c r="B180" s="163"/>
      <c r="C180" s="164"/>
      <c r="D180" s="164"/>
      <c r="E180" s="164"/>
      <c r="F180" s="164"/>
      <c r="G180" s="164"/>
      <c r="H180" s="164"/>
      <c r="I180" s="165"/>
      <c r="J180" s="166"/>
      <c r="K180" s="161"/>
      <c r="L180" s="161"/>
      <c r="M180" s="161"/>
      <c r="N180" s="161"/>
      <c r="O180" s="161"/>
      <c r="P180" s="161"/>
      <c r="Q180" s="161"/>
      <c r="R180" s="161"/>
      <c r="S180" s="161"/>
      <c r="T180" s="161"/>
      <c r="U180" s="161"/>
      <c r="V180" s="161"/>
      <c r="W180" s="161"/>
      <c r="X180" s="161"/>
      <c r="Y180" s="161"/>
      <c r="Z180" s="161"/>
      <c r="AA180" s="161"/>
      <c r="AB180" s="161"/>
      <c r="AC180" s="161"/>
      <c r="AD180" s="161"/>
      <c r="AE180" s="161"/>
      <c r="AF180" s="161"/>
      <c r="AG180" s="161"/>
      <c r="AH180" s="161"/>
      <c r="AI180" s="161"/>
      <c r="AJ180" s="161"/>
      <c r="AK180" s="161"/>
      <c r="AL180" s="161"/>
      <c r="AM180" s="161"/>
      <c r="AN180" s="161"/>
    </row>
    <row r="181" spans="1:41" s="161" customFormat="1" ht="20.100000000000001" customHeight="1">
      <c r="A181" s="167" t="s">
        <v>98</v>
      </c>
      <c r="B181" s="168">
        <f>I4</f>
        <v>0.95447645976077422</v>
      </c>
      <c r="C181" s="169">
        <f>I35</f>
        <v>0.95447645976077422</v>
      </c>
      <c r="D181" s="169">
        <f>I66</f>
        <v>0.9737285657742345</v>
      </c>
      <c r="E181" s="169"/>
      <c r="F181" s="169">
        <f>I128</f>
        <v>0.96351330410053448</v>
      </c>
      <c r="G181" s="170"/>
      <c r="H181" s="171"/>
      <c r="I181" s="172"/>
      <c r="J181" s="173"/>
      <c r="K181" s="174">
        <f>MAX(B181:I181,F181)</f>
        <v>0.9737285657742345</v>
      </c>
      <c r="L181" s="161">
        <v>1997</v>
      </c>
      <c r="M181" s="161">
        <f>+L181+1</f>
        <v>1998</v>
      </c>
      <c r="N181" s="161">
        <f>+M181+1</f>
        <v>1999</v>
      </c>
      <c r="O181" s="161">
        <f t="shared" ref="O181:AO181" si="33">+N181+1</f>
        <v>2000</v>
      </c>
      <c r="P181" s="161">
        <f t="shared" si="33"/>
        <v>2001</v>
      </c>
      <c r="Q181" s="161">
        <f t="shared" si="33"/>
        <v>2002</v>
      </c>
      <c r="R181" s="161">
        <f t="shared" si="33"/>
        <v>2003</v>
      </c>
      <c r="S181" s="161">
        <f t="shared" si="33"/>
        <v>2004</v>
      </c>
      <c r="T181" s="161">
        <f t="shared" si="33"/>
        <v>2005</v>
      </c>
      <c r="U181" s="161">
        <f t="shared" si="33"/>
        <v>2006</v>
      </c>
      <c r="V181" s="161">
        <f t="shared" si="33"/>
        <v>2007</v>
      </c>
      <c r="W181" s="161">
        <f t="shared" si="33"/>
        <v>2008</v>
      </c>
      <c r="X181" s="161">
        <f t="shared" si="33"/>
        <v>2009</v>
      </c>
      <c r="Y181" s="161">
        <f t="shared" si="33"/>
        <v>2010</v>
      </c>
      <c r="Z181" s="161">
        <f t="shared" si="33"/>
        <v>2011</v>
      </c>
      <c r="AA181" s="161">
        <f t="shared" si="33"/>
        <v>2012</v>
      </c>
      <c r="AB181" s="161">
        <f t="shared" si="33"/>
        <v>2013</v>
      </c>
      <c r="AC181" s="161">
        <f t="shared" si="33"/>
        <v>2014</v>
      </c>
      <c r="AD181" s="161">
        <f t="shared" si="33"/>
        <v>2015</v>
      </c>
      <c r="AE181" s="161">
        <f t="shared" si="33"/>
        <v>2016</v>
      </c>
      <c r="AF181" s="161">
        <f t="shared" si="33"/>
        <v>2017</v>
      </c>
      <c r="AG181" s="161">
        <f t="shared" si="33"/>
        <v>2018</v>
      </c>
      <c r="AH181" s="161">
        <f t="shared" si="33"/>
        <v>2019</v>
      </c>
      <c r="AI181" s="161">
        <f t="shared" si="33"/>
        <v>2020</v>
      </c>
      <c r="AJ181" s="161">
        <f t="shared" si="33"/>
        <v>2021</v>
      </c>
      <c r="AK181" s="161">
        <f t="shared" si="33"/>
        <v>2022</v>
      </c>
      <c r="AL181" s="161">
        <f t="shared" si="33"/>
        <v>2023</v>
      </c>
      <c r="AM181" s="161">
        <f t="shared" si="33"/>
        <v>2024</v>
      </c>
      <c r="AN181" s="161">
        <f t="shared" si="33"/>
        <v>2025</v>
      </c>
      <c r="AO181" s="161">
        <f t="shared" si="33"/>
        <v>2026</v>
      </c>
    </row>
    <row r="182" spans="1:41" ht="20.100000000000001" customHeight="1">
      <c r="K182" s="161" t="s">
        <v>99</v>
      </c>
      <c r="L182" s="161"/>
      <c r="M182" s="161"/>
      <c r="N182" s="161"/>
      <c r="O182" s="161"/>
      <c r="P182" s="161"/>
      <c r="Q182" s="161"/>
      <c r="R182" s="161"/>
      <c r="S182" s="161"/>
      <c r="T182" s="161"/>
      <c r="U182" s="161"/>
      <c r="V182" s="162">
        <f>+V179</f>
        <v>4826</v>
      </c>
      <c r="W182" s="175">
        <f>+B16</f>
        <v>4571</v>
      </c>
      <c r="X182" s="162">
        <f>B17</f>
        <v>4316</v>
      </c>
      <c r="Y182" s="162">
        <f>B18</f>
        <v>4061</v>
      </c>
      <c r="Z182" s="162">
        <f>B19</f>
        <v>3806</v>
      </c>
      <c r="AA182" s="162">
        <f>B20</f>
        <v>3552</v>
      </c>
      <c r="AB182" s="162">
        <f>B21</f>
        <v>3297</v>
      </c>
      <c r="AC182" s="162">
        <f>B22</f>
        <v>3042</v>
      </c>
      <c r="AD182" s="162">
        <f>B23</f>
        <v>2787</v>
      </c>
      <c r="AE182" s="162">
        <f>B24</f>
        <v>2532</v>
      </c>
      <c r="AF182" s="162">
        <f>B25</f>
        <v>2277</v>
      </c>
      <c r="AG182" s="162">
        <f>B26</f>
        <v>2022</v>
      </c>
      <c r="AH182" s="162">
        <f>B27</f>
        <v>1767</v>
      </c>
      <c r="AI182" s="162">
        <f>B28</f>
        <v>1512</v>
      </c>
      <c r="AJ182" s="162">
        <f>B29</f>
        <v>1257</v>
      </c>
      <c r="AK182" s="162">
        <f>B30</f>
        <v>1003</v>
      </c>
      <c r="AL182" s="162">
        <f>B31</f>
        <v>748</v>
      </c>
      <c r="AM182" s="162">
        <f>B32</f>
        <v>493</v>
      </c>
      <c r="AN182" s="162">
        <f>B33</f>
        <v>238</v>
      </c>
      <c r="AO182" s="161" t="s">
        <v>99</v>
      </c>
    </row>
    <row r="183" spans="1:41" ht="20.100000000000001" customHeight="1">
      <c r="K183" s="161" t="s">
        <v>100</v>
      </c>
      <c r="L183" s="161"/>
      <c r="M183" s="161"/>
      <c r="N183" s="161"/>
      <c r="O183" s="161"/>
      <c r="P183" s="161"/>
      <c r="Q183" s="161"/>
      <c r="R183" s="161"/>
      <c r="S183" s="161"/>
      <c r="T183" s="161"/>
      <c r="U183" s="161"/>
      <c r="V183" s="162">
        <f>+V182</f>
        <v>4826</v>
      </c>
      <c r="W183" s="175">
        <f>+B47</f>
        <v>4138</v>
      </c>
      <c r="X183" s="162">
        <f>B48</f>
        <v>3862</v>
      </c>
      <c r="Y183" s="162">
        <f>B49</f>
        <v>3586</v>
      </c>
      <c r="Z183" s="162">
        <f>B50</f>
        <v>3310</v>
      </c>
      <c r="AA183" s="162">
        <f>B51</f>
        <v>3033</v>
      </c>
      <c r="AB183" s="162">
        <f>B52</f>
        <v>2757</v>
      </c>
      <c r="AC183" s="162">
        <f>B53</f>
        <v>2481</v>
      </c>
      <c r="AD183" s="162">
        <f>B54</f>
        <v>2205</v>
      </c>
      <c r="AE183" s="162">
        <f>B55</f>
        <v>1929</v>
      </c>
      <c r="AF183" s="162">
        <f>B56</f>
        <v>1653</v>
      </c>
      <c r="AG183" s="162">
        <f>B57</f>
        <v>1377</v>
      </c>
      <c r="AH183" s="162">
        <f>B58</f>
        <v>1101</v>
      </c>
      <c r="AI183" s="162">
        <f>B59</f>
        <v>825</v>
      </c>
      <c r="AJ183" s="162">
        <f>B60</f>
        <v>549</v>
      </c>
      <c r="AK183" s="162">
        <f>B61</f>
        <v>273</v>
      </c>
      <c r="AL183" s="162">
        <f>B62</f>
        <v>-3</v>
      </c>
      <c r="AM183" s="162">
        <f>B63</f>
        <v>-279</v>
      </c>
      <c r="AN183" s="162">
        <f>B64</f>
        <v>-555</v>
      </c>
      <c r="AO183" s="161" t="s">
        <v>100</v>
      </c>
    </row>
    <row r="184" spans="1:41" ht="20.100000000000001" customHeight="1">
      <c r="K184" s="161" t="s">
        <v>101</v>
      </c>
      <c r="L184" s="161"/>
      <c r="M184" s="161"/>
      <c r="N184" s="161"/>
      <c r="O184" s="161"/>
      <c r="P184" s="161"/>
      <c r="Q184" s="161"/>
      <c r="R184" s="161"/>
      <c r="S184" s="161"/>
      <c r="T184" s="161"/>
      <c r="U184" s="161"/>
      <c r="V184" s="162">
        <f>+V183</f>
        <v>4826</v>
      </c>
      <c r="W184" s="175">
        <f>+B78</f>
        <v>4626</v>
      </c>
      <c r="X184" s="162">
        <f>B79</f>
        <v>4434</v>
      </c>
      <c r="Y184" s="162">
        <f>B80</f>
        <v>4250</v>
      </c>
      <c r="Z184" s="162">
        <f>B81</f>
        <v>4073</v>
      </c>
      <c r="AA184" s="162">
        <f>B82</f>
        <v>3904</v>
      </c>
      <c r="AB184" s="162">
        <f>B83</f>
        <v>3742</v>
      </c>
      <c r="AC184" s="162">
        <f>B84</f>
        <v>3587</v>
      </c>
      <c r="AD184" s="162">
        <f>B85</f>
        <v>3438</v>
      </c>
      <c r="AE184" s="162">
        <f>B86</f>
        <v>3295</v>
      </c>
      <c r="AF184" s="162">
        <f>B87</f>
        <v>3158</v>
      </c>
      <c r="AG184" s="162">
        <f>B88</f>
        <v>3027</v>
      </c>
      <c r="AH184" s="162">
        <f>B89</f>
        <v>2901</v>
      </c>
      <c r="AI184" s="162">
        <f>B90</f>
        <v>2781</v>
      </c>
      <c r="AJ184" s="162">
        <f>B91</f>
        <v>2665</v>
      </c>
      <c r="AK184" s="162">
        <f>B92</f>
        <v>2555</v>
      </c>
      <c r="AL184" s="162">
        <f>B93</f>
        <v>2449</v>
      </c>
      <c r="AM184" s="162">
        <f>B94</f>
        <v>2347</v>
      </c>
      <c r="AN184" s="162">
        <f>B95</f>
        <v>2250</v>
      </c>
      <c r="AO184" s="161" t="s">
        <v>101</v>
      </c>
    </row>
    <row r="185" spans="1:41" ht="20.100000000000001" customHeight="1">
      <c r="K185" s="161" t="s">
        <v>102</v>
      </c>
      <c r="L185" s="161"/>
      <c r="M185" s="161"/>
      <c r="N185" s="161"/>
      <c r="O185" s="161"/>
      <c r="P185" s="161"/>
      <c r="Q185" s="161"/>
      <c r="R185" s="161"/>
      <c r="S185" s="161"/>
      <c r="T185" s="161"/>
      <c r="U185" s="161"/>
      <c r="V185" s="162">
        <f>+V184</f>
        <v>4826</v>
      </c>
      <c r="W185" s="175"/>
      <c r="X185" s="161"/>
      <c r="Y185" s="161"/>
      <c r="Z185" s="161"/>
      <c r="AA185" s="161"/>
      <c r="AB185" s="161"/>
      <c r="AC185" s="161"/>
      <c r="AD185" s="161"/>
      <c r="AE185" s="161"/>
      <c r="AF185" s="161"/>
      <c r="AG185" s="161"/>
      <c r="AH185" s="161"/>
      <c r="AI185" s="161"/>
      <c r="AJ185" s="161"/>
      <c r="AK185" s="161"/>
      <c r="AL185" s="161"/>
      <c r="AM185" s="161"/>
      <c r="AN185" s="161"/>
      <c r="AO185" s="161" t="s">
        <v>102</v>
      </c>
    </row>
    <row r="186" spans="1:41" ht="20.100000000000001" customHeight="1">
      <c r="K186" s="161" t="s">
        <v>103</v>
      </c>
      <c r="L186" s="161"/>
      <c r="M186" s="161"/>
      <c r="N186" s="161"/>
      <c r="O186" s="161"/>
      <c r="P186" s="161"/>
      <c r="Q186" s="161"/>
      <c r="R186" s="161"/>
      <c r="S186" s="161"/>
      <c r="T186" s="161"/>
      <c r="U186" s="161"/>
      <c r="V186" s="162">
        <f>+V185</f>
        <v>4826</v>
      </c>
      <c r="W186" s="175">
        <f>+B140</f>
        <v>4223</v>
      </c>
      <c r="X186" s="162">
        <f>B141</f>
        <v>3990</v>
      </c>
      <c r="Y186" s="162">
        <f>B142</f>
        <v>3766</v>
      </c>
      <c r="Z186" s="162">
        <f>B143</f>
        <v>3550</v>
      </c>
      <c r="AA186" s="162">
        <f>B144</f>
        <v>3342</v>
      </c>
      <c r="AB186" s="162">
        <f>B145</f>
        <v>3143</v>
      </c>
      <c r="AC186" s="162">
        <f>B146</f>
        <v>2953</v>
      </c>
      <c r="AD186" s="162">
        <f>B147</f>
        <v>2772</v>
      </c>
      <c r="AE186" s="162">
        <f>B148</f>
        <v>2600</v>
      </c>
      <c r="AF186" s="162">
        <f>B149</f>
        <v>2436</v>
      </c>
      <c r="AG186" s="162">
        <f>B150</f>
        <v>2280</v>
      </c>
      <c r="AH186" s="162">
        <f>B151</f>
        <v>2133</v>
      </c>
      <c r="AI186" s="162">
        <f>B152</f>
        <v>1993</v>
      </c>
      <c r="AJ186" s="162">
        <f>B153</f>
        <v>1862</v>
      </c>
      <c r="AK186" s="162">
        <f>B154</f>
        <v>1737</v>
      </c>
      <c r="AL186" s="162">
        <f>B155</f>
        <v>1621</v>
      </c>
      <c r="AM186" s="162">
        <f>B156</f>
        <v>1511</v>
      </c>
      <c r="AN186" s="162">
        <f>B157</f>
        <v>1407</v>
      </c>
      <c r="AO186" s="161" t="s">
        <v>103</v>
      </c>
    </row>
    <row r="187" spans="1:41" ht="20.100000000000001" customHeight="1">
      <c r="K187" s="161" t="s">
        <v>95</v>
      </c>
      <c r="L187" s="161"/>
      <c r="M187" s="161"/>
      <c r="N187" s="161"/>
      <c r="O187" s="161"/>
      <c r="P187" s="161"/>
      <c r="Q187" s="161"/>
      <c r="R187" s="161"/>
      <c r="S187" s="161"/>
      <c r="T187" s="161"/>
      <c r="U187" s="161"/>
      <c r="V187" s="162">
        <f>+V186</f>
        <v>4826</v>
      </c>
      <c r="W187" s="175">
        <f>+G161</f>
        <v>4389.5</v>
      </c>
      <c r="X187" s="206">
        <f>+G162</f>
        <v>4150.5</v>
      </c>
      <c r="Y187" s="206">
        <f>+G163</f>
        <v>3915.8</v>
      </c>
      <c r="Z187" s="206">
        <f>+F164</f>
        <v>3550</v>
      </c>
      <c r="AA187" s="206">
        <f>+F165</f>
        <v>3342</v>
      </c>
      <c r="AB187" s="206">
        <f>+F166</f>
        <v>3143</v>
      </c>
      <c r="AC187" s="206">
        <f>+F167</f>
        <v>2953</v>
      </c>
      <c r="AD187" s="206">
        <f>+F168</f>
        <v>2772</v>
      </c>
      <c r="AE187" s="206">
        <f>+F169</f>
        <v>2600</v>
      </c>
      <c r="AF187" s="206">
        <f>+F170</f>
        <v>2436</v>
      </c>
      <c r="AG187" s="206">
        <f>+F171</f>
        <v>2280</v>
      </c>
      <c r="AH187" s="206">
        <f>+F172</f>
        <v>2133</v>
      </c>
      <c r="AI187" s="206">
        <f>+F173</f>
        <v>1993</v>
      </c>
      <c r="AJ187" s="206">
        <f>+F174</f>
        <v>1862</v>
      </c>
      <c r="AK187" s="206">
        <f>+F175</f>
        <v>1737</v>
      </c>
      <c r="AL187" s="206">
        <f>+F176</f>
        <v>1621</v>
      </c>
      <c r="AM187" s="206">
        <f>+F177</f>
        <v>1511</v>
      </c>
      <c r="AN187" s="206">
        <f>+F178</f>
        <v>1407</v>
      </c>
      <c r="AO187" s="161" t="s">
        <v>95</v>
      </c>
    </row>
    <row r="188" spans="1:41" ht="20.100000000000001" customHeight="1"/>
    <row r="189" spans="1:41" ht="20.100000000000001" customHeight="1"/>
    <row r="190" spans="1:41" ht="20.100000000000001" customHeight="1"/>
    <row r="191" spans="1:41" ht="20.100000000000001" customHeight="1"/>
    <row r="192" spans="1:41" ht="20.100000000000001" customHeight="1"/>
    <row r="193" ht="20.100000000000001" customHeight="1"/>
    <row r="194" ht="20.100000000000001" customHeight="1"/>
    <row r="195" ht="20.100000000000001" customHeight="1"/>
    <row r="196" ht="20.100000000000001" customHeight="1"/>
    <row r="197" ht="20.100000000000001" customHeight="1"/>
    <row r="198" ht="20.100000000000001" customHeight="1"/>
    <row r="199" ht="20.100000000000001" customHeight="1"/>
    <row r="200" ht="20.100000000000001" customHeight="1"/>
    <row r="201" ht="20.100000000000001" customHeight="1"/>
    <row r="202" ht="20.100000000000001" customHeight="1"/>
    <row r="203" ht="20.100000000000001" customHeight="1"/>
    <row r="204" ht="20.100000000000001" customHeight="1"/>
  </sheetData>
  <phoneticPr fontId="50" type="noConversion"/>
  <pageMargins left="0.74803149606299213" right="0.74803149606299213" top="0.78740157480314965" bottom="0.78740157480314965" header="0.51181102362204722" footer="0.51181102362204722"/>
  <pageSetup paperSize="9" scale="70" fitToHeight="3" orientation="portrait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>
  <sheetPr codeName="Sheet49">
    <tabColor indexed="46"/>
  </sheetPr>
  <dimension ref="A1:AO179"/>
  <sheetViews>
    <sheetView workbookViewId="0"/>
  </sheetViews>
  <sheetFormatPr defaultRowHeight="15" customHeight="1"/>
  <cols>
    <col min="1" max="1" width="8.88671875" style="55"/>
    <col min="2" max="2" width="9.21875" style="55" customWidth="1"/>
    <col min="3" max="3" width="9.5546875" style="55" customWidth="1"/>
    <col min="4" max="4" width="9" style="55" customWidth="1"/>
    <col min="5" max="5" width="11.33203125" style="55" customWidth="1"/>
    <col min="6" max="6" width="9.44140625" style="55" customWidth="1"/>
    <col min="7" max="7" width="15.109375" style="55" bestFit="1" customWidth="1"/>
    <col min="8" max="8" width="12.88671875" style="55" bestFit="1" customWidth="1"/>
    <col min="9" max="9" width="11.5546875" style="55" bestFit="1" customWidth="1"/>
    <col min="10" max="16384" width="8.88671875" style="55"/>
  </cols>
  <sheetData>
    <row r="1" spans="1:12" ht="15" customHeight="1">
      <c r="A1" s="54" t="s">
        <v>305</v>
      </c>
    </row>
    <row r="2" spans="1:12" ht="15" customHeight="1">
      <c r="A2" s="54"/>
    </row>
    <row r="3" spans="1:12" ht="15" customHeight="1">
      <c r="A3" s="56" t="s">
        <v>74</v>
      </c>
      <c r="B3" s="57"/>
    </row>
    <row r="4" spans="1:12" ht="15" customHeight="1">
      <c r="A4" s="58" t="s">
        <v>32</v>
      </c>
      <c r="B4" s="59" t="s">
        <v>40</v>
      </c>
      <c r="C4" s="59" t="s">
        <v>33</v>
      </c>
      <c r="D4" s="60"/>
      <c r="E4" s="60"/>
      <c r="F4" s="61"/>
      <c r="G4" s="62"/>
      <c r="H4" s="63" t="s">
        <v>292</v>
      </c>
      <c r="I4" s="64">
        <f>RSQ(I6:I11,B6:B11)</f>
        <v>0.85239960878697674</v>
      </c>
    </row>
    <row r="5" spans="1:12" ht="15" customHeight="1">
      <c r="A5" s="176">
        <v>2002</v>
      </c>
      <c r="B5" s="183">
        <f>+묵호동10!B10</f>
        <v>5578</v>
      </c>
      <c r="C5" s="177">
        <v>0</v>
      </c>
      <c r="D5" s="178"/>
      <c r="E5" s="178"/>
      <c r="F5" s="179"/>
      <c r="G5" s="262"/>
      <c r="H5" s="263"/>
      <c r="I5" s="70">
        <f t="shared" ref="I5:I28" si="0">$E$6*C5+$E$7</f>
        <v>5578</v>
      </c>
    </row>
    <row r="6" spans="1:12" ht="15" customHeight="1">
      <c r="A6" s="65">
        <v>2003</v>
      </c>
      <c r="B6" s="184">
        <f>+묵호동10!B11</f>
        <v>5267</v>
      </c>
      <c r="C6" s="67">
        <f>+C5+1</f>
        <v>1</v>
      </c>
      <c r="D6" s="53" t="s">
        <v>75</v>
      </c>
      <c r="E6" s="68">
        <f>(B10-B5)/C10</f>
        <v>-150.4</v>
      </c>
      <c r="F6" s="69"/>
      <c r="G6" s="53"/>
      <c r="H6" s="69"/>
      <c r="I6" s="70">
        <f t="shared" si="0"/>
        <v>5427.6</v>
      </c>
      <c r="J6" s="71">
        <v>570570</v>
      </c>
      <c r="K6" s="55">
        <v>570570</v>
      </c>
      <c r="L6" s="55">
        <v>766</v>
      </c>
    </row>
    <row r="7" spans="1:12" ht="15" customHeight="1">
      <c r="A7" s="65">
        <v>2004</v>
      </c>
      <c r="B7" s="184">
        <f>+묵호동10!B12</f>
        <v>5105</v>
      </c>
      <c r="C7" s="67">
        <f t="shared" ref="C7:C28" si="1">C6+1</f>
        <v>2</v>
      </c>
      <c r="D7" s="53" t="s">
        <v>76</v>
      </c>
      <c r="E7" s="72">
        <f>B5</f>
        <v>5578</v>
      </c>
      <c r="F7" s="69"/>
      <c r="G7" s="53"/>
      <c r="H7" s="69"/>
      <c r="I7" s="70">
        <f t="shared" si="0"/>
        <v>5277.2</v>
      </c>
      <c r="J7" s="71">
        <v>583230</v>
      </c>
      <c r="K7" s="55">
        <v>583230</v>
      </c>
      <c r="L7" s="55">
        <v>1094</v>
      </c>
    </row>
    <row r="8" spans="1:12" ht="15" customHeight="1">
      <c r="A8" s="65">
        <v>2005</v>
      </c>
      <c r="B8" s="184">
        <f>+묵호동10!B13</f>
        <v>4844</v>
      </c>
      <c r="C8" s="67">
        <f t="shared" si="1"/>
        <v>3</v>
      </c>
      <c r="D8" s="53" t="s">
        <v>77</v>
      </c>
      <c r="E8" s="73">
        <f>I4</f>
        <v>0.85239960878697674</v>
      </c>
      <c r="F8" s="69"/>
      <c r="G8" s="53"/>
      <c r="H8" s="69"/>
      <c r="I8" s="70">
        <f t="shared" si="0"/>
        <v>5126.8</v>
      </c>
      <c r="J8" s="71">
        <v>590162</v>
      </c>
      <c r="K8" s="55">
        <v>590162</v>
      </c>
      <c r="L8" s="55">
        <v>1277</v>
      </c>
    </row>
    <row r="9" spans="1:12" ht="15" customHeight="1">
      <c r="A9" s="65">
        <v>2006</v>
      </c>
      <c r="B9" s="184">
        <f>+묵호동10!B14</f>
        <v>4774</v>
      </c>
      <c r="C9" s="67">
        <f t="shared" si="1"/>
        <v>4</v>
      </c>
      <c r="D9" s="53"/>
      <c r="E9" s="53"/>
      <c r="F9" s="69"/>
      <c r="G9" s="53"/>
      <c r="H9" s="69"/>
      <c r="I9" s="70">
        <f t="shared" si="0"/>
        <v>4976.3999999999996</v>
      </c>
      <c r="J9" s="71">
        <v>600343</v>
      </c>
      <c r="K9" s="55">
        <v>600343</v>
      </c>
      <c r="L9" s="55">
        <v>1147</v>
      </c>
    </row>
    <row r="10" spans="1:12" ht="15" customHeight="1" thickBot="1">
      <c r="A10" s="97">
        <v>2007</v>
      </c>
      <c r="B10" s="185">
        <f>+묵호동10!B15</f>
        <v>4826</v>
      </c>
      <c r="C10" s="99">
        <f t="shared" si="1"/>
        <v>5</v>
      </c>
      <c r="D10" s="101" t="s">
        <v>73</v>
      </c>
      <c r="E10" s="101"/>
      <c r="F10" s="100"/>
      <c r="G10" s="101"/>
      <c r="H10" s="100"/>
      <c r="I10" s="102">
        <f t="shared" si="0"/>
        <v>4826</v>
      </c>
      <c r="J10" s="71">
        <v>611921</v>
      </c>
      <c r="K10" s="55">
        <v>611921</v>
      </c>
      <c r="L10" s="55">
        <v>1355</v>
      </c>
    </row>
    <row r="11" spans="1:12" ht="15" customHeight="1" thickTop="1">
      <c r="A11" s="255">
        <v>2008</v>
      </c>
      <c r="B11" s="81">
        <f t="shared" ref="B11:B28" si="2">ROUND($E$6*C11+$E$7,0)</f>
        <v>4676</v>
      </c>
      <c r="C11" s="77">
        <f t="shared" si="1"/>
        <v>6</v>
      </c>
      <c r="D11" s="256"/>
      <c r="E11" s="256"/>
      <c r="F11" s="78"/>
      <c r="G11" s="256"/>
      <c r="H11" s="78"/>
      <c r="I11" s="79">
        <f t="shared" si="0"/>
        <v>4675.6000000000004</v>
      </c>
      <c r="J11" s="74">
        <v>622238</v>
      </c>
      <c r="K11" s="55">
        <v>622238</v>
      </c>
      <c r="L11" s="55">
        <v>1717</v>
      </c>
    </row>
    <row r="12" spans="1:12" ht="15" customHeight="1">
      <c r="A12" s="80">
        <v>2009</v>
      </c>
      <c r="B12" s="81">
        <f t="shared" si="2"/>
        <v>4525</v>
      </c>
      <c r="C12" s="67">
        <f t="shared" si="1"/>
        <v>7</v>
      </c>
      <c r="D12" s="69"/>
      <c r="E12" s="69"/>
      <c r="F12" s="69"/>
      <c r="G12" s="69"/>
      <c r="H12" s="69"/>
      <c r="I12" s="70">
        <f t="shared" si="0"/>
        <v>4525.2</v>
      </c>
    </row>
    <row r="13" spans="1:12" ht="15" customHeight="1">
      <c r="A13" s="186">
        <v>2010</v>
      </c>
      <c r="B13" s="187">
        <f t="shared" si="2"/>
        <v>4375</v>
      </c>
      <c r="C13" s="188">
        <f t="shared" si="1"/>
        <v>8</v>
      </c>
      <c r="D13" s="189"/>
      <c r="E13" s="189"/>
      <c r="F13" s="189"/>
      <c r="G13" s="189"/>
      <c r="H13" s="189"/>
      <c r="I13" s="190">
        <f t="shared" si="0"/>
        <v>4374.8</v>
      </c>
    </row>
    <row r="14" spans="1:12" ht="15" customHeight="1">
      <c r="A14" s="80">
        <v>2011</v>
      </c>
      <c r="B14" s="81">
        <f t="shared" si="2"/>
        <v>4224</v>
      </c>
      <c r="C14" s="82">
        <f t="shared" si="1"/>
        <v>9</v>
      </c>
      <c r="D14" s="69"/>
      <c r="E14" s="69"/>
      <c r="F14" s="69"/>
      <c r="G14" s="69"/>
      <c r="H14" s="69"/>
      <c r="I14" s="70">
        <f t="shared" si="0"/>
        <v>4224.3999999999996</v>
      </c>
    </row>
    <row r="15" spans="1:12" ht="15" customHeight="1">
      <c r="A15" s="80">
        <v>2012</v>
      </c>
      <c r="B15" s="81">
        <f t="shared" si="2"/>
        <v>4074</v>
      </c>
      <c r="C15" s="82">
        <f t="shared" si="1"/>
        <v>10</v>
      </c>
      <c r="D15" s="69"/>
      <c r="E15" s="69"/>
      <c r="F15" s="69"/>
      <c r="G15" s="69"/>
      <c r="H15" s="69"/>
      <c r="I15" s="70">
        <f t="shared" si="0"/>
        <v>4074</v>
      </c>
    </row>
    <row r="16" spans="1:12" ht="15" customHeight="1">
      <c r="A16" s="80">
        <v>2013</v>
      </c>
      <c r="B16" s="81">
        <f t="shared" si="2"/>
        <v>3924</v>
      </c>
      <c r="C16" s="82">
        <f t="shared" si="1"/>
        <v>11</v>
      </c>
      <c r="D16" s="69"/>
      <c r="E16" s="69"/>
      <c r="F16" s="69"/>
      <c r="G16" s="69"/>
      <c r="H16" s="69"/>
      <c r="I16" s="70">
        <f t="shared" si="0"/>
        <v>3923.6</v>
      </c>
    </row>
    <row r="17" spans="1:9" ht="15" customHeight="1">
      <c r="A17" s="80">
        <v>2014</v>
      </c>
      <c r="B17" s="81">
        <f t="shared" si="2"/>
        <v>3773</v>
      </c>
      <c r="C17" s="82">
        <f t="shared" si="1"/>
        <v>12</v>
      </c>
      <c r="D17" s="69"/>
      <c r="E17" s="69"/>
      <c r="F17" s="69"/>
      <c r="G17" s="69"/>
      <c r="H17" s="69"/>
      <c r="I17" s="70">
        <f t="shared" si="0"/>
        <v>3773.2</v>
      </c>
    </row>
    <row r="18" spans="1:9" ht="15" customHeight="1">
      <c r="A18" s="186">
        <v>2015</v>
      </c>
      <c r="B18" s="187">
        <f t="shared" si="2"/>
        <v>3623</v>
      </c>
      <c r="C18" s="188">
        <f t="shared" si="1"/>
        <v>13</v>
      </c>
      <c r="D18" s="189"/>
      <c r="E18" s="189"/>
      <c r="F18" s="189"/>
      <c r="G18" s="189"/>
      <c r="H18" s="189"/>
      <c r="I18" s="190">
        <f t="shared" si="0"/>
        <v>3622.8</v>
      </c>
    </row>
    <row r="19" spans="1:9" ht="15" customHeight="1">
      <c r="A19" s="80">
        <v>2016</v>
      </c>
      <c r="B19" s="81">
        <f t="shared" si="2"/>
        <v>3472</v>
      </c>
      <c r="C19" s="82">
        <f t="shared" si="1"/>
        <v>14</v>
      </c>
      <c r="D19" s="69"/>
      <c r="E19" s="69"/>
      <c r="F19" s="69"/>
      <c r="G19" s="69"/>
      <c r="H19" s="69"/>
      <c r="I19" s="70">
        <f t="shared" si="0"/>
        <v>3472.4</v>
      </c>
    </row>
    <row r="20" spans="1:9" ht="15" customHeight="1">
      <c r="A20" s="80">
        <v>2017</v>
      </c>
      <c r="B20" s="81">
        <f t="shared" si="2"/>
        <v>3322</v>
      </c>
      <c r="C20" s="82">
        <f t="shared" si="1"/>
        <v>15</v>
      </c>
      <c r="D20" s="69"/>
      <c r="E20" s="69"/>
      <c r="F20" s="69"/>
      <c r="G20" s="69"/>
      <c r="H20" s="69"/>
      <c r="I20" s="70">
        <f t="shared" si="0"/>
        <v>3322</v>
      </c>
    </row>
    <row r="21" spans="1:9" ht="15" customHeight="1">
      <c r="A21" s="80">
        <v>2018</v>
      </c>
      <c r="B21" s="81">
        <f t="shared" si="2"/>
        <v>3172</v>
      </c>
      <c r="C21" s="82">
        <f t="shared" si="1"/>
        <v>16</v>
      </c>
      <c r="D21" s="69"/>
      <c r="E21" s="69"/>
      <c r="F21" s="69"/>
      <c r="G21" s="69"/>
      <c r="H21" s="69"/>
      <c r="I21" s="70">
        <f t="shared" si="0"/>
        <v>3171.6</v>
      </c>
    </row>
    <row r="22" spans="1:9" ht="15" customHeight="1">
      <c r="A22" s="80">
        <v>2019</v>
      </c>
      <c r="B22" s="81">
        <f t="shared" si="2"/>
        <v>3021</v>
      </c>
      <c r="C22" s="82">
        <f t="shared" si="1"/>
        <v>17</v>
      </c>
      <c r="D22" s="69"/>
      <c r="E22" s="69"/>
      <c r="F22" s="69"/>
      <c r="G22" s="69"/>
      <c r="H22" s="69"/>
      <c r="I22" s="70">
        <f t="shared" si="0"/>
        <v>3021.2</v>
      </c>
    </row>
    <row r="23" spans="1:9" ht="15" customHeight="1">
      <c r="A23" s="186">
        <v>2020</v>
      </c>
      <c r="B23" s="187">
        <f t="shared" si="2"/>
        <v>2871</v>
      </c>
      <c r="C23" s="188">
        <f t="shared" si="1"/>
        <v>18</v>
      </c>
      <c r="D23" s="189"/>
      <c r="E23" s="189"/>
      <c r="F23" s="189"/>
      <c r="G23" s="189"/>
      <c r="H23" s="189"/>
      <c r="I23" s="190">
        <f t="shared" si="0"/>
        <v>2870.7999999999997</v>
      </c>
    </row>
    <row r="24" spans="1:9" ht="15" customHeight="1">
      <c r="A24" s="80">
        <v>2021</v>
      </c>
      <c r="B24" s="81">
        <f t="shared" si="2"/>
        <v>2720</v>
      </c>
      <c r="C24" s="82">
        <f t="shared" si="1"/>
        <v>19</v>
      </c>
      <c r="D24" s="69"/>
      <c r="E24" s="69"/>
      <c r="F24" s="69"/>
      <c r="G24" s="69"/>
      <c r="H24" s="69"/>
      <c r="I24" s="70">
        <f t="shared" si="0"/>
        <v>2720.4</v>
      </c>
    </row>
    <row r="25" spans="1:9" ht="15" customHeight="1">
      <c r="A25" s="80">
        <v>2022</v>
      </c>
      <c r="B25" s="81">
        <f t="shared" si="2"/>
        <v>2570</v>
      </c>
      <c r="C25" s="82">
        <f t="shared" si="1"/>
        <v>20</v>
      </c>
      <c r="D25" s="69"/>
      <c r="E25" s="69"/>
      <c r="F25" s="69"/>
      <c r="G25" s="69"/>
      <c r="H25" s="69"/>
      <c r="I25" s="70">
        <f t="shared" si="0"/>
        <v>2570</v>
      </c>
    </row>
    <row r="26" spans="1:9" ht="15" customHeight="1">
      <c r="A26" s="80">
        <v>2023</v>
      </c>
      <c r="B26" s="81">
        <f t="shared" si="2"/>
        <v>2420</v>
      </c>
      <c r="C26" s="82">
        <f t="shared" si="1"/>
        <v>21</v>
      </c>
      <c r="D26" s="69"/>
      <c r="E26" s="69"/>
      <c r="F26" s="69"/>
      <c r="G26" s="69"/>
      <c r="H26" s="69"/>
      <c r="I26" s="70">
        <f t="shared" si="0"/>
        <v>2419.6</v>
      </c>
    </row>
    <row r="27" spans="1:9" ht="15" customHeight="1">
      <c r="A27" s="80">
        <v>2024</v>
      </c>
      <c r="B27" s="81">
        <f t="shared" si="2"/>
        <v>2269</v>
      </c>
      <c r="C27" s="67">
        <f t="shared" si="1"/>
        <v>22</v>
      </c>
      <c r="D27" s="83"/>
      <c r="E27" s="69"/>
      <c r="F27" s="69"/>
      <c r="G27" s="69"/>
      <c r="H27" s="84"/>
      <c r="I27" s="70">
        <f t="shared" si="0"/>
        <v>2269.1999999999998</v>
      </c>
    </row>
    <row r="28" spans="1:9" ht="15" customHeight="1">
      <c r="A28" s="191">
        <v>2025</v>
      </c>
      <c r="B28" s="192">
        <f t="shared" si="2"/>
        <v>2119</v>
      </c>
      <c r="C28" s="193">
        <f t="shared" si="1"/>
        <v>23</v>
      </c>
      <c r="D28" s="194"/>
      <c r="E28" s="195"/>
      <c r="F28" s="195"/>
      <c r="G28" s="195"/>
      <c r="H28" s="196"/>
      <c r="I28" s="197">
        <f t="shared" si="0"/>
        <v>2118.7999999999997</v>
      </c>
    </row>
    <row r="29" spans="1:9" ht="15" customHeight="1">
      <c r="A29" s="56" t="s">
        <v>78</v>
      </c>
      <c r="B29" s="92"/>
      <c r="I29" s="89"/>
    </row>
    <row r="30" spans="1:9" ht="15" customHeight="1">
      <c r="A30" s="58" t="s">
        <v>32</v>
      </c>
      <c r="B30" s="59" t="s">
        <v>40</v>
      </c>
      <c r="C30" s="59" t="s">
        <v>33</v>
      </c>
      <c r="D30" s="60"/>
      <c r="E30" s="60"/>
      <c r="F30" s="61"/>
      <c r="G30" s="62"/>
      <c r="H30" s="63" t="s">
        <v>292</v>
      </c>
      <c r="I30" s="64">
        <f>RSQ(I32:I37,B32:B37)</f>
        <v>0.89249929574900666</v>
      </c>
    </row>
    <row r="31" spans="1:9" ht="15" customHeight="1">
      <c r="A31" s="65">
        <v>2002</v>
      </c>
      <c r="B31" s="93">
        <f t="shared" ref="B31:B36" si="3">B5</f>
        <v>5578</v>
      </c>
      <c r="C31" s="67">
        <v>0</v>
      </c>
      <c r="D31" s="53"/>
      <c r="E31" s="53"/>
      <c r="F31" s="69"/>
      <c r="G31" s="264"/>
      <c r="H31" s="265"/>
      <c r="I31" s="94">
        <f t="shared" ref="I31:I54" si="4">$E$32*C31+$E$33</f>
        <v>5458.5238095238101</v>
      </c>
    </row>
    <row r="32" spans="1:9" ht="15" customHeight="1">
      <c r="A32" s="65">
        <f t="shared" ref="A32:A37" si="5">A6</f>
        <v>2003</v>
      </c>
      <c r="B32" s="93">
        <f t="shared" si="3"/>
        <v>5267</v>
      </c>
      <c r="C32" s="67">
        <f>+C31+1</f>
        <v>1</v>
      </c>
      <c r="D32" s="53" t="s">
        <v>75</v>
      </c>
      <c r="E32" s="68">
        <f>INDEX(LINEST(B31:B36,C31:C36),1)</f>
        <v>-157.14285714285722</v>
      </c>
      <c r="F32" s="69"/>
      <c r="G32" s="53"/>
      <c r="H32" s="69"/>
      <c r="I32" s="70">
        <f t="shared" si="4"/>
        <v>5301.3809523809532</v>
      </c>
    </row>
    <row r="33" spans="1:9" ht="15" customHeight="1">
      <c r="A33" s="65">
        <f t="shared" si="5"/>
        <v>2004</v>
      </c>
      <c r="B33" s="93">
        <f t="shared" si="3"/>
        <v>5105</v>
      </c>
      <c r="C33" s="67">
        <f t="shared" ref="C33:C54" si="6">C32+1</f>
        <v>2</v>
      </c>
      <c r="D33" s="53" t="s">
        <v>76</v>
      </c>
      <c r="E33" s="72">
        <f>INDEX(LINEST(B31:B36,C31:C36),2)</f>
        <v>5458.5238095238101</v>
      </c>
      <c r="F33" s="69"/>
      <c r="G33" s="53"/>
      <c r="H33" s="69"/>
      <c r="I33" s="70">
        <f t="shared" si="4"/>
        <v>5144.2380952380954</v>
      </c>
    </row>
    <row r="34" spans="1:9" ht="15" customHeight="1">
      <c r="A34" s="65">
        <f t="shared" si="5"/>
        <v>2005</v>
      </c>
      <c r="B34" s="93">
        <f t="shared" si="3"/>
        <v>4844</v>
      </c>
      <c r="C34" s="67">
        <f t="shared" si="6"/>
        <v>3</v>
      </c>
      <c r="D34" s="53" t="s">
        <v>77</v>
      </c>
      <c r="E34" s="73">
        <f>I30</f>
        <v>0.89249929574900666</v>
      </c>
      <c r="F34" s="69"/>
      <c r="G34" s="53"/>
      <c r="H34" s="69"/>
      <c r="I34" s="70">
        <f t="shared" si="4"/>
        <v>4987.0952380952385</v>
      </c>
    </row>
    <row r="35" spans="1:9" ht="15" customHeight="1">
      <c r="A35" s="65">
        <f t="shared" si="5"/>
        <v>2006</v>
      </c>
      <c r="B35" s="93">
        <f t="shared" si="3"/>
        <v>4774</v>
      </c>
      <c r="C35" s="67">
        <f t="shared" si="6"/>
        <v>4</v>
      </c>
      <c r="D35" s="53"/>
      <c r="E35" s="53"/>
      <c r="F35" s="69"/>
      <c r="G35" s="53"/>
      <c r="H35" s="69"/>
      <c r="I35" s="70">
        <f t="shared" si="4"/>
        <v>4829.9523809523816</v>
      </c>
    </row>
    <row r="36" spans="1:9" ht="15" customHeight="1" thickBot="1">
      <c r="A36" s="97">
        <f t="shared" si="5"/>
        <v>2007</v>
      </c>
      <c r="B36" s="98">
        <f t="shared" si="3"/>
        <v>4826</v>
      </c>
      <c r="C36" s="99">
        <f t="shared" si="6"/>
        <v>5</v>
      </c>
      <c r="D36" s="101" t="s">
        <v>73</v>
      </c>
      <c r="E36" s="101"/>
      <c r="F36" s="100"/>
      <c r="G36" s="270"/>
      <c r="H36" s="100"/>
      <c r="I36" s="102">
        <f t="shared" si="4"/>
        <v>4672.8095238095239</v>
      </c>
    </row>
    <row r="37" spans="1:9" ht="15" customHeight="1" thickTop="1">
      <c r="A37" s="255">
        <f t="shared" si="5"/>
        <v>2008</v>
      </c>
      <c r="B37" s="81">
        <f t="shared" ref="B37:B54" si="7">ROUND(E$32*C37+E$33,0)</f>
        <v>4516</v>
      </c>
      <c r="C37" s="77">
        <f t="shared" si="6"/>
        <v>6</v>
      </c>
      <c r="D37" s="256"/>
      <c r="E37" s="256"/>
      <c r="F37" s="78"/>
      <c r="G37" s="256"/>
      <c r="H37" s="78"/>
      <c r="I37" s="79">
        <f t="shared" si="4"/>
        <v>4515.666666666667</v>
      </c>
    </row>
    <row r="38" spans="1:9" ht="15" customHeight="1">
      <c r="A38" s="80">
        <v>2009</v>
      </c>
      <c r="B38" s="81">
        <f t="shared" si="7"/>
        <v>4359</v>
      </c>
      <c r="C38" s="67">
        <f t="shared" si="6"/>
        <v>7</v>
      </c>
      <c r="D38" s="69"/>
      <c r="E38" s="69"/>
      <c r="F38" s="69"/>
      <c r="G38" s="69"/>
      <c r="H38" s="69"/>
      <c r="I38" s="70">
        <f t="shared" si="4"/>
        <v>4358.5238095238092</v>
      </c>
    </row>
    <row r="39" spans="1:9" ht="15" customHeight="1">
      <c r="A39" s="186">
        <v>2010</v>
      </c>
      <c r="B39" s="187">
        <f t="shared" si="7"/>
        <v>4201</v>
      </c>
      <c r="C39" s="188">
        <f t="shared" si="6"/>
        <v>8</v>
      </c>
      <c r="D39" s="189"/>
      <c r="E39" s="189"/>
      <c r="F39" s="189"/>
      <c r="G39" s="189"/>
      <c r="H39" s="189"/>
      <c r="I39" s="190">
        <f t="shared" si="4"/>
        <v>4201.3809523809523</v>
      </c>
    </row>
    <row r="40" spans="1:9" ht="15" customHeight="1">
      <c r="A40" s="80">
        <v>2011</v>
      </c>
      <c r="B40" s="81">
        <f t="shared" si="7"/>
        <v>4044</v>
      </c>
      <c r="C40" s="82">
        <f t="shared" si="6"/>
        <v>9</v>
      </c>
      <c r="D40" s="69"/>
      <c r="E40" s="69"/>
      <c r="F40" s="69"/>
      <c r="G40" s="69"/>
      <c r="H40" s="69"/>
      <c r="I40" s="70">
        <f t="shared" si="4"/>
        <v>4044.238095238095</v>
      </c>
    </row>
    <row r="41" spans="1:9" ht="15" customHeight="1">
      <c r="A41" s="80">
        <v>2012</v>
      </c>
      <c r="B41" s="81">
        <f t="shared" si="7"/>
        <v>3887</v>
      </c>
      <c r="C41" s="82">
        <f t="shared" si="6"/>
        <v>10</v>
      </c>
      <c r="D41" s="69"/>
      <c r="E41" s="69"/>
      <c r="F41" s="69"/>
      <c r="G41" s="69"/>
      <c r="H41" s="69"/>
      <c r="I41" s="70">
        <f t="shared" si="4"/>
        <v>3887.0952380952376</v>
      </c>
    </row>
    <row r="42" spans="1:9" ht="15" customHeight="1">
      <c r="A42" s="80">
        <v>2013</v>
      </c>
      <c r="B42" s="81">
        <f t="shared" si="7"/>
        <v>3730</v>
      </c>
      <c r="C42" s="82">
        <f t="shared" si="6"/>
        <v>11</v>
      </c>
      <c r="D42" s="69"/>
      <c r="E42" s="69"/>
      <c r="F42" s="69"/>
      <c r="G42" s="69"/>
      <c r="H42" s="69"/>
      <c r="I42" s="70">
        <f t="shared" si="4"/>
        <v>3729.9523809523807</v>
      </c>
    </row>
    <row r="43" spans="1:9" ht="15" customHeight="1">
      <c r="A43" s="80">
        <v>2014</v>
      </c>
      <c r="B43" s="81">
        <f t="shared" si="7"/>
        <v>3573</v>
      </c>
      <c r="C43" s="82">
        <f t="shared" si="6"/>
        <v>12</v>
      </c>
      <c r="D43" s="69"/>
      <c r="E43" s="69"/>
      <c r="F43" s="69"/>
      <c r="G43" s="69"/>
      <c r="H43" s="69"/>
      <c r="I43" s="70">
        <f t="shared" si="4"/>
        <v>3572.8095238095234</v>
      </c>
    </row>
    <row r="44" spans="1:9" ht="15" customHeight="1">
      <c r="A44" s="186">
        <v>2015</v>
      </c>
      <c r="B44" s="187">
        <f t="shared" si="7"/>
        <v>3416</v>
      </c>
      <c r="C44" s="188">
        <f t="shared" si="6"/>
        <v>13</v>
      </c>
      <c r="D44" s="189"/>
      <c r="E44" s="189"/>
      <c r="F44" s="189"/>
      <c r="G44" s="189"/>
      <c r="H44" s="189"/>
      <c r="I44" s="190">
        <f t="shared" si="4"/>
        <v>3415.6666666666661</v>
      </c>
    </row>
    <row r="45" spans="1:9" ht="15" customHeight="1">
      <c r="A45" s="80">
        <v>2016</v>
      </c>
      <c r="B45" s="81">
        <f t="shared" si="7"/>
        <v>3259</v>
      </c>
      <c r="C45" s="82">
        <f t="shared" si="6"/>
        <v>14</v>
      </c>
      <c r="D45" s="69"/>
      <c r="E45" s="69"/>
      <c r="F45" s="69"/>
      <c r="G45" s="69"/>
      <c r="H45" s="69"/>
      <c r="I45" s="70">
        <f t="shared" si="4"/>
        <v>3258.5238095238092</v>
      </c>
    </row>
    <row r="46" spans="1:9" ht="15" customHeight="1">
      <c r="A46" s="80">
        <v>2017</v>
      </c>
      <c r="B46" s="81">
        <f t="shared" si="7"/>
        <v>3101</v>
      </c>
      <c r="C46" s="82">
        <f t="shared" si="6"/>
        <v>15</v>
      </c>
      <c r="D46" s="69"/>
      <c r="E46" s="69"/>
      <c r="F46" s="69"/>
      <c r="G46" s="69"/>
      <c r="H46" s="69"/>
      <c r="I46" s="70">
        <f t="shared" si="4"/>
        <v>3101.3809523809518</v>
      </c>
    </row>
    <row r="47" spans="1:9" ht="15" customHeight="1">
      <c r="A47" s="80">
        <v>2018</v>
      </c>
      <c r="B47" s="81">
        <f t="shared" si="7"/>
        <v>2944</v>
      </c>
      <c r="C47" s="82">
        <f t="shared" si="6"/>
        <v>16</v>
      </c>
      <c r="D47" s="69"/>
      <c r="E47" s="69"/>
      <c r="F47" s="69"/>
      <c r="G47" s="69"/>
      <c r="H47" s="69"/>
      <c r="I47" s="70">
        <f t="shared" si="4"/>
        <v>2944.2380952380945</v>
      </c>
    </row>
    <row r="48" spans="1:9" ht="15" customHeight="1">
      <c r="A48" s="80">
        <v>2019</v>
      </c>
      <c r="B48" s="81">
        <f t="shared" si="7"/>
        <v>2787</v>
      </c>
      <c r="C48" s="82">
        <f t="shared" si="6"/>
        <v>17</v>
      </c>
      <c r="D48" s="69"/>
      <c r="E48" s="69"/>
      <c r="F48" s="69"/>
      <c r="G48" s="69"/>
      <c r="H48" s="69"/>
      <c r="I48" s="70">
        <f t="shared" si="4"/>
        <v>2787.0952380952372</v>
      </c>
    </row>
    <row r="49" spans="1:11" ht="15" customHeight="1">
      <c r="A49" s="186">
        <v>2020</v>
      </c>
      <c r="B49" s="187">
        <f t="shared" si="7"/>
        <v>2630</v>
      </c>
      <c r="C49" s="188">
        <f t="shared" si="6"/>
        <v>18</v>
      </c>
      <c r="D49" s="189"/>
      <c r="E49" s="189"/>
      <c r="F49" s="189"/>
      <c r="G49" s="189"/>
      <c r="H49" s="189"/>
      <c r="I49" s="190">
        <f t="shared" si="4"/>
        <v>2629.9523809523798</v>
      </c>
    </row>
    <row r="50" spans="1:11" ht="15" customHeight="1">
      <c r="A50" s="80">
        <v>2021</v>
      </c>
      <c r="B50" s="81">
        <f t="shared" si="7"/>
        <v>2473</v>
      </c>
      <c r="C50" s="82">
        <f t="shared" si="6"/>
        <v>19</v>
      </c>
      <c r="D50" s="69"/>
      <c r="E50" s="69"/>
      <c r="F50" s="69"/>
      <c r="G50" s="69"/>
      <c r="H50" s="69"/>
      <c r="I50" s="70">
        <f t="shared" si="4"/>
        <v>2472.8095238095229</v>
      </c>
    </row>
    <row r="51" spans="1:11" ht="15" customHeight="1">
      <c r="A51" s="80">
        <v>2022</v>
      </c>
      <c r="B51" s="81">
        <f t="shared" si="7"/>
        <v>2316</v>
      </c>
      <c r="C51" s="82">
        <f t="shared" si="6"/>
        <v>20</v>
      </c>
      <c r="D51" s="69"/>
      <c r="E51" s="69"/>
      <c r="F51" s="69"/>
      <c r="G51" s="69"/>
      <c r="H51" s="69"/>
      <c r="I51" s="70">
        <f t="shared" si="4"/>
        <v>2315.6666666666656</v>
      </c>
    </row>
    <row r="52" spans="1:11" ht="15" customHeight="1">
      <c r="A52" s="80">
        <v>2023</v>
      </c>
      <c r="B52" s="81">
        <f t="shared" si="7"/>
        <v>2159</v>
      </c>
      <c r="C52" s="82">
        <f t="shared" si="6"/>
        <v>21</v>
      </c>
      <c r="D52" s="69"/>
      <c r="E52" s="69"/>
      <c r="F52" s="69"/>
      <c r="G52" s="69"/>
      <c r="H52" s="69"/>
      <c r="I52" s="70">
        <f t="shared" si="4"/>
        <v>2158.5238095238083</v>
      </c>
    </row>
    <row r="53" spans="1:11" ht="15" customHeight="1">
      <c r="A53" s="80">
        <v>2024</v>
      </c>
      <c r="B53" s="81">
        <f t="shared" si="7"/>
        <v>2001</v>
      </c>
      <c r="C53" s="67">
        <f t="shared" si="6"/>
        <v>22</v>
      </c>
      <c r="D53" s="69"/>
      <c r="E53" s="69"/>
      <c r="F53" s="69"/>
      <c r="G53" s="69"/>
      <c r="H53" s="69"/>
      <c r="I53" s="70">
        <f t="shared" si="4"/>
        <v>2001.3809523809514</v>
      </c>
    </row>
    <row r="54" spans="1:11" ht="15" customHeight="1">
      <c r="A54" s="191">
        <v>2025</v>
      </c>
      <c r="B54" s="192">
        <f t="shared" si="7"/>
        <v>1844</v>
      </c>
      <c r="C54" s="193">
        <f t="shared" si="6"/>
        <v>23</v>
      </c>
      <c r="D54" s="195"/>
      <c r="E54" s="195"/>
      <c r="F54" s="195"/>
      <c r="G54" s="195"/>
      <c r="H54" s="195"/>
      <c r="I54" s="197">
        <f t="shared" si="4"/>
        <v>1844.238095238094</v>
      </c>
    </row>
    <row r="55" spans="1:11" ht="15" customHeight="1">
      <c r="A55" s="56" t="s">
        <v>79</v>
      </c>
      <c r="B55" s="57"/>
    </row>
    <row r="56" spans="1:11" ht="15" customHeight="1">
      <c r="A56" s="58" t="s">
        <v>32</v>
      </c>
      <c r="B56" s="59" t="s">
        <v>40</v>
      </c>
      <c r="C56" s="59" t="s">
        <v>34</v>
      </c>
      <c r="D56" s="59" t="s">
        <v>33</v>
      </c>
      <c r="E56" s="103"/>
      <c r="F56" s="60"/>
      <c r="G56" s="61"/>
      <c r="H56" s="63" t="s">
        <v>292</v>
      </c>
      <c r="I56" s="64">
        <f>RSQ(I58:I63,B58:B63)</f>
        <v>0.85650864963011941</v>
      </c>
    </row>
    <row r="57" spans="1:11" ht="15" customHeight="1">
      <c r="A57" s="65">
        <v>2002</v>
      </c>
      <c r="B57" s="104">
        <f t="shared" ref="B57:B62" si="8">B5</f>
        <v>5578</v>
      </c>
      <c r="C57" s="105">
        <f t="shared" ref="C57:C80" si="9">LN(B57)</f>
        <v>8.6265855681874335</v>
      </c>
      <c r="D57" s="67">
        <v>0</v>
      </c>
      <c r="E57" s="106"/>
      <c r="F57" s="53"/>
      <c r="G57" s="69"/>
      <c r="H57" s="265"/>
      <c r="I57" s="109">
        <f t="shared" ref="I57:I80" si="10">ROUND($F$59*(1+$F$58)^(D57),1)</f>
        <v>5578</v>
      </c>
    </row>
    <row r="58" spans="1:11" ht="15" customHeight="1">
      <c r="A58" s="65">
        <f t="shared" ref="A58:A63" si="11">A6</f>
        <v>2003</v>
      </c>
      <c r="B58" s="104">
        <f t="shared" si="8"/>
        <v>5267</v>
      </c>
      <c r="C58" s="105">
        <f t="shared" si="9"/>
        <v>8.5692162194833887</v>
      </c>
      <c r="D58" s="67">
        <f>+D57+1</f>
        <v>1</v>
      </c>
      <c r="E58" s="106" t="s">
        <v>37</v>
      </c>
      <c r="F58" s="73">
        <f>ROUND((B62/B57)^(1/D62)-1,5)</f>
        <v>-2.8549999999999999E-2</v>
      </c>
      <c r="G58" s="107"/>
      <c r="H58" s="108"/>
      <c r="I58" s="109">
        <f t="shared" si="10"/>
        <v>5418.7</v>
      </c>
    </row>
    <row r="59" spans="1:11" ht="15" customHeight="1">
      <c r="A59" s="65">
        <f t="shared" si="11"/>
        <v>2004</v>
      </c>
      <c r="B59" s="104">
        <f t="shared" si="8"/>
        <v>5105</v>
      </c>
      <c r="C59" s="105">
        <f t="shared" si="9"/>
        <v>8.5379757305987667</v>
      </c>
      <c r="D59" s="67">
        <f t="shared" ref="D59:D80" si="12">D58+1</f>
        <v>2</v>
      </c>
      <c r="E59" s="106" t="s">
        <v>80</v>
      </c>
      <c r="F59" s="110">
        <f>B57</f>
        <v>5578</v>
      </c>
      <c r="G59" s="107"/>
      <c r="H59" s="108"/>
      <c r="I59" s="109">
        <f t="shared" si="10"/>
        <v>5264</v>
      </c>
      <c r="K59" s="111"/>
    </row>
    <row r="60" spans="1:11" ht="15" customHeight="1">
      <c r="A60" s="65">
        <f t="shared" si="11"/>
        <v>2005</v>
      </c>
      <c r="B60" s="104">
        <f t="shared" si="8"/>
        <v>4844</v>
      </c>
      <c r="C60" s="105">
        <f t="shared" si="9"/>
        <v>8.4854961046729827</v>
      </c>
      <c r="D60" s="67">
        <f t="shared" si="12"/>
        <v>3</v>
      </c>
      <c r="E60" s="106" t="s">
        <v>77</v>
      </c>
      <c r="F60" s="73">
        <f>I56</f>
        <v>0.85650864963011941</v>
      </c>
      <c r="G60" s="108"/>
      <c r="H60" s="108"/>
      <c r="I60" s="109">
        <f t="shared" si="10"/>
        <v>5113.8</v>
      </c>
    </row>
    <row r="61" spans="1:11" ht="15" customHeight="1">
      <c r="A61" s="65">
        <f t="shared" si="11"/>
        <v>2006</v>
      </c>
      <c r="B61" s="104">
        <f t="shared" si="8"/>
        <v>4774</v>
      </c>
      <c r="C61" s="105">
        <f t="shared" si="9"/>
        <v>8.4709398068987749</v>
      </c>
      <c r="D61" s="67">
        <f t="shared" si="12"/>
        <v>4</v>
      </c>
      <c r="E61" s="106"/>
      <c r="F61" s="73"/>
      <c r="G61" s="108"/>
      <c r="H61" s="108"/>
      <c r="I61" s="109">
        <f t="shared" si="10"/>
        <v>4967.8</v>
      </c>
    </row>
    <row r="62" spans="1:11" ht="15" customHeight="1" thickBot="1">
      <c r="A62" s="97">
        <f t="shared" si="11"/>
        <v>2007</v>
      </c>
      <c r="B62" s="116">
        <f t="shared" si="8"/>
        <v>4826</v>
      </c>
      <c r="C62" s="117">
        <f t="shared" si="9"/>
        <v>8.4817732461849769</v>
      </c>
      <c r="D62" s="99">
        <f t="shared" si="12"/>
        <v>5</v>
      </c>
      <c r="E62" s="205" t="s">
        <v>81</v>
      </c>
      <c r="F62" s="271"/>
      <c r="G62" s="118"/>
      <c r="H62" s="118"/>
      <c r="I62" s="120">
        <f t="shared" si="10"/>
        <v>4825.8999999999996</v>
      </c>
    </row>
    <row r="63" spans="1:11" ht="15" customHeight="1" thickTop="1">
      <c r="A63" s="255">
        <f t="shared" si="11"/>
        <v>2008</v>
      </c>
      <c r="B63" s="81">
        <f t="shared" ref="B63:B80" si="13">ROUND(F$59*(1+F$58)^D63,0)</f>
        <v>4688</v>
      </c>
      <c r="C63" s="121">
        <f t="shared" si="9"/>
        <v>8.4527613312568484</v>
      </c>
      <c r="D63" s="77">
        <f t="shared" si="12"/>
        <v>6</v>
      </c>
      <c r="E63" s="272"/>
      <c r="F63" s="273"/>
      <c r="G63" s="259"/>
      <c r="H63" s="259"/>
      <c r="I63" s="123">
        <f t="shared" si="10"/>
        <v>4688.1000000000004</v>
      </c>
    </row>
    <row r="64" spans="1:11" ht="15" customHeight="1">
      <c r="A64" s="80">
        <v>2009</v>
      </c>
      <c r="B64" s="81">
        <f t="shared" si="13"/>
        <v>4554</v>
      </c>
      <c r="C64" s="105">
        <f t="shared" si="9"/>
        <v>8.4237612466236858</v>
      </c>
      <c r="D64" s="67">
        <f t="shared" si="12"/>
        <v>7</v>
      </c>
      <c r="E64" s="83"/>
      <c r="F64" s="69"/>
      <c r="G64" s="69"/>
      <c r="H64" s="69"/>
      <c r="I64" s="109">
        <f t="shared" si="10"/>
        <v>4554.3</v>
      </c>
    </row>
    <row r="65" spans="1:9" ht="15" customHeight="1">
      <c r="A65" s="186">
        <v>2010</v>
      </c>
      <c r="B65" s="187">
        <f t="shared" si="13"/>
        <v>4424</v>
      </c>
      <c r="C65" s="198">
        <f t="shared" si="9"/>
        <v>8.3947995432021703</v>
      </c>
      <c r="D65" s="199">
        <f t="shared" si="12"/>
        <v>8</v>
      </c>
      <c r="E65" s="200"/>
      <c r="F65" s="189"/>
      <c r="G65" s="189"/>
      <c r="H65" s="189"/>
      <c r="I65" s="201">
        <f t="shared" si="10"/>
        <v>4424.3</v>
      </c>
    </row>
    <row r="66" spans="1:9" ht="15" customHeight="1">
      <c r="A66" s="80">
        <v>2011</v>
      </c>
      <c r="B66" s="81">
        <f t="shared" si="13"/>
        <v>4298</v>
      </c>
      <c r="C66" s="105">
        <f t="shared" si="9"/>
        <v>8.3659050772024557</v>
      </c>
      <c r="D66" s="67">
        <f t="shared" si="12"/>
        <v>9</v>
      </c>
      <c r="E66" s="83"/>
      <c r="F66" s="69"/>
      <c r="G66" s="69"/>
      <c r="H66" s="69"/>
      <c r="I66" s="109">
        <f t="shared" si="10"/>
        <v>4298</v>
      </c>
    </row>
    <row r="67" spans="1:9" ht="15" customHeight="1">
      <c r="A67" s="80">
        <v>2012</v>
      </c>
      <c r="B67" s="81">
        <f t="shared" si="13"/>
        <v>4175</v>
      </c>
      <c r="C67" s="105">
        <f t="shared" si="9"/>
        <v>8.3368696372849556</v>
      </c>
      <c r="D67" s="67">
        <f t="shared" si="12"/>
        <v>10</v>
      </c>
      <c r="E67" s="83"/>
      <c r="F67" s="69"/>
      <c r="G67" s="69"/>
      <c r="H67" s="69"/>
      <c r="I67" s="109">
        <f t="shared" si="10"/>
        <v>4175.3</v>
      </c>
    </row>
    <row r="68" spans="1:9" ht="15" customHeight="1">
      <c r="A68" s="80">
        <v>2013</v>
      </c>
      <c r="B68" s="81">
        <f t="shared" si="13"/>
        <v>4056</v>
      </c>
      <c r="C68" s="105">
        <f t="shared" si="9"/>
        <v>8.3079525452710197</v>
      </c>
      <c r="D68" s="67">
        <f t="shared" si="12"/>
        <v>11</v>
      </c>
      <c r="E68" s="83"/>
      <c r="F68" s="69"/>
      <c r="G68" s="69"/>
      <c r="H68" s="69"/>
      <c r="I68" s="109">
        <f t="shared" si="10"/>
        <v>4056.1</v>
      </c>
    </row>
    <row r="69" spans="1:9" ht="15" customHeight="1">
      <c r="A69" s="80">
        <v>2014</v>
      </c>
      <c r="B69" s="81">
        <f t="shared" si="13"/>
        <v>3940</v>
      </c>
      <c r="C69" s="105">
        <f t="shared" si="9"/>
        <v>8.2789360022919798</v>
      </c>
      <c r="D69" s="67">
        <f t="shared" si="12"/>
        <v>12</v>
      </c>
      <c r="E69" s="83"/>
      <c r="F69" s="69"/>
      <c r="G69" s="69"/>
      <c r="H69" s="69"/>
      <c r="I69" s="109">
        <f t="shared" si="10"/>
        <v>3940.3</v>
      </c>
    </row>
    <row r="70" spans="1:9" ht="15" customHeight="1">
      <c r="A70" s="186">
        <v>2015</v>
      </c>
      <c r="B70" s="187">
        <f t="shared" si="13"/>
        <v>3828</v>
      </c>
      <c r="C70" s="198">
        <f t="shared" si="9"/>
        <v>8.2500977525728452</v>
      </c>
      <c r="D70" s="199">
        <f t="shared" si="12"/>
        <v>13</v>
      </c>
      <c r="E70" s="200"/>
      <c r="F70" s="189"/>
      <c r="G70" s="189"/>
      <c r="H70" s="189"/>
      <c r="I70" s="201">
        <f t="shared" si="10"/>
        <v>3827.8</v>
      </c>
    </row>
    <row r="71" spans="1:9" ht="15" customHeight="1">
      <c r="A71" s="80">
        <v>2016</v>
      </c>
      <c r="B71" s="81">
        <f t="shared" si="13"/>
        <v>3718</v>
      </c>
      <c r="C71" s="105">
        <f t="shared" si="9"/>
        <v>8.2209411682813887</v>
      </c>
      <c r="D71" s="67">
        <f t="shared" si="12"/>
        <v>14</v>
      </c>
      <c r="E71" s="83"/>
      <c r="F71" s="69"/>
      <c r="G71" s="69"/>
      <c r="H71" s="69"/>
      <c r="I71" s="109">
        <f t="shared" si="10"/>
        <v>3718.5</v>
      </c>
    </row>
    <row r="72" spans="1:9" ht="15" customHeight="1">
      <c r="A72" s="80">
        <v>2017</v>
      </c>
      <c r="B72" s="81">
        <f t="shared" si="13"/>
        <v>3612</v>
      </c>
      <c r="C72" s="105">
        <f t="shared" si="9"/>
        <v>8.1920169145368753</v>
      </c>
      <c r="D72" s="67">
        <f t="shared" si="12"/>
        <v>15</v>
      </c>
      <c r="E72" s="83"/>
      <c r="F72" s="69"/>
      <c r="G72" s="69"/>
      <c r="H72" s="69"/>
      <c r="I72" s="109">
        <f t="shared" si="10"/>
        <v>3612.3</v>
      </c>
    </row>
    <row r="73" spans="1:9" ht="15" customHeight="1">
      <c r="A73" s="80">
        <v>2018</v>
      </c>
      <c r="B73" s="81">
        <f t="shared" si="13"/>
        <v>3509</v>
      </c>
      <c r="C73" s="105">
        <f t="shared" si="9"/>
        <v>8.1630863755832159</v>
      </c>
      <c r="D73" s="67">
        <f t="shared" si="12"/>
        <v>16</v>
      </c>
      <c r="E73" s="83"/>
      <c r="F73" s="69"/>
      <c r="G73" s="69"/>
      <c r="H73" s="69"/>
      <c r="I73" s="109">
        <f t="shared" si="10"/>
        <v>3509.2</v>
      </c>
    </row>
    <row r="74" spans="1:9" ht="15" customHeight="1">
      <c r="A74" s="80">
        <v>2019</v>
      </c>
      <c r="B74" s="81">
        <f t="shared" si="13"/>
        <v>3409</v>
      </c>
      <c r="C74" s="105">
        <f t="shared" si="9"/>
        <v>8.1341742721379031</v>
      </c>
      <c r="D74" s="67">
        <f t="shared" si="12"/>
        <v>17</v>
      </c>
      <c r="E74" s="83"/>
      <c r="F74" s="69"/>
      <c r="G74" s="69"/>
      <c r="H74" s="69"/>
      <c r="I74" s="109">
        <f t="shared" si="10"/>
        <v>3409</v>
      </c>
    </row>
    <row r="75" spans="1:9" ht="15" customHeight="1">
      <c r="A75" s="186">
        <v>2020</v>
      </c>
      <c r="B75" s="187">
        <f t="shared" si="13"/>
        <v>3312</v>
      </c>
      <c r="C75" s="198">
        <f t="shared" si="9"/>
        <v>8.1053075155051495</v>
      </c>
      <c r="D75" s="199">
        <f t="shared" si="12"/>
        <v>18</v>
      </c>
      <c r="E75" s="200"/>
      <c r="F75" s="189"/>
      <c r="G75" s="189"/>
      <c r="H75" s="189"/>
      <c r="I75" s="201">
        <f t="shared" si="10"/>
        <v>3311.7</v>
      </c>
    </row>
    <row r="76" spans="1:9" ht="15" customHeight="1">
      <c r="A76" s="80">
        <v>2021</v>
      </c>
      <c r="B76" s="81">
        <f t="shared" si="13"/>
        <v>3217</v>
      </c>
      <c r="C76" s="105">
        <f t="shared" si="9"/>
        <v>8.0762045272390264</v>
      </c>
      <c r="D76" s="67">
        <f t="shared" si="12"/>
        <v>19</v>
      </c>
      <c r="E76" s="83"/>
      <c r="F76" s="69"/>
      <c r="G76" s="69"/>
      <c r="H76" s="69"/>
      <c r="I76" s="109">
        <f t="shared" si="10"/>
        <v>3217.1</v>
      </c>
    </row>
    <row r="77" spans="1:9" ht="15" customHeight="1">
      <c r="A77" s="80">
        <v>2022</v>
      </c>
      <c r="B77" s="81">
        <f t="shared" si="13"/>
        <v>3125</v>
      </c>
      <c r="C77" s="105">
        <f t="shared" si="9"/>
        <v>8.0471895621705016</v>
      </c>
      <c r="D77" s="67">
        <f t="shared" si="12"/>
        <v>20</v>
      </c>
      <c r="E77" s="83"/>
      <c r="F77" s="69"/>
      <c r="G77" s="69"/>
      <c r="H77" s="69"/>
      <c r="I77" s="109">
        <f t="shared" si="10"/>
        <v>3125.3</v>
      </c>
    </row>
    <row r="78" spans="1:9" ht="15" customHeight="1">
      <c r="A78" s="80">
        <v>2023</v>
      </c>
      <c r="B78" s="81">
        <f t="shared" si="13"/>
        <v>3036</v>
      </c>
      <c r="C78" s="105">
        <f t="shared" si="9"/>
        <v>8.0182961385155203</v>
      </c>
      <c r="D78" s="67">
        <f t="shared" si="12"/>
        <v>21</v>
      </c>
      <c r="E78" s="83"/>
      <c r="F78" s="69"/>
      <c r="G78" s="69"/>
      <c r="H78" s="69"/>
      <c r="I78" s="109">
        <f t="shared" si="10"/>
        <v>3036</v>
      </c>
    </row>
    <row r="79" spans="1:9" ht="15" customHeight="1">
      <c r="A79" s="80">
        <v>2024</v>
      </c>
      <c r="B79" s="81">
        <f t="shared" si="13"/>
        <v>2949</v>
      </c>
      <c r="C79" s="105">
        <f t="shared" si="9"/>
        <v>7.9892214088152764</v>
      </c>
      <c r="D79" s="67">
        <f t="shared" si="12"/>
        <v>22</v>
      </c>
      <c r="E79" s="69"/>
      <c r="F79" s="69"/>
      <c r="G79" s="69"/>
      <c r="H79" s="69"/>
      <c r="I79" s="109">
        <f t="shared" si="10"/>
        <v>2949.4</v>
      </c>
    </row>
    <row r="80" spans="1:9" ht="15" customHeight="1">
      <c r="A80" s="191">
        <v>2025</v>
      </c>
      <c r="B80" s="192">
        <f t="shared" si="13"/>
        <v>2865</v>
      </c>
      <c r="C80" s="202">
        <f t="shared" si="9"/>
        <v>7.9603236291488395</v>
      </c>
      <c r="D80" s="193">
        <f t="shared" si="12"/>
        <v>23</v>
      </c>
      <c r="E80" s="195"/>
      <c r="F80" s="195"/>
      <c r="G80" s="195"/>
      <c r="H80" s="195"/>
      <c r="I80" s="203">
        <f t="shared" si="10"/>
        <v>2865.2</v>
      </c>
    </row>
    <row r="81" spans="1:9" ht="15" customHeight="1">
      <c r="A81" s="56" t="s">
        <v>82</v>
      </c>
      <c r="B81" s="57"/>
    </row>
    <row r="82" spans="1:9" ht="15" customHeight="1">
      <c r="A82" s="58" t="s">
        <v>32</v>
      </c>
      <c r="B82" s="59" t="s">
        <v>40</v>
      </c>
      <c r="C82" s="59" t="s">
        <v>83</v>
      </c>
      <c r="D82" s="59" t="s">
        <v>33</v>
      </c>
      <c r="E82" s="59" t="s">
        <v>35</v>
      </c>
      <c r="F82" s="103"/>
      <c r="G82" s="60"/>
      <c r="H82" s="63" t="s">
        <v>292</v>
      </c>
      <c r="I82" s="64" t="e">
        <f>RSQ(I83:I88,B83:B88)</f>
        <v>#VALUE!</v>
      </c>
    </row>
    <row r="83" spans="1:9" ht="15" customHeight="1">
      <c r="A83" s="65">
        <v>2002</v>
      </c>
      <c r="B83" s="104">
        <f t="shared" ref="B83:B88" si="14">B5</f>
        <v>5578</v>
      </c>
      <c r="C83" s="67"/>
      <c r="D83" s="67">
        <v>0</v>
      </c>
      <c r="E83" s="67"/>
      <c r="F83" s="106"/>
      <c r="G83" s="53"/>
      <c r="H83" s="265"/>
      <c r="I83" s="277" t="e">
        <f>$B$83+$G$88*D83^$G$84</f>
        <v>#VALUE!</v>
      </c>
    </row>
    <row r="84" spans="1:9" ht="15" customHeight="1">
      <c r="A84" s="65">
        <f t="shared" ref="A84:A89" si="15">A6</f>
        <v>2003</v>
      </c>
      <c r="B84" s="104">
        <f t="shared" si="14"/>
        <v>5267</v>
      </c>
      <c r="C84" s="126" t="e">
        <f>LN(-B$83+B84)</f>
        <v>#NUM!</v>
      </c>
      <c r="D84" s="67">
        <f>+D83+1</f>
        <v>1</v>
      </c>
      <c r="E84" s="67">
        <f>LN(D84)</f>
        <v>0</v>
      </c>
      <c r="F84" s="106" t="s">
        <v>75</v>
      </c>
      <c r="G84" s="73" t="e">
        <f>INDEX(LINEST(C84:C88,E84:E88),1)</f>
        <v>#VALUE!</v>
      </c>
      <c r="H84" s="127"/>
      <c r="I84" s="278" t="e">
        <f>$B$83+$G$88*D84^$G$84</f>
        <v>#VALUE!</v>
      </c>
    </row>
    <row r="85" spans="1:9" ht="15" customHeight="1">
      <c r="A85" s="65">
        <f t="shared" si="15"/>
        <v>2004</v>
      </c>
      <c r="B85" s="104">
        <f t="shared" si="14"/>
        <v>5105</v>
      </c>
      <c r="C85" s="126" t="e">
        <f>LN(-B$83+B85)</f>
        <v>#NUM!</v>
      </c>
      <c r="D85" s="67">
        <f t="shared" ref="D85:D106" si="16">D84+1</f>
        <v>2</v>
      </c>
      <c r="E85" s="67">
        <f>LN(D85)</f>
        <v>0.69314718055994529</v>
      </c>
      <c r="F85" s="106" t="s">
        <v>76</v>
      </c>
      <c r="G85" s="73" t="e">
        <f>INDEX(LINEST(C84:C88,E84:E88),2)</f>
        <v>#VALUE!</v>
      </c>
      <c r="H85" s="129" t="s">
        <v>293</v>
      </c>
      <c r="I85" s="128" t="e">
        <f t="shared" ref="I85:I106" si="17">$B$84+$G$88*D85^$G$84</f>
        <v>#VALUE!</v>
      </c>
    </row>
    <row r="86" spans="1:9" ht="15" customHeight="1">
      <c r="A86" s="65">
        <f t="shared" si="15"/>
        <v>2005</v>
      </c>
      <c r="B86" s="104">
        <f t="shared" si="14"/>
        <v>4844</v>
      </c>
      <c r="C86" s="126" t="e">
        <f>LN(-B$83+B86)</f>
        <v>#NUM!</v>
      </c>
      <c r="D86" s="67">
        <f t="shared" si="16"/>
        <v>3</v>
      </c>
      <c r="E86" s="67">
        <f>LN(D86)</f>
        <v>1.0986122886681098</v>
      </c>
      <c r="F86" s="69"/>
      <c r="G86" s="130"/>
      <c r="H86" s="127"/>
      <c r="I86" s="128" t="e">
        <f t="shared" si="17"/>
        <v>#VALUE!</v>
      </c>
    </row>
    <row r="87" spans="1:9" ht="15" customHeight="1">
      <c r="A87" s="65">
        <f t="shared" si="15"/>
        <v>2006</v>
      </c>
      <c r="B87" s="104">
        <f t="shared" si="14"/>
        <v>4774</v>
      </c>
      <c r="C87" s="126" t="e">
        <f>LN(-B$83+B87)</f>
        <v>#NUM!</v>
      </c>
      <c r="D87" s="67">
        <f t="shared" si="16"/>
        <v>4</v>
      </c>
      <c r="E87" s="67">
        <f>LN(D87)</f>
        <v>1.3862943611198906</v>
      </c>
      <c r="F87" s="106" t="s">
        <v>77</v>
      </c>
      <c r="G87" s="73" t="e">
        <f>I82</f>
        <v>#VALUE!</v>
      </c>
      <c r="H87" s="127"/>
      <c r="I87" s="128" t="e">
        <f t="shared" si="17"/>
        <v>#VALUE!</v>
      </c>
    </row>
    <row r="88" spans="1:9" ht="15" customHeight="1" thickBot="1">
      <c r="A88" s="97">
        <f t="shared" si="15"/>
        <v>2007</v>
      </c>
      <c r="B88" s="116">
        <f t="shared" si="14"/>
        <v>4826</v>
      </c>
      <c r="C88" s="141" t="e">
        <f>LN(-B$83+B88)</f>
        <v>#NUM!</v>
      </c>
      <c r="D88" s="99">
        <f t="shared" si="16"/>
        <v>5</v>
      </c>
      <c r="E88" s="99">
        <f>LN(D88)</f>
        <v>1.6094379124341003</v>
      </c>
      <c r="F88" s="205" t="s">
        <v>38</v>
      </c>
      <c r="G88" s="274" t="e">
        <f>EXP(G85)</f>
        <v>#VALUE!</v>
      </c>
      <c r="H88" s="143"/>
      <c r="I88" s="144" t="e">
        <f t="shared" si="17"/>
        <v>#VALUE!</v>
      </c>
    </row>
    <row r="89" spans="1:9" ht="15" customHeight="1" thickTop="1">
      <c r="A89" s="255">
        <f t="shared" si="15"/>
        <v>2008</v>
      </c>
      <c r="B89" s="81" t="e">
        <f t="shared" ref="B89:B106" si="18">ROUND(LOOKUP(0,D$83:D$88,B$83:B$88)+G$88*D89^G$84,0)</f>
        <v>#VALUE!</v>
      </c>
      <c r="C89" s="257"/>
      <c r="D89" s="77">
        <f t="shared" si="16"/>
        <v>6</v>
      </c>
      <c r="E89" s="77"/>
      <c r="F89" s="275"/>
      <c r="G89" s="256"/>
      <c r="H89" s="258"/>
      <c r="I89" s="133" t="e">
        <f t="shared" si="17"/>
        <v>#VALUE!</v>
      </c>
    </row>
    <row r="90" spans="1:9" ht="15" customHeight="1">
      <c r="A90" s="80">
        <v>2009</v>
      </c>
      <c r="B90" s="81" t="e">
        <f t="shared" si="18"/>
        <v>#VALUE!</v>
      </c>
      <c r="C90" s="126"/>
      <c r="D90" s="67">
        <f t="shared" si="16"/>
        <v>7</v>
      </c>
      <c r="E90" s="67"/>
      <c r="F90" s="83"/>
      <c r="G90" s="69"/>
      <c r="H90" s="84"/>
      <c r="I90" s="128" t="e">
        <f t="shared" si="17"/>
        <v>#VALUE!</v>
      </c>
    </row>
    <row r="91" spans="1:9" ht="15" customHeight="1">
      <c r="A91" s="80">
        <v>2010</v>
      </c>
      <c r="B91" s="81" t="e">
        <f t="shared" si="18"/>
        <v>#VALUE!</v>
      </c>
      <c r="C91" s="126"/>
      <c r="D91" s="67">
        <f t="shared" si="16"/>
        <v>8</v>
      </c>
      <c r="E91" s="67"/>
      <c r="F91" s="83"/>
      <c r="G91" s="69"/>
      <c r="H91" s="84"/>
      <c r="I91" s="128" t="e">
        <f t="shared" si="17"/>
        <v>#VALUE!</v>
      </c>
    </row>
    <row r="92" spans="1:9" ht="15" customHeight="1">
      <c r="A92" s="80">
        <v>2011</v>
      </c>
      <c r="B92" s="81" t="e">
        <f t="shared" si="18"/>
        <v>#VALUE!</v>
      </c>
      <c r="C92" s="126"/>
      <c r="D92" s="67">
        <f t="shared" si="16"/>
        <v>9</v>
      </c>
      <c r="E92" s="67"/>
      <c r="F92" s="83"/>
      <c r="G92" s="69"/>
      <c r="H92" s="84"/>
      <c r="I92" s="128" t="e">
        <f t="shared" si="17"/>
        <v>#VALUE!</v>
      </c>
    </row>
    <row r="93" spans="1:9" ht="15" customHeight="1">
      <c r="A93" s="80">
        <v>2012</v>
      </c>
      <c r="B93" s="81" t="e">
        <f t="shared" si="18"/>
        <v>#VALUE!</v>
      </c>
      <c r="C93" s="126"/>
      <c r="D93" s="67">
        <f t="shared" si="16"/>
        <v>10</v>
      </c>
      <c r="E93" s="67"/>
      <c r="F93" s="83"/>
      <c r="G93" s="69"/>
      <c r="H93" s="84"/>
      <c r="I93" s="128" t="e">
        <f t="shared" si="17"/>
        <v>#VALUE!</v>
      </c>
    </row>
    <row r="94" spans="1:9" ht="15" customHeight="1">
      <c r="A94" s="80">
        <v>2013</v>
      </c>
      <c r="B94" s="81" t="e">
        <f t="shared" si="18"/>
        <v>#VALUE!</v>
      </c>
      <c r="C94" s="126"/>
      <c r="D94" s="67">
        <f t="shared" si="16"/>
        <v>11</v>
      </c>
      <c r="E94" s="67"/>
      <c r="F94" s="83"/>
      <c r="G94" s="69"/>
      <c r="H94" s="84"/>
      <c r="I94" s="128" t="e">
        <f t="shared" si="17"/>
        <v>#VALUE!</v>
      </c>
    </row>
    <row r="95" spans="1:9" ht="15" customHeight="1">
      <c r="A95" s="80">
        <v>2014</v>
      </c>
      <c r="B95" s="81" t="e">
        <f t="shared" si="18"/>
        <v>#VALUE!</v>
      </c>
      <c r="C95" s="126"/>
      <c r="D95" s="67">
        <f t="shared" si="16"/>
        <v>12</v>
      </c>
      <c r="E95" s="67"/>
      <c r="F95" s="83"/>
      <c r="G95" s="69"/>
      <c r="H95" s="84"/>
      <c r="I95" s="128" t="e">
        <f t="shared" si="17"/>
        <v>#VALUE!</v>
      </c>
    </row>
    <row r="96" spans="1:9" ht="15" customHeight="1">
      <c r="A96" s="80">
        <v>2015</v>
      </c>
      <c r="B96" s="81" t="e">
        <f t="shared" si="18"/>
        <v>#VALUE!</v>
      </c>
      <c r="C96" s="126"/>
      <c r="D96" s="67">
        <f t="shared" si="16"/>
        <v>13</v>
      </c>
      <c r="E96" s="67"/>
      <c r="F96" s="83"/>
      <c r="G96" s="69"/>
      <c r="H96" s="84"/>
      <c r="I96" s="128" t="e">
        <f t="shared" si="17"/>
        <v>#VALUE!</v>
      </c>
    </row>
    <row r="97" spans="1:9" ht="15" customHeight="1">
      <c r="A97" s="80">
        <v>2016</v>
      </c>
      <c r="B97" s="81" t="e">
        <f t="shared" si="18"/>
        <v>#VALUE!</v>
      </c>
      <c r="C97" s="126"/>
      <c r="D97" s="67">
        <f t="shared" si="16"/>
        <v>14</v>
      </c>
      <c r="E97" s="67"/>
      <c r="F97" s="83"/>
      <c r="G97" s="69"/>
      <c r="H97" s="84"/>
      <c r="I97" s="128" t="e">
        <f t="shared" si="17"/>
        <v>#VALUE!</v>
      </c>
    </row>
    <row r="98" spans="1:9" ht="15" customHeight="1">
      <c r="A98" s="80">
        <v>2017</v>
      </c>
      <c r="B98" s="81" t="e">
        <f t="shared" si="18"/>
        <v>#VALUE!</v>
      </c>
      <c r="C98" s="126"/>
      <c r="D98" s="67">
        <f t="shared" si="16"/>
        <v>15</v>
      </c>
      <c r="E98" s="67"/>
      <c r="F98" s="83"/>
      <c r="G98" s="69"/>
      <c r="H98" s="84"/>
      <c r="I98" s="128" t="e">
        <f t="shared" si="17"/>
        <v>#VALUE!</v>
      </c>
    </row>
    <row r="99" spans="1:9" ht="15" customHeight="1">
      <c r="A99" s="80">
        <v>2018</v>
      </c>
      <c r="B99" s="81" t="e">
        <f t="shared" si="18"/>
        <v>#VALUE!</v>
      </c>
      <c r="C99" s="126"/>
      <c r="D99" s="67">
        <f t="shared" si="16"/>
        <v>16</v>
      </c>
      <c r="E99" s="67"/>
      <c r="F99" s="83"/>
      <c r="G99" s="69"/>
      <c r="H99" s="84"/>
      <c r="I99" s="128" t="e">
        <f t="shared" si="17"/>
        <v>#VALUE!</v>
      </c>
    </row>
    <row r="100" spans="1:9" ht="15" customHeight="1">
      <c r="A100" s="80">
        <v>2019</v>
      </c>
      <c r="B100" s="81" t="e">
        <f t="shared" si="18"/>
        <v>#VALUE!</v>
      </c>
      <c r="C100" s="126"/>
      <c r="D100" s="67">
        <f t="shared" si="16"/>
        <v>17</v>
      </c>
      <c r="E100" s="67"/>
      <c r="F100" s="83"/>
      <c r="G100" s="69"/>
      <c r="H100" s="84"/>
      <c r="I100" s="128" t="e">
        <f t="shared" si="17"/>
        <v>#VALUE!</v>
      </c>
    </row>
    <row r="101" spans="1:9" ht="15" customHeight="1">
      <c r="A101" s="80">
        <v>2020</v>
      </c>
      <c r="B101" s="81" t="e">
        <f t="shared" si="18"/>
        <v>#VALUE!</v>
      </c>
      <c r="C101" s="126"/>
      <c r="D101" s="67">
        <f t="shared" si="16"/>
        <v>18</v>
      </c>
      <c r="E101" s="67"/>
      <c r="F101" s="83"/>
      <c r="G101" s="69"/>
      <c r="H101" s="84"/>
      <c r="I101" s="128" t="e">
        <f t="shared" si="17"/>
        <v>#VALUE!</v>
      </c>
    </row>
    <row r="102" spans="1:9" ht="15" customHeight="1">
      <c r="A102" s="80">
        <v>2021</v>
      </c>
      <c r="B102" s="81" t="e">
        <f t="shared" si="18"/>
        <v>#VALUE!</v>
      </c>
      <c r="C102" s="126"/>
      <c r="D102" s="67">
        <f t="shared" si="16"/>
        <v>19</v>
      </c>
      <c r="E102" s="67"/>
      <c r="F102" s="83"/>
      <c r="G102" s="69"/>
      <c r="H102" s="84"/>
      <c r="I102" s="128" t="e">
        <f t="shared" si="17"/>
        <v>#VALUE!</v>
      </c>
    </row>
    <row r="103" spans="1:9" ht="15" customHeight="1">
      <c r="A103" s="80">
        <v>2022</v>
      </c>
      <c r="B103" s="81" t="e">
        <f t="shared" si="18"/>
        <v>#VALUE!</v>
      </c>
      <c r="C103" s="126"/>
      <c r="D103" s="67">
        <f t="shared" si="16"/>
        <v>20</v>
      </c>
      <c r="E103" s="67"/>
      <c r="F103" s="83"/>
      <c r="G103" s="69"/>
      <c r="H103" s="84"/>
      <c r="I103" s="128" t="e">
        <f t="shared" si="17"/>
        <v>#VALUE!</v>
      </c>
    </row>
    <row r="104" spans="1:9" ht="15" customHeight="1">
      <c r="A104" s="80">
        <v>2023</v>
      </c>
      <c r="B104" s="81" t="e">
        <f t="shared" si="18"/>
        <v>#VALUE!</v>
      </c>
      <c r="C104" s="126"/>
      <c r="D104" s="67">
        <f t="shared" si="16"/>
        <v>21</v>
      </c>
      <c r="E104" s="67"/>
      <c r="F104" s="83"/>
      <c r="G104" s="69"/>
      <c r="H104" s="84"/>
      <c r="I104" s="128" t="e">
        <f t="shared" si="17"/>
        <v>#VALUE!</v>
      </c>
    </row>
    <row r="105" spans="1:9" ht="15" customHeight="1">
      <c r="A105" s="80">
        <v>2024</v>
      </c>
      <c r="B105" s="81" t="e">
        <f t="shared" si="18"/>
        <v>#VALUE!</v>
      </c>
      <c r="C105" s="126"/>
      <c r="D105" s="67">
        <f t="shared" si="16"/>
        <v>22</v>
      </c>
      <c r="E105" s="67"/>
      <c r="F105" s="69"/>
      <c r="G105" s="69"/>
      <c r="H105" s="69"/>
      <c r="I105" s="136" t="e">
        <f t="shared" si="17"/>
        <v>#VALUE!</v>
      </c>
    </row>
    <row r="106" spans="1:9" ht="15" customHeight="1">
      <c r="A106" s="85">
        <v>2025</v>
      </c>
      <c r="B106" s="81" t="e">
        <f t="shared" si="18"/>
        <v>#VALUE!</v>
      </c>
      <c r="C106" s="204"/>
      <c r="D106" s="87">
        <f t="shared" si="16"/>
        <v>23</v>
      </c>
      <c r="E106" s="87"/>
      <c r="F106" s="89"/>
      <c r="G106" s="89"/>
      <c r="H106" s="89"/>
      <c r="I106" s="138" t="e">
        <f t="shared" si="17"/>
        <v>#VALUE!</v>
      </c>
    </row>
    <row r="107" spans="1:9" ht="15" customHeight="1">
      <c r="A107" s="56" t="s">
        <v>87</v>
      </c>
      <c r="B107" s="57"/>
    </row>
    <row r="108" spans="1:9" ht="15" customHeight="1">
      <c r="A108" s="58" t="s">
        <v>32</v>
      </c>
      <c r="B108" s="59" t="s">
        <v>40</v>
      </c>
      <c r="C108" s="59" t="s">
        <v>36</v>
      </c>
      <c r="D108" s="59" t="s">
        <v>33</v>
      </c>
      <c r="E108" s="103"/>
      <c r="F108" s="60"/>
      <c r="G108" s="61"/>
      <c r="H108" s="63" t="s">
        <v>292</v>
      </c>
      <c r="I108" s="64">
        <f>RSQ(I109:I114,B109:B114)</f>
        <v>0.87334641063583673</v>
      </c>
    </row>
    <row r="109" spans="1:9" ht="15" customHeight="1">
      <c r="A109" s="65">
        <v>2002</v>
      </c>
      <c r="B109" s="104">
        <f t="shared" ref="B109:B114" si="19">+B5</f>
        <v>5578</v>
      </c>
      <c r="C109" s="126">
        <f t="shared" ref="C109:C114" si="20">LN(F$113/B109-1)</f>
        <v>0</v>
      </c>
      <c r="D109" s="67">
        <v>0</v>
      </c>
      <c r="E109" s="106"/>
      <c r="F109" s="53"/>
      <c r="G109" s="69"/>
      <c r="H109" s="265"/>
      <c r="I109" s="267">
        <f t="shared" ref="I109:I132" si="21">$F$113/(1+EXP($F$111+$F$110*D109))</f>
        <v>5458.8859717659352</v>
      </c>
    </row>
    <row r="110" spans="1:9" ht="15" customHeight="1">
      <c r="A110" s="65">
        <f t="shared" ref="A110:A115" si="22">A6</f>
        <v>2003</v>
      </c>
      <c r="B110" s="104">
        <f t="shared" si="19"/>
        <v>5267</v>
      </c>
      <c r="C110" s="126">
        <f t="shared" si="20"/>
        <v>0.11162526346118148</v>
      </c>
      <c r="D110" s="67">
        <f>+D109+1</f>
        <v>1</v>
      </c>
      <c r="E110" s="106" t="s">
        <v>75</v>
      </c>
      <c r="F110" s="139">
        <f>INDEX(LINEST(C109:C114,D109:D114),1)</f>
        <v>5.6775291886574056E-2</v>
      </c>
      <c r="G110" s="140" t="s">
        <v>88</v>
      </c>
      <c r="H110" s="127"/>
      <c r="I110" s="128">
        <f t="shared" si="21"/>
        <v>5300.7502267345944</v>
      </c>
    </row>
    <row r="111" spans="1:9" ht="15" customHeight="1">
      <c r="A111" s="65">
        <f t="shared" si="22"/>
        <v>2004</v>
      </c>
      <c r="B111" s="104">
        <f t="shared" si="19"/>
        <v>5105</v>
      </c>
      <c r="C111" s="126">
        <f t="shared" si="20"/>
        <v>0.17000309602355537</v>
      </c>
      <c r="D111" s="67">
        <f t="shared" ref="D111:D132" si="23">D110+1</f>
        <v>2</v>
      </c>
      <c r="E111" s="106" t="s">
        <v>76</v>
      </c>
      <c r="F111" s="139">
        <f>INDEX(LINEST(C109:C114,D109:D114),2)</f>
        <v>4.2715001321918578E-2</v>
      </c>
      <c r="G111" s="69"/>
      <c r="H111" s="127"/>
      <c r="I111" s="128">
        <f t="shared" si="21"/>
        <v>5143.0599874289928</v>
      </c>
    </row>
    <row r="112" spans="1:9" ht="15" customHeight="1">
      <c r="A112" s="65">
        <f t="shared" si="22"/>
        <v>2005</v>
      </c>
      <c r="B112" s="104">
        <f t="shared" si="19"/>
        <v>4844</v>
      </c>
      <c r="C112" s="126">
        <f t="shared" si="20"/>
        <v>0.26471175785272716</v>
      </c>
      <c r="D112" s="67">
        <f t="shared" si="23"/>
        <v>3</v>
      </c>
      <c r="E112" s="106" t="s">
        <v>77</v>
      </c>
      <c r="F112" s="73">
        <f>I108</f>
        <v>0.87334641063583673</v>
      </c>
      <c r="G112" s="69"/>
      <c r="H112" s="127"/>
      <c r="I112" s="128">
        <f t="shared" si="21"/>
        <v>4986.0661154888539</v>
      </c>
    </row>
    <row r="113" spans="1:9" ht="15" customHeight="1">
      <c r="A113" s="65">
        <f t="shared" si="22"/>
        <v>2006</v>
      </c>
      <c r="B113" s="104">
        <f t="shared" si="19"/>
        <v>4774</v>
      </c>
      <c r="C113" s="126">
        <f t="shared" si="20"/>
        <v>0.29029699993941338</v>
      </c>
      <c r="D113" s="67">
        <f t="shared" si="23"/>
        <v>4</v>
      </c>
      <c r="E113" s="106" t="s">
        <v>39</v>
      </c>
      <c r="F113" s="110">
        <f>MAX(B109:B114)*2</f>
        <v>11156</v>
      </c>
      <c r="G113" s="69"/>
      <c r="H113" s="127"/>
      <c r="I113" s="128">
        <f t="shared" si="21"/>
        <v>4830.01503175996</v>
      </c>
    </row>
    <row r="114" spans="1:9" ht="15" customHeight="1" thickBot="1">
      <c r="A114" s="97">
        <f t="shared" si="22"/>
        <v>2007</v>
      </c>
      <c r="B114" s="116">
        <f t="shared" si="19"/>
        <v>4826</v>
      </c>
      <c r="C114" s="141">
        <f t="shared" si="20"/>
        <v>0.27128226895324475</v>
      </c>
      <c r="D114" s="99">
        <f t="shared" si="23"/>
        <v>5</v>
      </c>
      <c r="E114" s="205"/>
      <c r="F114" s="101"/>
      <c r="G114" s="100"/>
      <c r="H114" s="143"/>
      <c r="I114" s="144">
        <f t="shared" si="21"/>
        <v>4675.1471918862153</v>
      </c>
    </row>
    <row r="115" spans="1:9" ht="15" customHeight="1" thickTop="1">
      <c r="A115" s="255">
        <f t="shared" si="22"/>
        <v>2008</v>
      </c>
      <c r="B115" s="81">
        <f t="shared" ref="B115:B132" si="24">ROUND(F$113/(1+EXP(F$111+F$110*D115)),0)</f>
        <v>4522</v>
      </c>
      <c r="C115" s="257"/>
      <c r="D115" s="77">
        <f t="shared" si="23"/>
        <v>6</v>
      </c>
      <c r="E115" s="275"/>
      <c r="F115" s="256"/>
      <c r="G115" s="78"/>
      <c r="H115" s="258"/>
      <c r="I115" s="133">
        <f t="shared" si="21"/>
        <v>4521.6956414741053</v>
      </c>
    </row>
    <row r="116" spans="1:9" ht="15" customHeight="1">
      <c r="A116" s="80">
        <v>2009</v>
      </c>
      <c r="B116" s="81">
        <f t="shared" si="24"/>
        <v>4370</v>
      </c>
      <c r="C116" s="134"/>
      <c r="D116" s="67">
        <f t="shared" si="23"/>
        <v>7</v>
      </c>
      <c r="E116" s="83"/>
      <c r="F116" s="69"/>
      <c r="G116" s="69"/>
      <c r="H116" s="84"/>
      <c r="I116" s="128">
        <f t="shared" si="21"/>
        <v>4369.8846687219466</v>
      </c>
    </row>
    <row r="117" spans="1:9" ht="15" customHeight="1">
      <c r="A117" s="80">
        <v>2010</v>
      </c>
      <c r="B117" s="81">
        <f t="shared" si="24"/>
        <v>4220</v>
      </c>
      <c r="C117" s="134"/>
      <c r="D117" s="67">
        <f t="shared" si="23"/>
        <v>8</v>
      </c>
      <c r="E117" s="83"/>
      <c r="F117" s="69"/>
      <c r="G117" s="69"/>
      <c r="H117" s="84"/>
      <c r="I117" s="128">
        <f t="shared" si="21"/>
        <v>4219.9285702341031</v>
      </c>
    </row>
    <row r="118" spans="1:9" ht="15" customHeight="1">
      <c r="A118" s="80">
        <v>2011</v>
      </c>
      <c r="B118" s="81">
        <f t="shared" si="24"/>
        <v>4072</v>
      </c>
      <c r="C118" s="134"/>
      <c r="D118" s="67">
        <f t="shared" si="23"/>
        <v>9</v>
      </c>
      <c r="E118" s="83"/>
      <c r="F118" s="69"/>
      <c r="G118" s="69"/>
      <c r="H118" s="84"/>
      <c r="I118" s="128">
        <f t="shared" si="21"/>
        <v>4072.0305432746768</v>
      </c>
    </row>
    <row r="119" spans="1:9" ht="15" customHeight="1">
      <c r="A119" s="80">
        <v>2012</v>
      </c>
      <c r="B119" s="81">
        <f t="shared" si="24"/>
        <v>3926</v>
      </c>
      <c r="C119" s="134"/>
      <c r="D119" s="67">
        <f t="shared" si="23"/>
        <v>10</v>
      </c>
      <c r="E119" s="83"/>
      <c r="F119" s="69"/>
      <c r="G119" s="69"/>
      <c r="H119" s="84"/>
      <c r="I119" s="128">
        <f t="shared" si="21"/>
        <v>3926.3817150365467</v>
      </c>
    </row>
    <row r="120" spans="1:9" ht="15" customHeight="1">
      <c r="A120" s="80">
        <v>2013</v>
      </c>
      <c r="B120" s="81">
        <f t="shared" si="24"/>
        <v>3783</v>
      </c>
      <c r="C120" s="134"/>
      <c r="D120" s="67">
        <f t="shared" si="23"/>
        <v>11</v>
      </c>
      <c r="E120" s="83"/>
      <c r="F120" s="69"/>
      <c r="G120" s="69"/>
      <c r="H120" s="84"/>
      <c r="I120" s="128">
        <f t="shared" si="21"/>
        <v>3783.1603166944246</v>
      </c>
    </row>
    <row r="121" spans="1:9" ht="15" customHeight="1">
      <c r="A121" s="80">
        <v>2014</v>
      </c>
      <c r="B121" s="81">
        <f t="shared" si="24"/>
        <v>3643</v>
      </c>
      <c r="C121" s="134"/>
      <c r="D121" s="67">
        <f t="shared" si="23"/>
        <v>12</v>
      </c>
      <c r="E121" s="83"/>
      <c r="F121" s="69"/>
      <c r="G121" s="69"/>
      <c r="H121" s="84"/>
      <c r="I121" s="128">
        <f t="shared" si="21"/>
        <v>3642.5310071592567</v>
      </c>
    </row>
    <row r="122" spans="1:9" ht="15" customHeight="1">
      <c r="A122" s="80">
        <v>2015</v>
      </c>
      <c r="B122" s="81">
        <f t="shared" si="24"/>
        <v>3505</v>
      </c>
      <c r="C122" s="134"/>
      <c r="D122" s="67">
        <f t="shared" si="23"/>
        <v>13</v>
      </c>
      <c r="E122" s="83"/>
      <c r="F122" s="69"/>
      <c r="G122" s="69"/>
      <c r="H122" s="84"/>
      <c r="I122" s="128">
        <f t="shared" si="21"/>
        <v>3504.6443486372173</v>
      </c>
    </row>
    <row r="123" spans="1:9" ht="15" customHeight="1">
      <c r="A123" s="80">
        <v>2016</v>
      </c>
      <c r="B123" s="81">
        <f t="shared" si="24"/>
        <v>3370</v>
      </c>
      <c r="C123" s="134"/>
      <c r="D123" s="67">
        <f t="shared" si="23"/>
        <v>14</v>
      </c>
      <c r="E123" s="83"/>
      <c r="F123" s="69"/>
      <c r="G123" s="69"/>
      <c r="H123" s="84"/>
      <c r="I123" s="128">
        <f t="shared" si="21"/>
        <v>3369.6364333946512</v>
      </c>
    </row>
    <row r="124" spans="1:9" ht="15" customHeight="1">
      <c r="A124" s="80">
        <v>2017</v>
      </c>
      <c r="B124" s="81">
        <f t="shared" si="24"/>
        <v>3238</v>
      </c>
      <c r="C124" s="134"/>
      <c r="D124" s="67">
        <f t="shared" si="23"/>
        <v>15</v>
      </c>
      <c r="E124" s="83"/>
      <c r="F124" s="69"/>
      <c r="G124" s="69"/>
      <c r="H124" s="84"/>
      <c r="I124" s="128">
        <f t="shared" si="21"/>
        <v>3237.6286586068891</v>
      </c>
    </row>
    <row r="125" spans="1:9" ht="15" customHeight="1">
      <c r="A125" s="80">
        <v>2018</v>
      </c>
      <c r="B125" s="81">
        <f t="shared" si="24"/>
        <v>3109</v>
      </c>
      <c r="C125" s="134"/>
      <c r="D125" s="67">
        <f t="shared" si="23"/>
        <v>16</v>
      </c>
      <c r="E125" s="83"/>
      <c r="F125" s="69"/>
      <c r="G125" s="69"/>
      <c r="H125" s="84"/>
      <c r="I125" s="128">
        <f t="shared" si="21"/>
        <v>3108.7276438791878</v>
      </c>
    </row>
    <row r="126" spans="1:9" ht="15" customHeight="1">
      <c r="A126" s="80">
        <v>2019</v>
      </c>
      <c r="B126" s="81">
        <f t="shared" si="24"/>
        <v>2983</v>
      </c>
      <c r="C126" s="134"/>
      <c r="D126" s="67">
        <f t="shared" si="23"/>
        <v>17</v>
      </c>
      <c r="E126" s="83"/>
      <c r="F126" s="69"/>
      <c r="G126" s="69"/>
      <c r="H126" s="84"/>
      <c r="I126" s="128">
        <f t="shared" si="21"/>
        <v>2983.0252840155545</v>
      </c>
    </row>
    <row r="127" spans="1:9" ht="15" customHeight="1">
      <c r="A127" s="80">
        <v>2020</v>
      </c>
      <c r="B127" s="81">
        <f t="shared" si="24"/>
        <v>2861</v>
      </c>
      <c r="C127" s="134"/>
      <c r="D127" s="67">
        <f t="shared" si="23"/>
        <v>18</v>
      </c>
      <c r="E127" s="83"/>
      <c r="F127" s="69"/>
      <c r="G127" s="69"/>
      <c r="H127" s="84"/>
      <c r="I127" s="128">
        <f t="shared" si="21"/>
        <v>2860.5989279066166</v>
      </c>
    </row>
    <row r="128" spans="1:9" ht="15" customHeight="1">
      <c r="A128" s="80">
        <v>2021</v>
      </c>
      <c r="B128" s="81">
        <f t="shared" si="24"/>
        <v>2742</v>
      </c>
      <c r="C128" s="134"/>
      <c r="D128" s="67">
        <f t="shared" si="23"/>
        <v>19</v>
      </c>
      <c r="E128" s="83"/>
      <c r="F128" s="69"/>
      <c r="G128" s="69"/>
      <c r="H128" s="84"/>
      <c r="I128" s="128">
        <f t="shared" si="21"/>
        <v>2741.5116730291179</v>
      </c>
    </row>
    <row r="129" spans="1:10" ht="15" customHeight="1">
      <c r="A129" s="80">
        <v>2022</v>
      </c>
      <c r="B129" s="81">
        <f t="shared" si="24"/>
        <v>2626</v>
      </c>
      <c r="C129" s="134"/>
      <c r="D129" s="67">
        <f t="shared" si="23"/>
        <v>20</v>
      </c>
      <c r="E129" s="83"/>
      <c r="F129" s="69"/>
      <c r="G129" s="69"/>
      <c r="H129" s="84"/>
      <c r="I129" s="128">
        <f t="shared" si="21"/>
        <v>2625.8127640031412</v>
      </c>
    </row>
    <row r="130" spans="1:10" ht="15" customHeight="1">
      <c r="A130" s="80">
        <v>2023</v>
      </c>
      <c r="B130" s="81">
        <f t="shared" si="24"/>
        <v>2514</v>
      </c>
      <c r="C130" s="134"/>
      <c r="D130" s="67">
        <f t="shared" si="23"/>
        <v>21</v>
      </c>
      <c r="E130" s="83"/>
      <c r="F130" s="69"/>
      <c r="G130" s="69"/>
      <c r="H130" s="84"/>
      <c r="I130" s="128">
        <f t="shared" si="21"/>
        <v>2513.5380829340038</v>
      </c>
    </row>
    <row r="131" spans="1:10" ht="15" customHeight="1">
      <c r="A131" s="80">
        <v>2024</v>
      </c>
      <c r="B131" s="81">
        <f t="shared" si="24"/>
        <v>2405</v>
      </c>
      <c r="C131" s="135"/>
      <c r="D131" s="67">
        <f t="shared" si="23"/>
        <v>22</v>
      </c>
      <c r="E131" s="69"/>
      <c r="F131" s="69"/>
      <c r="G131" s="69"/>
      <c r="H131" s="69"/>
      <c r="I131" s="136">
        <f t="shared" si="21"/>
        <v>2404.710718859501</v>
      </c>
    </row>
    <row r="132" spans="1:10" ht="15" customHeight="1">
      <c r="A132" s="85">
        <v>2025</v>
      </c>
      <c r="B132" s="86">
        <f t="shared" si="24"/>
        <v>2299</v>
      </c>
      <c r="C132" s="137"/>
      <c r="D132" s="87">
        <f t="shared" si="23"/>
        <v>23</v>
      </c>
      <c r="E132" s="89"/>
      <c r="F132" s="89"/>
      <c r="G132" s="89"/>
      <c r="H132" s="89"/>
      <c r="I132" s="138">
        <f t="shared" si="21"/>
        <v>2299.341603507497</v>
      </c>
    </row>
    <row r="133" spans="1:10" ht="15" customHeight="1">
      <c r="A133" s="56" t="s">
        <v>299</v>
      </c>
      <c r="B133" s="57"/>
    </row>
    <row r="134" spans="1:10" ht="15" customHeight="1">
      <c r="A134" s="56"/>
      <c r="B134" s="57"/>
    </row>
    <row r="135" spans="1:10" ht="24">
      <c r="A135" s="145" t="s">
        <v>32</v>
      </c>
      <c r="B135" s="146" t="s">
        <v>91</v>
      </c>
      <c r="C135" s="147" t="s">
        <v>72</v>
      </c>
      <c r="D135" s="147" t="s">
        <v>92</v>
      </c>
      <c r="E135" s="147" t="s">
        <v>93</v>
      </c>
      <c r="F135" s="147" t="s">
        <v>94</v>
      </c>
      <c r="G135" s="147" t="s">
        <v>95</v>
      </c>
      <c r="H135" s="148" t="s">
        <v>96</v>
      </c>
      <c r="I135" s="149" t="s">
        <v>294</v>
      </c>
      <c r="J135" s="150" t="s">
        <v>295</v>
      </c>
    </row>
    <row r="136" spans="1:10" ht="20.100000000000001" customHeight="1">
      <c r="A136" s="65">
        <v>2008</v>
      </c>
      <c r="B136" s="151">
        <f t="shared" ref="B136:B153" si="25">B11</f>
        <v>4676</v>
      </c>
      <c r="C136" s="152">
        <f t="shared" ref="C136:C153" si="26">B37</f>
        <v>4516</v>
      </c>
      <c r="D136" s="152">
        <f t="shared" ref="D136:D153" si="27">B63</f>
        <v>4688</v>
      </c>
      <c r="E136" s="152"/>
      <c r="F136" s="152">
        <f t="shared" ref="F136:F153" si="28">B115</f>
        <v>4522</v>
      </c>
      <c r="G136" s="152">
        <f t="shared" ref="G136:G153" si="29">ROUND(AVERAGE(B136:F136),1)</f>
        <v>4600.5</v>
      </c>
      <c r="H136" s="152">
        <f t="shared" ref="H136:H153" si="30">ROUND((SUM(B136:F136)-MAX(B136:F136)-MIN(B136:F136))/(COUNT(B136:F136)-2),1)</f>
        <v>4599</v>
      </c>
      <c r="I136" s="153">
        <f t="shared" ref="I136:I153" si="31">ROUND(SUMIF(B$154:H$154,"○",B136:H136),0)</f>
        <v>4601</v>
      </c>
      <c r="J136" s="261"/>
    </row>
    <row r="137" spans="1:10" ht="20.100000000000001" customHeight="1">
      <c r="A137" s="80">
        <v>2009</v>
      </c>
      <c r="B137" s="151">
        <f t="shared" si="25"/>
        <v>4525</v>
      </c>
      <c r="C137" s="152">
        <f t="shared" si="26"/>
        <v>4359</v>
      </c>
      <c r="D137" s="152">
        <f t="shared" si="27"/>
        <v>4554</v>
      </c>
      <c r="E137" s="152"/>
      <c r="F137" s="152">
        <f t="shared" si="28"/>
        <v>4370</v>
      </c>
      <c r="G137" s="152">
        <f t="shared" si="29"/>
        <v>4452</v>
      </c>
      <c r="H137" s="152">
        <f t="shared" si="30"/>
        <v>4447.5</v>
      </c>
      <c r="I137" s="153">
        <f t="shared" si="31"/>
        <v>4452</v>
      </c>
      <c r="J137" s="154"/>
    </row>
    <row r="138" spans="1:10" ht="20.100000000000001" customHeight="1">
      <c r="A138" s="80">
        <v>2010</v>
      </c>
      <c r="B138" s="151">
        <f t="shared" si="25"/>
        <v>4375</v>
      </c>
      <c r="C138" s="152">
        <f t="shared" si="26"/>
        <v>4201</v>
      </c>
      <c r="D138" s="152">
        <f t="shared" si="27"/>
        <v>4424</v>
      </c>
      <c r="E138" s="152"/>
      <c r="F138" s="152">
        <f t="shared" si="28"/>
        <v>4220</v>
      </c>
      <c r="G138" s="152">
        <f t="shared" si="29"/>
        <v>4305</v>
      </c>
      <c r="H138" s="152">
        <f t="shared" si="30"/>
        <v>4297.5</v>
      </c>
      <c r="I138" s="153">
        <f t="shared" si="31"/>
        <v>4305</v>
      </c>
      <c r="J138" s="154"/>
    </row>
    <row r="139" spans="1:10" ht="20.100000000000001" customHeight="1">
      <c r="A139" s="80">
        <v>2011</v>
      </c>
      <c r="B139" s="151">
        <f t="shared" si="25"/>
        <v>4224</v>
      </c>
      <c r="C139" s="152">
        <f t="shared" si="26"/>
        <v>4044</v>
      </c>
      <c r="D139" s="152">
        <f t="shared" si="27"/>
        <v>4298</v>
      </c>
      <c r="E139" s="152"/>
      <c r="F139" s="152">
        <f t="shared" si="28"/>
        <v>4072</v>
      </c>
      <c r="G139" s="152">
        <f t="shared" si="29"/>
        <v>4159.5</v>
      </c>
      <c r="H139" s="152">
        <f t="shared" si="30"/>
        <v>4148</v>
      </c>
      <c r="I139" s="153">
        <f t="shared" si="31"/>
        <v>4160</v>
      </c>
      <c r="J139" s="154"/>
    </row>
    <row r="140" spans="1:10" ht="20.100000000000001" customHeight="1">
      <c r="A140" s="80">
        <v>2012</v>
      </c>
      <c r="B140" s="151">
        <f t="shared" si="25"/>
        <v>4074</v>
      </c>
      <c r="C140" s="152">
        <f t="shared" si="26"/>
        <v>3887</v>
      </c>
      <c r="D140" s="152">
        <f t="shared" si="27"/>
        <v>4175</v>
      </c>
      <c r="E140" s="152"/>
      <c r="F140" s="152">
        <f t="shared" si="28"/>
        <v>3926</v>
      </c>
      <c r="G140" s="152">
        <f t="shared" si="29"/>
        <v>4015.5</v>
      </c>
      <c r="H140" s="152">
        <f t="shared" si="30"/>
        <v>4000</v>
      </c>
      <c r="I140" s="153">
        <f t="shared" si="31"/>
        <v>4016</v>
      </c>
      <c r="J140" s="154"/>
    </row>
    <row r="141" spans="1:10" ht="20.100000000000001" customHeight="1">
      <c r="A141" s="80">
        <v>2013</v>
      </c>
      <c r="B141" s="151">
        <f t="shared" si="25"/>
        <v>3924</v>
      </c>
      <c r="C141" s="152">
        <f t="shared" si="26"/>
        <v>3730</v>
      </c>
      <c r="D141" s="152">
        <f t="shared" si="27"/>
        <v>4056</v>
      </c>
      <c r="E141" s="152"/>
      <c r="F141" s="152">
        <f t="shared" si="28"/>
        <v>3783</v>
      </c>
      <c r="G141" s="152">
        <f t="shared" si="29"/>
        <v>3873.3</v>
      </c>
      <c r="H141" s="152">
        <f t="shared" si="30"/>
        <v>3853.5</v>
      </c>
      <c r="I141" s="153">
        <f t="shared" si="31"/>
        <v>3873</v>
      </c>
      <c r="J141" s="154"/>
    </row>
    <row r="142" spans="1:10" ht="20.100000000000001" customHeight="1">
      <c r="A142" s="80">
        <v>2014</v>
      </c>
      <c r="B142" s="151">
        <f t="shared" si="25"/>
        <v>3773</v>
      </c>
      <c r="C142" s="152">
        <f t="shared" si="26"/>
        <v>3573</v>
      </c>
      <c r="D142" s="152">
        <f t="shared" si="27"/>
        <v>3940</v>
      </c>
      <c r="E142" s="152"/>
      <c r="F142" s="152">
        <f t="shared" si="28"/>
        <v>3643</v>
      </c>
      <c r="G142" s="152">
        <f t="shared" si="29"/>
        <v>3732.3</v>
      </c>
      <c r="H142" s="152">
        <f t="shared" si="30"/>
        <v>3708</v>
      </c>
      <c r="I142" s="153">
        <f t="shared" si="31"/>
        <v>3732</v>
      </c>
      <c r="J142" s="154"/>
    </row>
    <row r="143" spans="1:10" ht="20.100000000000001" customHeight="1">
      <c r="A143" s="80">
        <v>2015</v>
      </c>
      <c r="B143" s="151">
        <f t="shared" si="25"/>
        <v>3623</v>
      </c>
      <c r="C143" s="152">
        <f t="shared" si="26"/>
        <v>3416</v>
      </c>
      <c r="D143" s="152">
        <f t="shared" si="27"/>
        <v>3828</v>
      </c>
      <c r="E143" s="152"/>
      <c r="F143" s="152">
        <f t="shared" si="28"/>
        <v>3505</v>
      </c>
      <c r="G143" s="152">
        <f t="shared" si="29"/>
        <v>3593</v>
      </c>
      <c r="H143" s="152">
        <f t="shared" si="30"/>
        <v>3564</v>
      </c>
      <c r="I143" s="153">
        <f t="shared" si="31"/>
        <v>3593</v>
      </c>
      <c r="J143" s="154"/>
    </row>
    <row r="144" spans="1:10" ht="20.100000000000001" customHeight="1">
      <c r="A144" s="80">
        <v>2016</v>
      </c>
      <c r="B144" s="151">
        <f t="shared" si="25"/>
        <v>3472</v>
      </c>
      <c r="C144" s="152">
        <f t="shared" si="26"/>
        <v>3259</v>
      </c>
      <c r="D144" s="152">
        <f t="shared" si="27"/>
        <v>3718</v>
      </c>
      <c r="E144" s="152"/>
      <c r="F144" s="152">
        <f t="shared" si="28"/>
        <v>3370</v>
      </c>
      <c r="G144" s="152">
        <f t="shared" si="29"/>
        <v>3454.8</v>
      </c>
      <c r="H144" s="152">
        <f t="shared" si="30"/>
        <v>3421</v>
      </c>
      <c r="I144" s="153">
        <f t="shared" si="31"/>
        <v>3455</v>
      </c>
      <c r="J144" s="154"/>
    </row>
    <row r="145" spans="1:41" ht="20.100000000000001" customHeight="1">
      <c r="A145" s="80">
        <v>2017</v>
      </c>
      <c r="B145" s="151">
        <f t="shared" si="25"/>
        <v>3322</v>
      </c>
      <c r="C145" s="152">
        <f t="shared" si="26"/>
        <v>3101</v>
      </c>
      <c r="D145" s="152">
        <f t="shared" si="27"/>
        <v>3612</v>
      </c>
      <c r="E145" s="152"/>
      <c r="F145" s="152">
        <f t="shared" si="28"/>
        <v>3238</v>
      </c>
      <c r="G145" s="152">
        <f t="shared" si="29"/>
        <v>3318.3</v>
      </c>
      <c r="H145" s="152">
        <f t="shared" si="30"/>
        <v>3280</v>
      </c>
      <c r="I145" s="153">
        <f t="shared" si="31"/>
        <v>3318</v>
      </c>
      <c r="J145" s="154"/>
    </row>
    <row r="146" spans="1:41" ht="20.100000000000001" customHeight="1">
      <c r="A146" s="80">
        <v>2018</v>
      </c>
      <c r="B146" s="151">
        <f t="shared" si="25"/>
        <v>3172</v>
      </c>
      <c r="C146" s="152">
        <f t="shared" si="26"/>
        <v>2944</v>
      </c>
      <c r="D146" s="152">
        <f t="shared" si="27"/>
        <v>3509</v>
      </c>
      <c r="E146" s="152"/>
      <c r="F146" s="152">
        <f t="shared" si="28"/>
        <v>3109</v>
      </c>
      <c r="G146" s="152">
        <f t="shared" si="29"/>
        <v>3183.5</v>
      </c>
      <c r="H146" s="152">
        <f t="shared" si="30"/>
        <v>3140.5</v>
      </c>
      <c r="I146" s="153">
        <f t="shared" si="31"/>
        <v>3184</v>
      </c>
      <c r="J146" s="154"/>
    </row>
    <row r="147" spans="1:41" ht="20.100000000000001" customHeight="1">
      <c r="A147" s="80">
        <v>2019</v>
      </c>
      <c r="B147" s="151">
        <f t="shared" si="25"/>
        <v>3021</v>
      </c>
      <c r="C147" s="152">
        <f t="shared" si="26"/>
        <v>2787</v>
      </c>
      <c r="D147" s="152">
        <f t="shared" si="27"/>
        <v>3409</v>
      </c>
      <c r="E147" s="152"/>
      <c r="F147" s="152">
        <f t="shared" si="28"/>
        <v>2983</v>
      </c>
      <c r="G147" s="152">
        <f t="shared" si="29"/>
        <v>3050</v>
      </c>
      <c r="H147" s="152">
        <f t="shared" si="30"/>
        <v>3002</v>
      </c>
      <c r="I147" s="153">
        <f t="shared" si="31"/>
        <v>3050</v>
      </c>
      <c r="J147" s="154"/>
    </row>
    <row r="148" spans="1:41" ht="20.100000000000001" customHeight="1">
      <c r="A148" s="80">
        <v>2020</v>
      </c>
      <c r="B148" s="151">
        <f t="shared" si="25"/>
        <v>2871</v>
      </c>
      <c r="C148" s="152">
        <f t="shared" si="26"/>
        <v>2630</v>
      </c>
      <c r="D148" s="152">
        <f t="shared" si="27"/>
        <v>3312</v>
      </c>
      <c r="E148" s="152"/>
      <c r="F148" s="152">
        <f t="shared" si="28"/>
        <v>2861</v>
      </c>
      <c r="G148" s="152">
        <f t="shared" si="29"/>
        <v>2918.5</v>
      </c>
      <c r="H148" s="152">
        <f t="shared" si="30"/>
        <v>2866</v>
      </c>
      <c r="I148" s="153">
        <f t="shared" si="31"/>
        <v>2919</v>
      </c>
      <c r="J148" s="154"/>
    </row>
    <row r="149" spans="1:41" ht="20.100000000000001" customHeight="1">
      <c r="A149" s="80">
        <v>2021</v>
      </c>
      <c r="B149" s="151">
        <f t="shared" si="25"/>
        <v>2720</v>
      </c>
      <c r="C149" s="152">
        <f t="shared" si="26"/>
        <v>2473</v>
      </c>
      <c r="D149" s="152">
        <f t="shared" si="27"/>
        <v>3217</v>
      </c>
      <c r="E149" s="152"/>
      <c r="F149" s="152">
        <f t="shared" si="28"/>
        <v>2742</v>
      </c>
      <c r="G149" s="152">
        <f t="shared" si="29"/>
        <v>2788</v>
      </c>
      <c r="H149" s="152">
        <f t="shared" si="30"/>
        <v>2731</v>
      </c>
      <c r="I149" s="153">
        <f t="shared" si="31"/>
        <v>2788</v>
      </c>
      <c r="J149" s="154"/>
    </row>
    <row r="150" spans="1:41" ht="20.100000000000001" customHeight="1">
      <c r="A150" s="80">
        <v>2022</v>
      </c>
      <c r="B150" s="151">
        <f t="shared" si="25"/>
        <v>2570</v>
      </c>
      <c r="C150" s="152">
        <f t="shared" si="26"/>
        <v>2316</v>
      </c>
      <c r="D150" s="152">
        <f t="shared" si="27"/>
        <v>3125</v>
      </c>
      <c r="E150" s="152"/>
      <c r="F150" s="152">
        <f t="shared" si="28"/>
        <v>2626</v>
      </c>
      <c r="G150" s="152">
        <f t="shared" si="29"/>
        <v>2659.3</v>
      </c>
      <c r="H150" s="152">
        <f t="shared" si="30"/>
        <v>2598</v>
      </c>
      <c r="I150" s="153">
        <f t="shared" si="31"/>
        <v>2659</v>
      </c>
      <c r="J150" s="154"/>
    </row>
    <row r="151" spans="1:41" ht="20.100000000000001" customHeight="1">
      <c r="A151" s="80">
        <v>2023</v>
      </c>
      <c r="B151" s="151">
        <f t="shared" si="25"/>
        <v>2420</v>
      </c>
      <c r="C151" s="152">
        <f t="shared" si="26"/>
        <v>2159</v>
      </c>
      <c r="D151" s="152">
        <f t="shared" si="27"/>
        <v>3036</v>
      </c>
      <c r="E151" s="152"/>
      <c r="F151" s="152">
        <f t="shared" si="28"/>
        <v>2514</v>
      </c>
      <c r="G151" s="152">
        <f t="shared" si="29"/>
        <v>2532.3000000000002</v>
      </c>
      <c r="H151" s="152">
        <f t="shared" si="30"/>
        <v>2467</v>
      </c>
      <c r="I151" s="153">
        <f t="shared" si="31"/>
        <v>2532</v>
      </c>
      <c r="J151" s="154"/>
      <c r="L151" s="55">
        <v>806200</v>
      </c>
    </row>
    <row r="152" spans="1:41" ht="20.100000000000001" customHeight="1">
      <c r="A152" s="80">
        <v>2024</v>
      </c>
      <c r="B152" s="151">
        <f t="shared" si="25"/>
        <v>2269</v>
      </c>
      <c r="C152" s="152">
        <f t="shared" si="26"/>
        <v>2001</v>
      </c>
      <c r="D152" s="152">
        <f t="shared" si="27"/>
        <v>2949</v>
      </c>
      <c r="E152" s="152"/>
      <c r="F152" s="152">
        <f t="shared" si="28"/>
        <v>2405</v>
      </c>
      <c r="G152" s="152">
        <f t="shared" si="29"/>
        <v>2406</v>
      </c>
      <c r="H152" s="152">
        <f t="shared" si="30"/>
        <v>2337</v>
      </c>
      <c r="I152" s="153">
        <f t="shared" si="31"/>
        <v>2406</v>
      </c>
      <c r="J152" s="154"/>
      <c r="K152" s="55">
        <v>51000</v>
      </c>
      <c r="L152" s="75">
        <f>+K152+E152</f>
        <v>51000</v>
      </c>
      <c r="M152" s="75"/>
    </row>
    <row r="153" spans="1:41" ht="20.100000000000001" customHeight="1">
      <c r="A153" s="80">
        <v>2025</v>
      </c>
      <c r="B153" s="151">
        <f t="shared" si="25"/>
        <v>2119</v>
      </c>
      <c r="C153" s="152">
        <f t="shared" si="26"/>
        <v>1844</v>
      </c>
      <c r="D153" s="152">
        <f t="shared" si="27"/>
        <v>2865</v>
      </c>
      <c r="E153" s="152"/>
      <c r="F153" s="152">
        <f t="shared" si="28"/>
        <v>2299</v>
      </c>
      <c r="G153" s="152">
        <f t="shared" si="29"/>
        <v>2281.8000000000002</v>
      </c>
      <c r="H153" s="152">
        <f t="shared" si="30"/>
        <v>2209</v>
      </c>
      <c r="I153" s="153">
        <f t="shared" si="31"/>
        <v>2282</v>
      </c>
      <c r="J153" s="154"/>
      <c r="L153" s="75">
        <f>+L151-L152</f>
        <v>755200</v>
      </c>
      <c r="M153" s="75"/>
    </row>
    <row r="154" spans="1:41" ht="20.100000000000001" customHeight="1">
      <c r="A154" s="155" t="s">
        <v>97</v>
      </c>
      <c r="B154" s="156"/>
      <c r="C154" s="157"/>
      <c r="D154" s="157"/>
      <c r="E154" s="157"/>
      <c r="F154" s="156"/>
      <c r="G154" s="158" t="s">
        <v>296</v>
      </c>
      <c r="H154" s="157"/>
      <c r="I154" s="159"/>
      <c r="J154" s="160"/>
      <c r="K154" s="161"/>
      <c r="L154" s="162">
        <f>B109</f>
        <v>5578</v>
      </c>
      <c r="M154" s="162">
        <f>+B110</f>
        <v>5267</v>
      </c>
      <c r="N154" s="162">
        <f>B111</f>
        <v>5105</v>
      </c>
      <c r="O154" s="161">
        <f>B112</f>
        <v>4844</v>
      </c>
      <c r="P154" s="162">
        <f>B113</f>
        <v>4774</v>
      </c>
      <c r="Q154" s="161">
        <f>B114</f>
        <v>4826</v>
      </c>
      <c r="R154" s="162">
        <f>B115</f>
        <v>4522</v>
      </c>
      <c r="S154" s="162"/>
      <c r="T154" s="162"/>
      <c r="U154" s="162"/>
      <c r="V154" s="162"/>
      <c r="W154" s="162"/>
      <c r="X154" s="162"/>
      <c r="Y154" s="161"/>
      <c r="Z154" s="161"/>
      <c r="AA154" s="161"/>
      <c r="AB154" s="161"/>
      <c r="AC154" s="161"/>
      <c r="AD154" s="161"/>
      <c r="AE154" s="161"/>
      <c r="AF154" s="161"/>
      <c r="AG154" s="161"/>
      <c r="AH154" s="161"/>
      <c r="AI154" s="161"/>
      <c r="AJ154" s="161"/>
      <c r="AK154" s="161"/>
      <c r="AL154" s="161"/>
      <c r="AM154" s="161"/>
      <c r="AN154" s="161"/>
    </row>
    <row r="155" spans="1:41" ht="20.100000000000001" hidden="1" customHeight="1">
      <c r="A155" s="85"/>
      <c r="B155" s="163"/>
      <c r="C155" s="164"/>
      <c r="D155" s="164"/>
      <c r="E155" s="164"/>
      <c r="F155" s="164"/>
      <c r="G155" s="164"/>
      <c r="H155" s="164"/>
      <c r="I155" s="165"/>
      <c r="J155" s="166"/>
      <c r="K155" s="161"/>
      <c r="L155" s="161"/>
      <c r="M155" s="161"/>
      <c r="N155" s="161"/>
      <c r="O155" s="161"/>
      <c r="P155" s="161"/>
      <c r="Q155" s="161"/>
      <c r="R155" s="161"/>
      <c r="S155" s="161"/>
      <c r="T155" s="161"/>
      <c r="U155" s="161"/>
      <c r="V155" s="161"/>
      <c r="W155" s="161"/>
      <c r="X155" s="161"/>
      <c r="Y155" s="161"/>
      <c r="Z155" s="161"/>
      <c r="AA155" s="161"/>
      <c r="AB155" s="161"/>
      <c r="AC155" s="161"/>
      <c r="AD155" s="161"/>
      <c r="AE155" s="161"/>
      <c r="AF155" s="161"/>
      <c r="AG155" s="161"/>
      <c r="AH155" s="161"/>
      <c r="AI155" s="161"/>
      <c r="AJ155" s="161"/>
      <c r="AK155" s="161"/>
      <c r="AL155" s="161"/>
      <c r="AM155" s="161"/>
      <c r="AN155" s="161"/>
    </row>
    <row r="156" spans="1:41" s="161" customFormat="1" ht="20.100000000000001" customHeight="1">
      <c r="A156" s="167" t="s">
        <v>98</v>
      </c>
      <c r="B156" s="168">
        <f>I4</f>
        <v>0.85239960878697674</v>
      </c>
      <c r="C156" s="169">
        <f>I30</f>
        <v>0.89249929574900666</v>
      </c>
      <c r="D156" s="169">
        <f>I56</f>
        <v>0.85650864963011941</v>
      </c>
      <c r="E156" s="169"/>
      <c r="F156" s="169">
        <f>I108</f>
        <v>0.87334641063583673</v>
      </c>
      <c r="G156" s="170"/>
      <c r="H156" s="171"/>
      <c r="I156" s="172"/>
      <c r="J156" s="173"/>
      <c r="K156" s="174">
        <f>MAX(B156:I156,F156)</f>
        <v>0.89249929574900666</v>
      </c>
      <c r="L156" s="161">
        <v>2002</v>
      </c>
      <c r="M156" s="161">
        <v>2003</v>
      </c>
      <c r="N156" s="161">
        <f t="shared" ref="N156:AI156" si="32">+M156+1</f>
        <v>2004</v>
      </c>
      <c r="O156" s="161">
        <f t="shared" si="32"/>
        <v>2005</v>
      </c>
      <c r="P156" s="161">
        <f t="shared" si="32"/>
        <v>2006</v>
      </c>
      <c r="Q156" s="161">
        <f t="shared" si="32"/>
        <v>2007</v>
      </c>
      <c r="R156" s="161">
        <f t="shared" si="32"/>
        <v>2008</v>
      </c>
      <c r="S156" s="161">
        <f t="shared" si="32"/>
        <v>2009</v>
      </c>
      <c r="T156" s="161">
        <f t="shared" si="32"/>
        <v>2010</v>
      </c>
      <c r="U156" s="161">
        <f t="shared" si="32"/>
        <v>2011</v>
      </c>
      <c r="V156" s="161">
        <f t="shared" si="32"/>
        <v>2012</v>
      </c>
      <c r="W156" s="161">
        <f t="shared" si="32"/>
        <v>2013</v>
      </c>
      <c r="X156" s="161">
        <f t="shared" si="32"/>
        <v>2014</v>
      </c>
      <c r="Y156" s="161">
        <f t="shared" si="32"/>
        <v>2015</v>
      </c>
      <c r="Z156" s="161">
        <f t="shared" si="32"/>
        <v>2016</v>
      </c>
      <c r="AA156" s="161">
        <f t="shared" si="32"/>
        <v>2017</v>
      </c>
      <c r="AB156" s="161">
        <f t="shared" si="32"/>
        <v>2018</v>
      </c>
      <c r="AC156" s="161">
        <f t="shared" si="32"/>
        <v>2019</v>
      </c>
      <c r="AD156" s="161">
        <f t="shared" si="32"/>
        <v>2020</v>
      </c>
      <c r="AE156" s="161">
        <f t="shared" si="32"/>
        <v>2021</v>
      </c>
      <c r="AF156" s="161">
        <f t="shared" si="32"/>
        <v>2022</v>
      </c>
      <c r="AG156" s="161">
        <f t="shared" si="32"/>
        <v>2023</v>
      </c>
      <c r="AH156" s="161">
        <f t="shared" si="32"/>
        <v>2024</v>
      </c>
      <c r="AI156" s="161">
        <f t="shared" si="32"/>
        <v>2025</v>
      </c>
    </row>
    <row r="157" spans="1:41" ht="20.100000000000001" customHeight="1">
      <c r="K157" s="161" t="s">
        <v>99</v>
      </c>
      <c r="L157" s="161"/>
      <c r="M157" s="161"/>
      <c r="N157" s="161"/>
      <c r="O157" s="161"/>
      <c r="P157" s="161"/>
      <c r="Q157" s="161">
        <f>+Q154</f>
        <v>4826</v>
      </c>
      <c r="R157" s="162">
        <f>+B11</f>
        <v>4676</v>
      </c>
      <c r="S157" s="162">
        <f>+B12</f>
        <v>4525</v>
      </c>
      <c r="T157" s="162">
        <f>+B13</f>
        <v>4375</v>
      </c>
      <c r="U157" s="162">
        <f>+B14</f>
        <v>4224</v>
      </c>
      <c r="V157" s="162">
        <f>+B15</f>
        <v>4074</v>
      </c>
      <c r="W157" s="162">
        <f>+B16</f>
        <v>3924</v>
      </c>
      <c r="X157" s="162">
        <f>+B17</f>
        <v>3773</v>
      </c>
      <c r="Y157" s="162">
        <f>+B18</f>
        <v>3623</v>
      </c>
      <c r="Z157" s="162">
        <f>+B19</f>
        <v>3472</v>
      </c>
      <c r="AA157" s="162">
        <f>+B20</f>
        <v>3322</v>
      </c>
      <c r="AB157" s="162">
        <f>+B21</f>
        <v>3172</v>
      </c>
      <c r="AC157" s="162">
        <f>+B22</f>
        <v>3021</v>
      </c>
      <c r="AD157" s="162">
        <f>+B23</f>
        <v>2871</v>
      </c>
      <c r="AE157" s="162">
        <f>+B24</f>
        <v>2720</v>
      </c>
      <c r="AF157" s="162">
        <f>+B25</f>
        <v>2570</v>
      </c>
      <c r="AG157" s="162">
        <f>+B26</f>
        <v>2420</v>
      </c>
      <c r="AH157" s="162">
        <f>+B27</f>
        <v>2269</v>
      </c>
      <c r="AI157" s="162">
        <f>+B28</f>
        <v>2119</v>
      </c>
      <c r="AJ157" s="162"/>
      <c r="AK157" s="162"/>
      <c r="AL157" s="162"/>
      <c r="AM157" s="162"/>
      <c r="AN157" s="162"/>
      <c r="AO157" s="161"/>
    </row>
    <row r="158" spans="1:41" ht="20.100000000000001" customHeight="1">
      <c r="K158" s="161" t="s">
        <v>100</v>
      </c>
      <c r="L158" s="161"/>
      <c r="M158" s="161"/>
      <c r="N158" s="161"/>
      <c r="O158" s="161"/>
      <c r="P158" s="161"/>
      <c r="Q158" s="161">
        <f>+Q157</f>
        <v>4826</v>
      </c>
      <c r="R158" s="162">
        <f>+B37</f>
        <v>4516</v>
      </c>
      <c r="S158" s="162">
        <f>+B38</f>
        <v>4359</v>
      </c>
      <c r="T158" s="162">
        <f>+B39</f>
        <v>4201</v>
      </c>
      <c r="U158" s="162">
        <f>+B40</f>
        <v>4044</v>
      </c>
      <c r="V158" s="162">
        <f>+B41</f>
        <v>3887</v>
      </c>
      <c r="W158" s="162">
        <f>+B42</f>
        <v>3730</v>
      </c>
      <c r="X158" s="162">
        <f>+B43</f>
        <v>3573</v>
      </c>
      <c r="Y158" s="162">
        <f>+B44</f>
        <v>3416</v>
      </c>
      <c r="Z158" s="162">
        <f>+B45</f>
        <v>3259</v>
      </c>
      <c r="AA158" s="162">
        <f>+B46</f>
        <v>3101</v>
      </c>
      <c r="AB158" s="162">
        <f>+B47</f>
        <v>2944</v>
      </c>
      <c r="AC158" s="162">
        <f>+B48</f>
        <v>2787</v>
      </c>
      <c r="AD158" s="162">
        <f>+B49</f>
        <v>2630</v>
      </c>
      <c r="AE158" s="162">
        <f>+B50</f>
        <v>2473</v>
      </c>
      <c r="AF158" s="162">
        <f>+B51</f>
        <v>2316</v>
      </c>
      <c r="AG158" s="162">
        <f>+B52</f>
        <v>2159</v>
      </c>
      <c r="AH158" s="162">
        <f>+B53</f>
        <v>2001</v>
      </c>
      <c r="AI158" s="162">
        <f>+B54</f>
        <v>1844</v>
      </c>
      <c r="AJ158" s="162"/>
      <c r="AK158" s="162"/>
      <c r="AL158" s="162"/>
      <c r="AM158" s="162"/>
      <c r="AN158" s="162"/>
      <c r="AO158" s="161"/>
    </row>
    <row r="159" spans="1:41" ht="20.100000000000001" customHeight="1">
      <c r="K159" s="161" t="s">
        <v>101</v>
      </c>
      <c r="L159" s="161"/>
      <c r="M159" s="161"/>
      <c r="N159" s="161"/>
      <c r="O159" s="161"/>
      <c r="P159" s="161"/>
      <c r="Q159" s="161">
        <f>+Q158</f>
        <v>4826</v>
      </c>
      <c r="R159" s="162">
        <f>+B63</f>
        <v>4688</v>
      </c>
      <c r="S159" s="162">
        <f>+B64</f>
        <v>4554</v>
      </c>
      <c r="T159" s="162">
        <f>+B65</f>
        <v>4424</v>
      </c>
      <c r="U159" s="162">
        <f>+B66</f>
        <v>4298</v>
      </c>
      <c r="V159" s="162">
        <f>+B67</f>
        <v>4175</v>
      </c>
      <c r="W159" s="162">
        <f>+B68</f>
        <v>4056</v>
      </c>
      <c r="X159" s="162">
        <f>+B69</f>
        <v>3940</v>
      </c>
      <c r="Y159" s="162">
        <f>+B70</f>
        <v>3828</v>
      </c>
      <c r="Z159" s="162">
        <f>+B71</f>
        <v>3718</v>
      </c>
      <c r="AA159" s="162">
        <f>+B72</f>
        <v>3612</v>
      </c>
      <c r="AB159" s="162">
        <f>+B73</f>
        <v>3509</v>
      </c>
      <c r="AC159" s="162">
        <f>+B74</f>
        <v>3409</v>
      </c>
      <c r="AD159" s="162">
        <f>+B75</f>
        <v>3312</v>
      </c>
      <c r="AE159" s="162">
        <f>+B76</f>
        <v>3217</v>
      </c>
      <c r="AF159" s="162">
        <f>+B77</f>
        <v>3125</v>
      </c>
      <c r="AG159" s="162">
        <f>+B78</f>
        <v>3036</v>
      </c>
      <c r="AH159" s="162">
        <f>+B79</f>
        <v>2949</v>
      </c>
      <c r="AI159" s="162">
        <f>+B80</f>
        <v>2865</v>
      </c>
      <c r="AJ159" s="162"/>
      <c r="AK159" s="162"/>
      <c r="AL159" s="162"/>
      <c r="AM159" s="162"/>
      <c r="AN159" s="162"/>
      <c r="AO159" s="161"/>
    </row>
    <row r="160" spans="1:41" ht="20.100000000000001" customHeight="1">
      <c r="K160" s="161" t="s">
        <v>102</v>
      </c>
      <c r="L160" s="161"/>
      <c r="M160" s="161"/>
      <c r="N160" s="161"/>
      <c r="O160" s="161"/>
      <c r="P160" s="161"/>
      <c r="Q160" s="161">
        <f>+Q159</f>
        <v>4826</v>
      </c>
      <c r="R160" s="162" t="e">
        <f>+B89</f>
        <v>#VALUE!</v>
      </c>
      <c r="S160" s="162" t="e">
        <f>+B90</f>
        <v>#VALUE!</v>
      </c>
      <c r="T160" s="162" t="e">
        <f>+B91</f>
        <v>#VALUE!</v>
      </c>
      <c r="U160" s="162" t="e">
        <f>+B92</f>
        <v>#VALUE!</v>
      </c>
      <c r="V160" s="162" t="e">
        <f>+B93</f>
        <v>#VALUE!</v>
      </c>
      <c r="W160" s="162" t="e">
        <f>+B94</f>
        <v>#VALUE!</v>
      </c>
      <c r="X160" s="162" t="e">
        <f>+B95</f>
        <v>#VALUE!</v>
      </c>
      <c r="Y160" s="162" t="e">
        <f>+B96</f>
        <v>#VALUE!</v>
      </c>
      <c r="Z160" s="162" t="e">
        <f>+B97</f>
        <v>#VALUE!</v>
      </c>
      <c r="AA160" s="162" t="e">
        <f>+B98</f>
        <v>#VALUE!</v>
      </c>
      <c r="AB160" s="162" t="e">
        <f>+B99</f>
        <v>#VALUE!</v>
      </c>
      <c r="AC160" s="162" t="e">
        <f>+B100</f>
        <v>#VALUE!</v>
      </c>
      <c r="AD160" s="162" t="e">
        <f>+B101</f>
        <v>#VALUE!</v>
      </c>
      <c r="AE160" s="162" t="e">
        <f>+B102</f>
        <v>#VALUE!</v>
      </c>
      <c r="AF160" s="162" t="e">
        <f>+B103</f>
        <v>#VALUE!</v>
      </c>
      <c r="AG160" s="162" t="e">
        <f>+B104</f>
        <v>#VALUE!</v>
      </c>
      <c r="AH160" s="162" t="e">
        <f>+B105</f>
        <v>#VALUE!</v>
      </c>
      <c r="AI160" s="162" t="e">
        <f>+B106</f>
        <v>#VALUE!</v>
      </c>
      <c r="AJ160" s="161"/>
      <c r="AK160" s="161"/>
      <c r="AL160" s="161"/>
      <c r="AM160" s="161"/>
      <c r="AN160" s="161"/>
      <c r="AO160" s="161"/>
    </row>
    <row r="161" spans="11:41" ht="20.100000000000001" customHeight="1">
      <c r="K161" s="161" t="s">
        <v>103</v>
      </c>
      <c r="L161" s="161"/>
      <c r="M161" s="161"/>
      <c r="N161" s="161"/>
      <c r="O161" s="161"/>
      <c r="P161" s="161"/>
      <c r="Q161" s="161">
        <f>+Q160</f>
        <v>4826</v>
      </c>
      <c r="R161" s="162">
        <f>+B115</f>
        <v>4522</v>
      </c>
      <c r="S161" s="162">
        <f>+B116</f>
        <v>4370</v>
      </c>
      <c r="T161" s="162">
        <f>+B117</f>
        <v>4220</v>
      </c>
      <c r="U161" s="162">
        <f>+B118</f>
        <v>4072</v>
      </c>
      <c r="V161" s="162">
        <f>+B119</f>
        <v>3926</v>
      </c>
      <c r="W161" s="162">
        <f>+B120</f>
        <v>3783</v>
      </c>
      <c r="X161" s="162">
        <f>+B121</f>
        <v>3643</v>
      </c>
      <c r="Y161" s="162">
        <f>+B122</f>
        <v>3505</v>
      </c>
      <c r="Z161" s="162">
        <f>+B123</f>
        <v>3370</v>
      </c>
      <c r="AA161" s="162">
        <f>+B124</f>
        <v>3238</v>
      </c>
      <c r="AB161" s="162">
        <f>+B125</f>
        <v>3109</v>
      </c>
      <c r="AC161" s="162">
        <f>+B126</f>
        <v>2983</v>
      </c>
      <c r="AD161" s="162">
        <f>+B127</f>
        <v>2861</v>
      </c>
      <c r="AE161" s="162">
        <f>+B128</f>
        <v>2742</v>
      </c>
      <c r="AF161" s="162">
        <f>+B129</f>
        <v>2626</v>
      </c>
      <c r="AG161" s="162">
        <f>+B130</f>
        <v>2514</v>
      </c>
      <c r="AH161" s="162">
        <f>+B131</f>
        <v>2405</v>
      </c>
      <c r="AI161" s="162">
        <f>+B132</f>
        <v>2299</v>
      </c>
      <c r="AJ161" s="162"/>
      <c r="AK161" s="162"/>
      <c r="AL161" s="162"/>
      <c r="AM161" s="162"/>
      <c r="AN161" s="162"/>
      <c r="AO161" s="161"/>
    </row>
    <row r="162" spans="11:41" ht="20.100000000000001" customHeight="1">
      <c r="K162" s="161" t="s">
        <v>95</v>
      </c>
      <c r="L162" s="161"/>
      <c r="M162" s="161"/>
      <c r="N162" s="161"/>
      <c r="O162" s="161"/>
      <c r="P162" s="161"/>
      <c r="Q162" s="161">
        <f>+Q161</f>
        <v>4826</v>
      </c>
      <c r="R162" s="206">
        <f>+H136</f>
        <v>4599</v>
      </c>
      <c r="S162" s="206">
        <f>+H137</f>
        <v>4447.5</v>
      </c>
      <c r="T162" s="206">
        <f>+H138</f>
        <v>4297.5</v>
      </c>
      <c r="U162" s="206">
        <f>+H139</f>
        <v>4148</v>
      </c>
      <c r="V162" s="206">
        <f>+H140</f>
        <v>4000</v>
      </c>
      <c r="W162" s="175">
        <f>+H141</f>
        <v>3853.5</v>
      </c>
      <c r="X162" s="206">
        <f>+H142</f>
        <v>3708</v>
      </c>
      <c r="Y162" s="206">
        <f>+H143</f>
        <v>3564</v>
      </c>
      <c r="Z162" s="206">
        <f>+H144</f>
        <v>3421</v>
      </c>
      <c r="AA162" s="206">
        <f>+H145</f>
        <v>3280</v>
      </c>
      <c r="AB162" s="206">
        <f>+H146</f>
        <v>3140.5</v>
      </c>
      <c r="AC162" s="206">
        <f>+H147</f>
        <v>3002</v>
      </c>
      <c r="AD162" s="206">
        <f>+H148</f>
        <v>2866</v>
      </c>
      <c r="AE162" s="206">
        <f>+H149</f>
        <v>2731</v>
      </c>
      <c r="AF162" s="206">
        <f>+H150</f>
        <v>2598</v>
      </c>
      <c r="AG162" s="206">
        <f>+H151</f>
        <v>2467</v>
      </c>
      <c r="AH162" s="206">
        <f>+H152</f>
        <v>2337</v>
      </c>
      <c r="AI162" s="206">
        <f>+H153</f>
        <v>2209</v>
      </c>
      <c r="AJ162" s="161"/>
      <c r="AK162" s="161"/>
      <c r="AL162" s="161"/>
      <c r="AM162" s="161"/>
      <c r="AN162" s="161"/>
      <c r="AO162" s="161" t="s">
        <v>95</v>
      </c>
    </row>
    <row r="163" spans="11:41" ht="20.100000000000001" customHeight="1"/>
    <row r="164" spans="11:41" ht="20.100000000000001" customHeight="1"/>
    <row r="165" spans="11:41" ht="20.100000000000001" customHeight="1"/>
    <row r="166" spans="11:41" ht="20.100000000000001" customHeight="1"/>
    <row r="167" spans="11:41" ht="20.100000000000001" customHeight="1"/>
    <row r="168" spans="11:41" ht="20.100000000000001" customHeight="1"/>
    <row r="169" spans="11:41" ht="20.100000000000001" customHeight="1"/>
    <row r="170" spans="11:41" ht="20.100000000000001" customHeight="1"/>
    <row r="171" spans="11:41" ht="20.100000000000001" customHeight="1"/>
    <row r="172" spans="11:41" ht="20.100000000000001" customHeight="1"/>
    <row r="173" spans="11:41" ht="20.100000000000001" customHeight="1"/>
    <row r="174" spans="11:41" ht="20.100000000000001" customHeight="1"/>
    <row r="175" spans="11:41" ht="20.100000000000001" customHeight="1"/>
    <row r="176" spans="11:41" ht="20.100000000000001" customHeight="1"/>
    <row r="177" ht="20.100000000000001" customHeight="1"/>
    <row r="178" ht="20.100000000000001" customHeight="1"/>
    <row r="179" ht="20.100000000000001" customHeight="1"/>
  </sheetData>
  <phoneticPr fontId="50" type="noConversion"/>
  <pageMargins left="0.74803149606299213" right="0.74803149606299213" top="0.78740157480314965" bottom="0.78740157480314965" header="0.51181102362204722" footer="0.51181102362204722"/>
  <pageSetup paperSize="9" scale="70" fitToHeight="3" orientation="portrait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>
  <sheetPr codeName="Sheet55">
    <tabColor indexed="22"/>
  </sheetPr>
  <dimension ref="A1:AX248"/>
  <sheetViews>
    <sheetView workbookViewId="0"/>
  </sheetViews>
  <sheetFormatPr defaultRowHeight="15" customHeight="1"/>
  <cols>
    <col min="1" max="1" width="8.88671875" style="55"/>
    <col min="2" max="2" width="9.21875" style="55" customWidth="1"/>
    <col min="3" max="3" width="9.5546875" style="55" customWidth="1"/>
    <col min="4" max="4" width="9" style="55" customWidth="1"/>
    <col min="5" max="5" width="11.33203125" style="55" customWidth="1"/>
    <col min="6" max="6" width="9.44140625" style="55" customWidth="1"/>
    <col min="7" max="7" width="15.109375" style="55" bestFit="1" customWidth="1"/>
    <col min="8" max="8" width="12.88671875" style="55" bestFit="1" customWidth="1"/>
    <col min="9" max="9" width="11.5546875" style="55" bestFit="1" customWidth="1"/>
    <col min="10" max="16384" width="8.88671875" style="55"/>
  </cols>
  <sheetData>
    <row r="1" spans="1:12" ht="15" customHeight="1">
      <c r="A1" s="54" t="s">
        <v>115</v>
      </c>
    </row>
    <row r="2" spans="1:12" ht="15" customHeight="1">
      <c r="A2" s="54"/>
    </row>
    <row r="3" spans="1:12" ht="15" customHeight="1">
      <c r="A3" s="56" t="s">
        <v>74</v>
      </c>
      <c r="B3" s="57"/>
    </row>
    <row r="4" spans="1:12" ht="15" customHeight="1">
      <c r="A4" s="58" t="s">
        <v>32</v>
      </c>
      <c r="B4" s="59" t="s">
        <v>40</v>
      </c>
      <c r="C4" s="59" t="s">
        <v>33</v>
      </c>
      <c r="D4" s="60"/>
      <c r="E4" s="60"/>
      <c r="F4" s="61"/>
      <c r="G4" s="62"/>
      <c r="H4" s="63" t="s">
        <v>104</v>
      </c>
      <c r="I4" s="64">
        <f>RSQ(I5:I24,B5:B24)</f>
        <v>0.6653802173277773</v>
      </c>
    </row>
    <row r="5" spans="1:12" ht="15" customHeight="1">
      <c r="A5" s="65">
        <f>과거인구현황!A6</f>
        <v>1988</v>
      </c>
      <c r="B5" s="66">
        <f>+VLOOKUP(A5,과거인구현황!$A$6:$W$26,18,FALSE)</f>
        <v>8945</v>
      </c>
      <c r="C5" s="67">
        <v>0</v>
      </c>
      <c r="D5" s="53" t="s">
        <v>75</v>
      </c>
      <c r="E5" s="68">
        <f>(B24-B5)/C24</f>
        <v>112.36842105263158</v>
      </c>
      <c r="F5" s="69"/>
      <c r="G5" s="53"/>
      <c r="H5" s="69"/>
      <c r="I5" s="70">
        <f t="shared" ref="I5:I42" si="0">$E$5*C5+$E$6</f>
        <v>8945</v>
      </c>
      <c r="J5" s="71">
        <v>570570</v>
      </c>
      <c r="K5" s="55">
        <v>570570</v>
      </c>
      <c r="L5" s="55">
        <v>766</v>
      </c>
    </row>
    <row r="6" spans="1:12" ht="15" customHeight="1">
      <c r="A6" s="65">
        <f>과거인구현황!A7</f>
        <v>1989</v>
      </c>
      <c r="B6" s="66">
        <f>+VLOOKUP(A6,과거인구현황!$A$6:$W$26,18,FALSE)</f>
        <v>9401</v>
      </c>
      <c r="C6" s="67">
        <f t="shared" ref="C6:C42" si="1">C5+1</f>
        <v>1</v>
      </c>
      <c r="D6" s="53" t="s">
        <v>76</v>
      </c>
      <c r="E6" s="72">
        <f>B5</f>
        <v>8945</v>
      </c>
      <c r="F6" s="69"/>
      <c r="G6" s="53"/>
      <c r="H6" s="69"/>
      <c r="I6" s="70">
        <f t="shared" si="0"/>
        <v>9057.3684210526317</v>
      </c>
      <c r="J6" s="71">
        <v>583230</v>
      </c>
      <c r="K6" s="55">
        <v>583230</v>
      </c>
      <c r="L6" s="55">
        <v>1094</v>
      </c>
    </row>
    <row r="7" spans="1:12" ht="15" customHeight="1">
      <c r="A7" s="65">
        <f>과거인구현황!A8</f>
        <v>1990</v>
      </c>
      <c r="B7" s="66">
        <f>+VLOOKUP(A7,과거인구현황!$A$6:$W$26,18,FALSE)</f>
        <v>8706</v>
      </c>
      <c r="C7" s="67">
        <f t="shared" si="1"/>
        <v>2</v>
      </c>
      <c r="D7" s="53" t="s">
        <v>77</v>
      </c>
      <c r="E7" s="73">
        <f>I4</f>
        <v>0.6653802173277773</v>
      </c>
      <c r="F7" s="69"/>
      <c r="G7" s="53"/>
      <c r="H7" s="69"/>
      <c r="I7" s="70">
        <f t="shared" si="0"/>
        <v>9169.7368421052633</v>
      </c>
      <c r="J7" s="71">
        <v>590162</v>
      </c>
      <c r="K7" s="55">
        <v>590162</v>
      </c>
      <c r="L7" s="55">
        <v>1277</v>
      </c>
    </row>
    <row r="8" spans="1:12" ht="15" customHeight="1">
      <c r="A8" s="65">
        <f>과거인구현황!A9</f>
        <v>1991</v>
      </c>
      <c r="B8" s="66">
        <f>+VLOOKUP(A8,과거인구현황!$A$6:$W$26,18,FALSE)</f>
        <v>9085</v>
      </c>
      <c r="C8" s="67">
        <f t="shared" si="1"/>
        <v>3</v>
      </c>
      <c r="D8" s="53"/>
      <c r="E8" s="53"/>
      <c r="F8" s="69"/>
      <c r="G8" s="53"/>
      <c r="H8" s="69"/>
      <c r="I8" s="70">
        <f t="shared" si="0"/>
        <v>9282.105263157895</v>
      </c>
      <c r="J8" s="71">
        <v>600343</v>
      </c>
      <c r="K8" s="55">
        <v>600343</v>
      </c>
      <c r="L8" s="55">
        <v>1147</v>
      </c>
    </row>
    <row r="9" spans="1:12" ht="15" customHeight="1">
      <c r="A9" s="65">
        <f>과거인구현황!A10</f>
        <v>1992</v>
      </c>
      <c r="B9" s="66">
        <f>+VLOOKUP(A9,과거인구현황!$A$6:$W$26,18,FALSE)</f>
        <v>8744</v>
      </c>
      <c r="C9" s="67">
        <f t="shared" si="1"/>
        <v>4</v>
      </c>
      <c r="D9" s="53"/>
      <c r="E9" s="53"/>
      <c r="F9" s="69"/>
      <c r="G9" s="53"/>
      <c r="H9" s="69"/>
      <c r="I9" s="70">
        <f t="shared" si="0"/>
        <v>9394.4736842105267</v>
      </c>
      <c r="J9" s="71">
        <v>611921</v>
      </c>
      <c r="K9" s="55">
        <v>611921</v>
      </c>
      <c r="L9" s="55">
        <v>1355</v>
      </c>
    </row>
    <row r="10" spans="1:12" ht="15" customHeight="1">
      <c r="A10" s="65">
        <f>과거인구현황!A11</f>
        <v>1993</v>
      </c>
      <c r="B10" s="66">
        <f>+VLOOKUP(A10,과거인구현황!$A$6:$W$26,18,FALSE)</f>
        <v>8817</v>
      </c>
      <c r="C10" s="67">
        <f t="shared" si="1"/>
        <v>5</v>
      </c>
      <c r="D10" s="53"/>
      <c r="E10" s="53"/>
      <c r="F10" s="69"/>
      <c r="G10" s="53"/>
      <c r="H10" s="69"/>
      <c r="I10" s="70">
        <f t="shared" si="0"/>
        <v>9506.8421052631584</v>
      </c>
      <c r="J10" s="74">
        <v>622238</v>
      </c>
      <c r="K10" s="55">
        <v>622238</v>
      </c>
      <c r="L10" s="55">
        <v>1717</v>
      </c>
    </row>
    <row r="11" spans="1:12" ht="15" customHeight="1">
      <c r="A11" s="65">
        <f>과거인구현황!A12</f>
        <v>1994</v>
      </c>
      <c r="B11" s="66">
        <f>+VLOOKUP(A11,과거인구현황!$A$6:$W$26,18,FALSE)</f>
        <v>8907</v>
      </c>
      <c r="C11" s="67">
        <f t="shared" si="1"/>
        <v>6</v>
      </c>
      <c r="D11" s="53" t="s">
        <v>73</v>
      </c>
      <c r="E11" s="53"/>
      <c r="F11" s="69"/>
      <c r="G11" s="53"/>
      <c r="H11" s="69"/>
      <c r="I11" s="70">
        <f t="shared" si="0"/>
        <v>9619.21052631579</v>
      </c>
      <c r="J11" s="74">
        <v>623897</v>
      </c>
      <c r="K11" s="55">
        <v>623897</v>
      </c>
      <c r="L11" s="55">
        <v>1614</v>
      </c>
    </row>
    <row r="12" spans="1:12" ht="15" customHeight="1">
      <c r="A12" s="65">
        <f>과거인구현황!A13</f>
        <v>1995</v>
      </c>
      <c r="B12" s="66">
        <f>+VLOOKUP(A12,과거인구현황!$A$6:$W$26,18,FALSE)</f>
        <v>9561</v>
      </c>
      <c r="C12" s="67">
        <f t="shared" si="1"/>
        <v>7</v>
      </c>
      <c r="D12" s="53"/>
      <c r="E12" s="53"/>
      <c r="F12" s="69"/>
      <c r="G12" s="53"/>
      <c r="H12" s="69"/>
      <c r="I12" s="70">
        <f t="shared" si="0"/>
        <v>9731.5789473684217</v>
      </c>
      <c r="J12" s="74">
        <v>626069</v>
      </c>
      <c r="K12" s="55">
        <v>626069</v>
      </c>
      <c r="L12" s="55">
        <v>1584</v>
      </c>
    </row>
    <row r="13" spans="1:12" ht="15" customHeight="1">
      <c r="A13" s="65">
        <f>과거인구현황!A14</f>
        <v>1996</v>
      </c>
      <c r="B13" s="66">
        <f>+VLOOKUP(A13,과거인구현황!$A$6:$W$26,18,FALSE)</f>
        <v>10107</v>
      </c>
      <c r="C13" s="67">
        <f t="shared" si="1"/>
        <v>8</v>
      </c>
      <c r="D13" s="53"/>
      <c r="E13" s="53"/>
      <c r="F13" s="69"/>
      <c r="G13" s="53"/>
      <c r="H13" s="69"/>
      <c r="I13" s="70">
        <f t="shared" si="0"/>
        <v>9843.9473684210534</v>
      </c>
      <c r="J13" s="74">
        <v>618816</v>
      </c>
      <c r="K13" s="55">
        <v>620374</v>
      </c>
      <c r="L13" s="75">
        <v>1555</v>
      </c>
    </row>
    <row r="14" spans="1:12" ht="15" customHeight="1">
      <c r="A14" s="65">
        <f>과거인구현황!A15</f>
        <v>1997</v>
      </c>
      <c r="B14" s="66">
        <f>+VLOOKUP(A14,과거인구현황!$A$6:$W$26,18,FALSE)</f>
        <v>10416</v>
      </c>
      <c r="C14" s="67">
        <f t="shared" si="1"/>
        <v>9</v>
      </c>
      <c r="D14" s="53"/>
      <c r="E14" s="53"/>
      <c r="F14" s="69"/>
      <c r="G14" s="53"/>
      <c r="H14" s="69"/>
      <c r="I14" s="70">
        <f t="shared" si="0"/>
        <v>9956.3157894736833</v>
      </c>
      <c r="J14" s="74">
        <v>622472</v>
      </c>
      <c r="K14" s="55">
        <v>624260</v>
      </c>
      <c r="L14" s="75">
        <v>1788</v>
      </c>
    </row>
    <row r="15" spans="1:12" ht="15" customHeight="1">
      <c r="A15" s="65">
        <f>과거인구현황!A16</f>
        <v>1998</v>
      </c>
      <c r="B15" s="66">
        <f>+VLOOKUP(A15,과거인구현황!$A$6:$W$26,18,FALSE)</f>
        <v>10645</v>
      </c>
      <c r="C15" s="67">
        <f t="shared" si="1"/>
        <v>10</v>
      </c>
      <c r="D15" s="53"/>
      <c r="E15" s="53"/>
      <c r="F15" s="69"/>
      <c r="G15" s="53"/>
      <c r="H15" s="69"/>
      <c r="I15" s="70">
        <f t="shared" si="0"/>
        <v>10068.684210526317</v>
      </c>
      <c r="K15" s="55">
        <v>623804</v>
      </c>
      <c r="L15" s="75">
        <f>+J15-K15</f>
        <v>-623804</v>
      </c>
    </row>
    <row r="16" spans="1:12" ht="15" customHeight="1">
      <c r="A16" s="65">
        <f>과거인구현황!A17</f>
        <v>1999</v>
      </c>
      <c r="B16" s="66">
        <f>+VLOOKUP(A16,과거인구현황!$A$6:$W$26,18,FALSE)</f>
        <v>11923</v>
      </c>
      <c r="C16" s="67">
        <f t="shared" si="1"/>
        <v>11</v>
      </c>
      <c r="D16" s="53"/>
      <c r="E16" s="53"/>
      <c r="F16" s="69"/>
      <c r="G16" s="53"/>
      <c r="H16" s="69"/>
      <c r="I16" s="70">
        <f t="shared" si="0"/>
        <v>10181.052631578947</v>
      </c>
      <c r="L16" s="75"/>
    </row>
    <row r="17" spans="1:12" ht="15" customHeight="1">
      <c r="A17" s="65">
        <f>과거인구현황!A18</f>
        <v>2000</v>
      </c>
      <c r="B17" s="66">
        <f>+VLOOKUP(A17,과거인구현황!$A$6:$W$26,18,FALSE)</f>
        <v>12487</v>
      </c>
      <c r="C17" s="67">
        <f t="shared" si="1"/>
        <v>12</v>
      </c>
      <c r="D17" s="53"/>
      <c r="E17" s="53"/>
      <c r="F17" s="69"/>
      <c r="G17" s="53"/>
      <c r="H17" s="69"/>
      <c r="I17" s="70">
        <f t="shared" si="0"/>
        <v>10293.421052631578</v>
      </c>
      <c r="L17" s="75"/>
    </row>
    <row r="18" spans="1:12" ht="15" customHeight="1">
      <c r="A18" s="65">
        <f>과거인구현황!A19</f>
        <v>2001</v>
      </c>
      <c r="B18" s="66">
        <f>+VLOOKUP(A18,과거인구현황!$A$6:$W$26,18,FALSE)</f>
        <v>12310</v>
      </c>
      <c r="C18" s="67">
        <f t="shared" si="1"/>
        <v>13</v>
      </c>
      <c r="D18" s="53"/>
      <c r="E18" s="53"/>
      <c r="F18" s="69"/>
      <c r="G18" s="53"/>
      <c r="H18" s="69"/>
      <c r="I18" s="70">
        <f t="shared" si="0"/>
        <v>10405.78947368421</v>
      </c>
      <c r="L18" s="75"/>
    </row>
    <row r="19" spans="1:12" ht="15" customHeight="1">
      <c r="A19" s="65">
        <f>과거인구현황!A20</f>
        <v>2002</v>
      </c>
      <c r="B19" s="66">
        <f>+VLOOKUP(A19,과거인구현황!$A$6:$W$26,18,FALSE)</f>
        <v>12027</v>
      </c>
      <c r="C19" s="67">
        <f t="shared" si="1"/>
        <v>14</v>
      </c>
      <c r="D19" s="53"/>
      <c r="E19" s="53"/>
      <c r="F19" s="69"/>
      <c r="G19" s="53"/>
      <c r="H19" s="69"/>
      <c r="I19" s="70">
        <f t="shared" si="0"/>
        <v>10518.157894736842</v>
      </c>
      <c r="L19" s="75"/>
    </row>
    <row r="20" spans="1:12" ht="15" customHeight="1">
      <c r="A20" s="65">
        <f>과거인구현황!A21</f>
        <v>2003</v>
      </c>
      <c r="B20" s="66">
        <f>+VLOOKUP(A20,과거인구현황!$A$6:$W$26,18,FALSE)</f>
        <v>11848</v>
      </c>
      <c r="C20" s="67">
        <f t="shared" si="1"/>
        <v>15</v>
      </c>
      <c r="D20" s="53"/>
      <c r="E20" s="53"/>
      <c r="F20" s="69"/>
      <c r="G20" s="53"/>
      <c r="H20" s="69"/>
      <c r="I20" s="70">
        <f t="shared" si="0"/>
        <v>10630.526315789473</v>
      </c>
      <c r="L20" s="75"/>
    </row>
    <row r="21" spans="1:12" ht="15" customHeight="1">
      <c r="A21" s="65">
        <f>과거인구현황!A22</f>
        <v>2004</v>
      </c>
      <c r="B21" s="66">
        <f>+VLOOKUP(A21,과거인구현황!$A$6:$W$26,18,FALSE)</f>
        <v>11403</v>
      </c>
      <c r="C21" s="67">
        <f t="shared" si="1"/>
        <v>16</v>
      </c>
      <c r="D21" s="53"/>
      <c r="E21" s="53"/>
      <c r="F21" s="69"/>
      <c r="G21" s="53"/>
      <c r="H21" s="69"/>
      <c r="I21" s="70">
        <f t="shared" si="0"/>
        <v>10742.894736842105</v>
      </c>
      <c r="L21" s="75"/>
    </row>
    <row r="22" spans="1:12" ht="15" customHeight="1">
      <c r="A22" s="65">
        <f>과거인구현황!A23</f>
        <v>2005</v>
      </c>
      <c r="B22" s="66">
        <f>+VLOOKUP(A22,과거인구현황!$A$6:$W$26,18,FALSE)</f>
        <v>11136</v>
      </c>
      <c r="C22" s="67">
        <f t="shared" si="1"/>
        <v>17</v>
      </c>
      <c r="D22" s="53"/>
      <c r="E22" s="53"/>
      <c r="F22" s="69"/>
      <c r="G22" s="53"/>
      <c r="H22" s="69"/>
      <c r="I22" s="70">
        <f t="shared" si="0"/>
        <v>10855.263157894737</v>
      </c>
      <c r="L22" s="75"/>
    </row>
    <row r="23" spans="1:12" ht="15" customHeight="1">
      <c r="A23" s="65">
        <f>과거인구현황!A24</f>
        <v>2006</v>
      </c>
      <c r="B23" s="66">
        <f>+VLOOKUP(A23,과거인구현황!$A$6:$W$26,18,FALSE)</f>
        <v>11152</v>
      </c>
      <c r="C23" s="67">
        <f t="shared" si="1"/>
        <v>18</v>
      </c>
      <c r="D23" s="53"/>
      <c r="E23" s="53"/>
      <c r="F23" s="69"/>
      <c r="G23" s="53"/>
      <c r="H23" s="69"/>
      <c r="I23" s="70">
        <f t="shared" si="0"/>
        <v>10967.631578947368</v>
      </c>
      <c r="L23" s="75"/>
    </row>
    <row r="24" spans="1:12" ht="15" customHeight="1" thickBot="1">
      <c r="A24" s="97">
        <f>과거인구현황!A25</f>
        <v>2007</v>
      </c>
      <c r="B24" s="185">
        <f>+VLOOKUP(A24,과거인구현황!$A$6:$W$26,18,FALSE)</f>
        <v>11080</v>
      </c>
      <c r="C24" s="99">
        <f t="shared" si="1"/>
        <v>19</v>
      </c>
      <c r="D24" s="101"/>
      <c r="E24" s="101"/>
      <c r="F24" s="100"/>
      <c r="G24" s="101"/>
      <c r="H24" s="100"/>
      <c r="I24" s="102">
        <f t="shared" si="0"/>
        <v>11080</v>
      </c>
      <c r="L24" s="75"/>
    </row>
    <row r="25" spans="1:12" ht="15" customHeight="1" thickTop="1">
      <c r="A25" s="255">
        <v>2008</v>
      </c>
      <c r="B25" s="81">
        <f t="shared" ref="B25:B42" si="2">ROUND($E$5*C25+$E$6,0)</f>
        <v>11192</v>
      </c>
      <c r="C25" s="77">
        <f t="shared" si="1"/>
        <v>20</v>
      </c>
      <c r="D25" s="256"/>
      <c r="E25" s="256"/>
      <c r="F25" s="78"/>
      <c r="G25" s="256"/>
      <c r="H25" s="78"/>
      <c r="I25" s="79">
        <f t="shared" si="0"/>
        <v>11192.368421052632</v>
      </c>
      <c r="L25" s="75"/>
    </row>
    <row r="26" spans="1:12" ht="15" customHeight="1">
      <c r="A26" s="80">
        <v>2009</v>
      </c>
      <c r="B26" s="81">
        <f t="shared" si="2"/>
        <v>11305</v>
      </c>
      <c r="C26" s="67">
        <f>C25+1</f>
        <v>21</v>
      </c>
      <c r="D26" s="69"/>
      <c r="E26" s="69"/>
      <c r="F26" s="69"/>
      <c r="G26" s="69"/>
      <c r="H26" s="69"/>
      <c r="I26" s="70">
        <f t="shared" si="0"/>
        <v>11304.736842105263</v>
      </c>
    </row>
    <row r="27" spans="1:12" ht="15" customHeight="1">
      <c r="A27" s="80">
        <v>2010</v>
      </c>
      <c r="B27" s="81">
        <f t="shared" si="2"/>
        <v>11417</v>
      </c>
      <c r="C27" s="82">
        <f t="shared" si="1"/>
        <v>22</v>
      </c>
      <c r="D27" s="69"/>
      <c r="E27" s="69"/>
      <c r="F27" s="69"/>
      <c r="G27" s="69"/>
      <c r="H27" s="69"/>
      <c r="I27" s="70">
        <f t="shared" si="0"/>
        <v>11417.105263157895</v>
      </c>
    </row>
    <row r="28" spans="1:12" ht="15" customHeight="1">
      <c r="A28" s="80">
        <v>2011</v>
      </c>
      <c r="B28" s="81">
        <f t="shared" si="2"/>
        <v>11529</v>
      </c>
      <c r="C28" s="82">
        <f t="shared" si="1"/>
        <v>23</v>
      </c>
      <c r="D28" s="69"/>
      <c r="E28" s="69"/>
      <c r="F28" s="69"/>
      <c r="G28" s="69"/>
      <c r="H28" s="69"/>
      <c r="I28" s="70">
        <f t="shared" si="0"/>
        <v>11529.473684210527</v>
      </c>
    </row>
    <row r="29" spans="1:12" ht="15" customHeight="1">
      <c r="A29" s="80">
        <v>2012</v>
      </c>
      <c r="B29" s="81">
        <f t="shared" si="2"/>
        <v>11642</v>
      </c>
      <c r="C29" s="82">
        <f t="shared" si="1"/>
        <v>24</v>
      </c>
      <c r="D29" s="69"/>
      <c r="E29" s="69"/>
      <c r="F29" s="69"/>
      <c r="G29" s="69"/>
      <c r="H29" s="69"/>
      <c r="I29" s="70">
        <f t="shared" si="0"/>
        <v>11641.842105263158</v>
      </c>
    </row>
    <row r="30" spans="1:12" ht="15" customHeight="1">
      <c r="A30" s="80">
        <v>2013</v>
      </c>
      <c r="B30" s="81">
        <f t="shared" si="2"/>
        <v>11754</v>
      </c>
      <c r="C30" s="82">
        <f t="shared" si="1"/>
        <v>25</v>
      </c>
      <c r="D30" s="69"/>
      <c r="E30" s="69"/>
      <c r="F30" s="69"/>
      <c r="G30" s="69"/>
      <c r="H30" s="69"/>
      <c r="I30" s="70">
        <f t="shared" si="0"/>
        <v>11754.21052631579</v>
      </c>
    </row>
    <row r="31" spans="1:12" ht="15" customHeight="1">
      <c r="A31" s="80">
        <v>2014</v>
      </c>
      <c r="B31" s="81">
        <f t="shared" si="2"/>
        <v>11867</v>
      </c>
      <c r="C31" s="82">
        <f t="shared" si="1"/>
        <v>26</v>
      </c>
      <c r="D31" s="69"/>
      <c r="E31" s="69"/>
      <c r="F31" s="69"/>
      <c r="G31" s="69"/>
      <c r="H31" s="69"/>
      <c r="I31" s="70">
        <f t="shared" si="0"/>
        <v>11866.57894736842</v>
      </c>
    </row>
    <row r="32" spans="1:12" ht="15" customHeight="1">
      <c r="A32" s="80">
        <v>2015</v>
      </c>
      <c r="B32" s="81">
        <f t="shared" si="2"/>
        <v>11979</v>
      </c>
      <c r="C32" s="82">
        <f t="shared" si="1"/>
        <v>27</v>
      </c>
      <c r="D32" s="69"/>
      <c r="E32" s="69"/>
      <c r="F32" s="69"/>
      <c r="G32" s="69"/>
      <c r="H32" s="69"/>
      <c r="I32" s="70">
        <f t="shared" si="0"/>
        <v>11978.947368421053</v>
      </c>
    </row>
    <row r="33" spans="1:9" ht="15" customHeight="1">
      <c r="A33" s="80">
        <v>2016</v>
      </c>
      <c r="B33" s="81">
        <f t="shared" si="2"/>
        <v>12091</v>
      </c>
      <c r="C33" s="82">
        <f t="shared" si="1"/>
        <v>28</v>
      </c>
      <c r="D33" s="69"/>
      <c r="E33" s="69"/>
      <c r="F33" s="69"/>
      <c r="G33" s="69"/>
      <c r="H33" s="69"/>
      <c r="I33" s="70">
        <f t="shared" si="0"/>
        <v>12091.315789473683</v>
      </c>
    </row>
    <row r="34" spans="1:9" ht="15" customHeight="1">
      <c r="A34" s="80">
        <v>2017</v>
      </c>
      <c r="B34" s="81">
        <f t="shared" si="2"/>
        <v>12204</v>
      </c>
      <c r="C34" s="82">
        <f t="shared" si="1"/>
        <v>29</v>
      </c>
      <c r="D34" s="69"/>
      <c r="E34" s="69"/>
      <c r="F34" s="69"/>
      <c r="G34" s="69"/>
      <c r="H34" s="69"/>
      <c r="I34" s="70">
        <f t="shared" si="0"/>
        <v>12203.684210526317</v>
      </c>
    </row>
    <row r="35" spans="1:9" ht="15" customHeight="1">
      <c r="A35" s="80">
        <v>2018</v>
      </c>
      <c r="B35" s="81">
        <f t="shared" si="2"/>
        <v>12316</v>
      </c>
      <c r="C35" s="82">
        <f t="shared" si="1"/>
        <v>30</v>
      </c>
      <c r="D35" s="69"/>
      <c r="E35" s="69"/>
      <c r="F35" s="69"/>
      <c r="G35" s="69"/>
      <c r="H35" s="69"/>
      <c r="I35" s="70">
        <f t="shared" si="0"/>
        <v>12316.052631578947</v>
      </c>
    </row>
    <row r="36" spans="1:9" ht="15" customHeight="1">
      <c r="A36" s="80">
        <v>2019</v>
      </c>
      <c r="B36" s="81">
        <f t="shared" si="2"/>
        <v>12428</v>
      </c>
      <c r="C36" s="82">
        <f t="shared" si="1"/>
        <v>31</v>
      </c>
      <c r="D36" s="69"/>
      <c r="E36" s="69"/>
      <c r="F36" s="69"/>
      <c r="G36" s="69"/>
      <c r="H36" s="69"/>
      <c r="I36" s="70">
        <f t="shared" si="0"/>
        <v>12428.421052631578</v>
      </c>
    </row>
    <row r="37" spans="1:9" ht="15" customHeight="1">
      <c r="A37" s="80">
        <v>2020</v>
      </c>
      <c r="B37" s="81">
        <f t="shared" si="2"/>
        <v>12541</v>
      </c>
      <c r="C37" s="82">
        <f t="shared" si="1"/>
        <v>32</v>
      </c>
      <c r="D37" s="69"/>
      <c r="E37" s="69"/>
      <c r="F37" s="69"/>
      <c r="G37" s="69"/>
      <c r="H37" s="69"/>
      <c r="I37" s="70">
        <f t="shared" si="0"/>
        <v>12540.78947368421</v>
      </c>
    </row>
    <row r="38" spans="1:9" ht="15" customHeight="1">
      <c r="A38" s="80">
        <v>2021</v>
      </c>
      <c r="B38" s="81">
        <f t="shared" si="2"/>
        <v>12653</v>
      </c>
      <c r="C38" s="82">
        <f t="shared" si="1"/>
        <v>33</v>
      </c>
      <c r="D38" s="69"/>
      <c r="E38" s="69"/>
      <c r="F38" s="69"/>
      <c r="G38" s="69"/>
      <c r="H38" s="69"/>
      <c r="I38" s="70">
        <f t="shared" si="0"/>
        <v>12653.157894736842</v>
      </c>
    </row>
    <row r="39" spans="1:9" ht="15" customHeight="1">
      <c r="A39" s="80">
        <v>2022</v>
      </c>
      <c r="B39" s="81">
        <f t="shared" si="2"/>
        <v>12766</v>
      </c>
      <c r="C39" s="82">
        <f t="shared" si="1"/>
        <v>34</v>
      </c>
      <c r="D39" s="69"/>
      <c r="E39" s="69"/>
      <c r="F39" s="69"/>
      <c r="G39" s="69"/>
      <c r="H39" s="69"/>
      <c r="I39" s="70">
        <f t="shared" si="0"/>
        <v>12765.526315789473</v>
      </c>
    </row>
    <row r="40" spans="1:9" ht="15" customHeight="1">
      <c r="A40" s="80">
        <v>2023</v>
      </c>
      <c r="B40" s="81">
        <f t="shared" si="2"/>
        <v>12878</v>
      </c>
      <c r="C40" s="82">
        <f t="shared" si="1"/>
        <v>35</v>
      </c>
      <c r="D40" s="69"/>
      <c r="E40" s="69"/>
      <c r="F40" s="69"/>
      <c r="G40" s="69"/>
      <c r="H40" s="69"/>
      <c r="I40" s="70">
        <f t="shared" si="0"/>
        <v>12877.894736842105</v>
      </c>
    </row>
    <row r="41" spans="1:9" ht="15" customHeight="1">
      <c r="A41" s="80">
        <v>2024</v>
      </c>
      <c r="B41" s="81">
        <f t="shared" si="2"/>
        <v>12990</v>
      </c>
      <c r="C41" s="67">
        <f t="shared" si="1"/>
        <v>36</v>
      </c>
      <c r="D41" s="83"/>
      <c r="E41" s="69"/>
      <c r="F41" s="69"/>
      <c r="G41" s="69"/>
      <c r="H41" s="84"/>
      <c r="I41" s="70">
        <f t="shared" si="0"/>
        <v>12990.263157894737</v>
      </c>
    </row>
    <row r="42" spans="1:9" ht="15" customHeight="1">
      <c r="A42" s="85">
        <v>2025</v>
      </c>
      <c r="B42" s="86">
        <f t="shared" si="2"/>
        <v>13103</v>
      </c>
      <c r="C42" s="87">
        <f t="shared" si="1"/>
        <v>37</v>
      </c>
      <c r="D42" s="88"/>
      <c r="E42" s="89"/>
      <c r="F42" s="89"/>
      <c r="G42" s="89"/>
      <c r="H42" s="90"/>
      <c r="I42" s="91">
        <f t="shared" si="0"/>
        <v>13102.631578947368</v>
      </c>
    </row>
    <row r="43" spans="1:9" ht="15" customHeight="1">
      <c r="A43" s="56" t="s">
        <v>78</v>
      </c>
      <c r="B43" s="92"/>
      <c r="I43" s="89"/>
    </row>
    <row r="44" spans="1:9" ht="15" customHeight="1">
      <c r="A44" s="58" t="s">
        <v>32</v>
      </c>
      <c r="B44" s="59" t="s">
        <v>40</v>
      </c>
      <c r="C44" s="59" t="s">
        <v>33</v>
      </c>
      <c r="D44" s="60"/>
      <c r="E44" s="60"/>
      <c r="F44" s="61"/>
      <c r="G44" s="62"/>
      <c r="H44" s="63" t="s">
        <v>104</v>
      </c>
      <c r="I44" s="64">
        <f>RSQ(I45:I65,B45:B65)</f>
        <v>0.69719516301344231</v>
      </c>
    </row>
    <row r="45" spans="1:9" ht="15" customHeight="1">
      <c r="A45" s="65">
        <f t="shared" ref="A45:B60" si="3">A5</f>
        <v>1988</v>
      </c>
      <c r="B45" s="93">
        <f t="shared" si="3"/>
        <v>8945</v>
      </c>
      <c r="C45" s="67">
        <v>0</v>
      </c>
      <c r="D45" s="53" t="s">
        <v>75</v>
      </c>
      <c r="E45" s="68">
        <f>INDEX(LINEST(B45:B64,C45:C64),1)</f>
        <v>183.51729323308271</v>
      </c>
      <c r="F45" s="69"/>
      <c r="G45" s="53"/>
      <c r="H45" s="69"/>
      <c r="I45" s="94">
        <f t="shared" ref="I45:I82" si="4">$E$45*C45+$E$46</f>
        <v>8691.5857142857149</v>
      </c>
    </row>
    <row r="46" spans="1:9" ht="15" customHeight="1">
      <c r="A46" s="65">
        <f t="shared" si="3"/>
        <v>1989</v>
      </c>
      <c r="B46" s="93">
        <f t="shared" si="3"/>
        <v>9401</v>
      </c>
      <c r="C46" s="67">
        <f t="shared" ref="C46:C82" si="5">C45+1</f>
        <v>1</v>
      </c>
      <c r="D46" s="53" t="s">
        <v>76</v>
      </c>
      <c r="E46" s="72">
        <f>INDEX(LINEST(B45:B64,C45:C64),2)</f>
        <v>8691.5857142857149</v>
      </c>
      <c r="F46" s="69"/>
      <c r="G46" s="53"/>
      <c r="H46" s="69"/>
      <c r="I46" s="70">
        <f t="shared" si="4"/>
        <v>8875.1030075187973</v>
      </c>
    </row>
    <row r="47" spans="1:9" ht="15" customHeight="1">
      <c r="A47" s="65">
        <f t="shared" si="3"/>
        <v>1990</v>
      </c>
      <c r="B47" s="93">
        <f t="shared" si="3"/>
        <v>8706</v>
      </c>
      <c r="C47" s="67">
        <f t="shared" si="5"/>
        <v>2</v>
      </c>
      <c r="D47" s="53" t="s">
        <v>77</v>
      </c>
      <c r="E47" s="73">
        <f>I44</f>
        <v>0.69719516301344231</v>
      </c>
      <c r="F47" s="69"/>
      <c r="G47" s="53"/>
      <c r="H47" s="69"/>
      <c r="I47" s="70">
        <f t="shared" si="4"/>
        <v>9058.6203007518798</v>
      </c>
    </row>
    <row r="48" spans="1:9" ht="15" customHeight="1">
      <c r="A48" s="65">
        <f t="shared" si="3"/>
        <v>1991</v>
      </c>
      <c r="B48" s="93">
        <f t="shared" si="3"/>
        <v>9085</v>
      </c>
      <c r="C48" s="67">
        <f t="shared" si="5"/>
        <v>3</v>
      </c>
      <c r="D48" s="53"/>
      <c r="E48" s="53"/>
      <c r="F48" s="69"/>
      <c r="G48" s="53"/>
      <c r="H48" s="69"/>
      <c r="I48" s="70">
        <f t="shared" si="4"/>
        <v>9242.1375939849622</v>
      </c>
    </row>
    <row r="49" spans="1:9" ht="15" customHeight="1">
      <c r="A49" s="65">
        <f t="shared" si="3"/>
        <v>1992</v>
      </c>
      <c r="B49" s="93">
        <f t="shared" si="3"/>
        <v>8744</v>
      </c>
      <c r="C49" s="67">
        <f t="shared" si="5"/>
        <v>4</v>
      </c>
      <c r="D49" s="53"/>
      <c r="E49" s="53"/>
      <c r="F49" s="69"/>
      <c r="G49" s="95"/>
      <c r="H49" s="69"/>
      <c r="I49" s="70">
        <f t="shared" si="4"/>
        <v>9425.6548872180465</v>
      </c>
    </row>
    <row r="50" spans="1:9" ht="15" customHeight="1">
      <c r="A50" s="65">
        <f t="shared" si="3"/>
        <v>1993</v>
      </c>
      <c r="B50" s="93">
        <f t="shared" si="3"/>
        <v>8817</v>
      </c>
      <c r="C50" s="67">
        <f t="shared" si="5"/>
        <v>5</v>
      </c>
      <c r="D50" s="53"/>
      <c r="E50" s="53"/>
      <c r="F50" s="69"/>
      <c r="G50" s="53"/>
      <c r="H50" s="69"/>
      <c r="I50" s="70">
        <f t="shared" si="4"/>
        <v>9609.172180451129</v>
      </c>
    </row>
    <row r="51" spans="1:9" ht="15" customHeight="1">
      <c r="A51" s="65">
        <f t="shared" si="3"/>
        <v>1994</v>
      </c>
      <c r="B51" s="93">
        <f t="shared" si="3"/>
        <v>8907</v>
      </c>
      <c r="C51" s="67">
        <f t="shared" si="5"/>
        <v>6</v>
      </c>
      <c r="D51" s="53" t="s">
        <v>73</v>
      </c>
      <c r="E51" s="53"/>
      <c r="F51" s="69"/>
      <c r="G51" s="53"/>
      <c r="H51" s="69"/>
      <c r="I51" s="70">
        <f t="shared" si="4"/>
        <v>9792.6894736842114</v>
      </c>
    </row>
    <row r="52" spans="1:9" ht="15" customHeight="1">
      <c r="A52" s="65">
        <f t="shared" si="3"/>
        <v>1995</v>
      </c>
      <c r="B52" s="93">
        <f t="shared" si="3"/>
        <v>9561</v>
      </c>
      <c r="C52" s="67">
        <f t="shared" si="5"/>
        <v>7</v>
      </c>
      <c r="D52" s="53"/>
      <c r="E52" s="53"/>
      <c r="F52" s="69"/>
      <c r="G52" s="53"/>
      <c r="H52" s="69"/>
      <c r="I52" s="70">
        <f t="shared" si="4"/>
        <v>9976.2067669172939</v>
      </c>
    </row>
    <row r="53" spans="1:9" ht="15" customHeight="1">
      <c r="A53" s="65">
        <f t="shared" si="3"/>
        <v>1996</v>
      </c>
      <c r="B53" s="93">
        <f t="shared" si="3"/>
        <v>10107</v>
      </c>
      <c r="C53" s="67">
        <f t="shared" si="5"/>
        <v>8</v>
      </c>
      <c r="D53" s="53"/>
      <c r="E53" s="53"/>
      <c r="F53" s="69"/>
      <c r="G53" s="53"/>
      <c r="H53" s="69"/>
      <c r="I53" s="70">
        <f t="shared" si="4"/>
        <v>10159.724060150376</v>
      </c>
    </row>
    <row r="54" spans="1:9" ht="15" customHeight="1">
      <c r="A54" s="65">
        <f t="shared" si="3"/>
        <v>1997</v>
      </c>
      <c r="B54" s="93">
        <f t="shared" si="3"/>
        <v>10416</v>
      </c>
      <c r="C54" s="67">
        <f t="shared" si="5"/>
        <v>9</v>
      </c>
      <c r="D54" s="69"/>
      <c r="E54" s="69"/>
      <c r="F54" s="69"/>
      <c r="G54" s="53"/>
      <c r="H54" s="53"/>
      <c r="I54" s="70">
        <f t="shared" si="4"/>
        <v>10343.241353383459</v>
      </c>
    </row>
    <row r="55" spans="1:9" ht="15" customHeight="1">
      <c r="A55" s="65">
        <f t="shared" si="3"/>
        <v>1998</v>
      </c>
      <c r="B55" s="93">
        <f t="shared" si="3"/>
        <v>10645</v>
      </c>
      <c r="C55" s="67">
        <f t="shared" si="5"/>
        <v>10</v>
      </c>
      <c r="D55" s="69"/>
      <c r="E55" s="69"/>
      <c r="F55" s="69"/>
      <c r="G55" s="53"/>
      <c r="H55" s="53"/>
      <c r="I55" s="70">
        <f t="shared" si="4"/>
        <v>10526.758646616541</v>
      </c>
    </row>
    <row r="56" spans="1:9" ht="15" customHeight="1">
      <c r="A56" s="65">
        <f t="shared" si="3"/>
        <v>1999</v>
      </c>
      <c r="B56" s="93">
        <f t="shared" si="3"/>
        <v>11923</v>
      </c>
      <c r="C56" s="67">
        <f t="shared" si="5"/>
        <v>11</v>
      </c>
      <c r="D56" s="69"/>
      <c r="E56" s="69"/>
      <c r="F56" s="69"/>
      <c r="G56" s="53"/>
      <c r="H56" s="53"/>
      <c r="I56" s="70">
        <f t="shared" si="4"/>
        <v>10710.275939849624</v>
      </c>
    </row>
    <row r="57" spans="1:9" ht="15" customHeight="1">
      <c r="A57" s="65">
        <f t="shared" si="3"/>
        <v>2000</v>
      </c>
      <c r="B57" s="93">
        <f t="shared" si="3"/>
        <v>12487</v>
      </c>
      <c r="C57" s="67">
        <f t="shared" si="5"/>
        <v>12</v>
      </c>
      <c r="D57" s="69"/>
      <c r="E57" s="69"/>
      <c r="F57" s="69"/>
      <c r="G57" s="53"/>
      <c r="H57" s="53"/>
      <c r="I57" s="70">
        <f t="shared" si="4"/>
        <v>10893.793233082708</v>
      </c>
    </row>
    <row r="58" spans="1:9" ht="15" customHeight="1">
      <c r="A58" s="65">
        <f t="shared" si="3"/>
        <v>2001</v>
      </c>
      <c r="B58" s="93">
        <f t="shared" si="3"/>
        <v>12310</v>
      </c>
      <c r="C58" s="67">
        <f t="shared" si="5"/>
        <v>13</v>
      </c>
      <c r="D58" s="69"/>
      <c r="E58" s="96"/>
      <c r="F58" s="69"/>
      <c r="G58" s="53"/>
      <c r="H58" s="53"/>
      <c r="I58" s="70">
        <f t="shared" si="4"/>
        <v>11077.31052631579</v>
      </c>
    </row>
    <row r="59" spans="1:9" ht="15" customHeight="1">
      <c r="A59" s="65">
        <f t="shared" si="3"/>
        <v>2002</v>
      </c>
      <c r="B59" s="93">
        <f t="shared" si="3"/>
        <v>12027</v>
      </c>
      <c r="C59" s="67">
        <f t="shared" si="5"/>
        <v>14</v>
      </c>
      <c r="D59" s="69"/>
      <c r="E59" s="69"/>
      <c r="F59" s="69"/>
      <c r="G59" s="53"/>
      <c r="H59" s="53"/>
      <c r="I59" s="70">
        <f t="shared" si="4"/>
        <v>11260.827819548873</v>
      </c>
    </row>
    <row r="60" spans="1:9" ht="15" customHeight="1">
      <c r="A60" s="65">
        <f t="shared" si="3"/>
        <v>2003</v>
      </c>
      <c r="B60" s="93">
        <f t="shared" si="3"/>
        <v>11848</v>
      </c>
      <c r="C60" s="67">
        <f t="shared" si="5"/>
        <v>15</v>
      </c>
      <c r="D60" s="69"/>
      <c r="E60" s="69"/>
      <c r="F60" s="69"/>
      <c r="G60" s="53"/>
      <c r="H60" s="53"/>
      <c r="I60" s="70">
        <f t="shared" si="4"/>
        <v>11444.345112781955</v>
      </c>
    </row>
    <row r="61" spans="1:9" ht="15" customHeight="1">
      <c r="A61" s="65">
        <f t="shared" ref="A61:B65" si="6">A21</f>
        <v>2004</v>
      </c>
      <c r="B61" s="93">
        <f t="shared" si="6"/>
        <v>11403</v>
      </c>
      <c r="C61" s="67">
        <f t="shared" si="5"/>
        <v>16</v>
      </c>
      <c r="D61" s="69"/>
      <c r="E61" s="69"/>
      <c r="F61" s="69"/>
      <c r="G61" s="53"/>
      <c r="H61" s="53"/>
      <c r="I61" s="70">
        <f t="shared" si="4"/>
        <v>11627.862406015038</v>
      </c>
    </row>
    <row r="62" spans="1:9" ht="15" customHeight="1">
      <c r="A62" s="65">
        <f t="shared" si="6"/>
        <v>2005</v>
      </c>
      <c r="B62" s="93">
        <f t="shared" si="6"/>
        <v>11136</v>
      </c>
      <c r="C62" s="67">
        <f t="shared" si="5"/>
        <v>17</v>
      </c>
      <c r="D62" s="69"/>
      <c r="E62" s="69"/>
      <c r="F62" s="69"/>
      <c r="G62" s="53"/>
      <c r="H62" s="53"/>
      <c r="I62" s="70">
        <f t="shared" si="4"/>
        <v>11811.379699248122</v>
      </c>
    </row>
    <row r="63" spans="1:9" ht="15" customHeight="1">
      <c r="A63" s="65">
        <f t="shared" si="6"/>
        <v>2006</v>
      </c>
      <c r="B63" s="93">
        <f t="shared" si="6"/>
        <v>11152</v>
      </c>
      <c r="C63" s="67">
        <f t="shared" si="5"/>
        <v>18</v>
      </c>
      <c r="D63" s="69"/>
      <c r="E63" s="69"/>
      <c r="F63" s="69"/>
      <c r="G63" s="53"/>
      <c r="H63" s="53"/>
      <c r="I63" s="70">
        <f t="shared" si="4"/>
        <v>11994.896992481205</v>
      </c>
    </row>
    <row r="64" spans="1:9" ht="15" customHeight="1" thickBot="1">
      <c r="A64" s="97">
        <f t="shared" si="6"/>
        <v>2007</v>
      </c>
      <c r="B64" s="98">
        <f t="shared" si="6"/>
        <v>11080</v>
      </c>
      <c r="C64" s="99">
        <f t="shared" si="5"/>
        <v>19</v>
      </c>
      <c r="D64" s="100"/>
      <c r="E64" s="100"/>
      <c r="F64" s="100"/>
      <c r="G64" s="101"/>
      <c r="H64" s="101"/>
      <c r="I64" s="102">
        <f t="shared" si="4"/>
        <v>12178.414285714287</v>
      </c>
    </row>
    <row r="65" spans="1:9" ht="15" customHeight="1" thickTop="1">
      <c r="A65" s="255">
        <f t="shared" si="6"/>
        <v>2008</v>
      </c>
      <c r="B65" s="81">
        <f t="shared" ref="B65:B82" si="7">ROUND(E$45*C65+E$46,0)</f>
        <v>12362</v>
      </c>
      <c r="C65" s="77">
        <f t="shared" si="5"/>
        <v>20</v>
      </c>
      <c r="D65" s="78"/>
      <c r="E65" s="78"/>
      <c r="F65" s="78"/>
      <c r="G65" s="256"/>
      <c r="H65" s="256"/>
      <c r="I65" s="79">
        <f t="shared" si="4"/>
        <v>12361.931578947369</v>
      </c>
    </row>
    <row r="66" spans="1:9" ht="15" customHeight="1">
      <c r="A66" s="80">
        <v>2009</v>
      </c>
      <c r="B66" s="81">
        <f t="shared" si="7"/>
        <v>12545</v>
      </c>
      <c r="C66" s="82">
        <f t="shared" si="5"/>
        <v>21</v>
      </c>
      <c r="D66" s="69"/>
      <c r="E66" s="69"/>
      <c r="F66" s="69"/>
      <c r="G66" s="69"/>
      <c r="H66" s="69"/>
      <c r="I66" s="70">
        <f t="shared" si="4"/>
        <v>12545.448872180452</v>
      </c>
    </row>
    <row r="67" spans="1:9" ht="15" customHeight="1">
      <c r="A67" s="80">
        <v>2010</v>
      </c>
      <c r="B67" s="81">
        <f t="shared" si="7"/>
        <v>12729</v>
      </c>
      <c r="C67" s="82">
        <f t="shared" si="5"/>
        <v>22</v>
      </c>
      <c r="D67" s="69"/>
      <c r="E67" s="69"/>
      <c r="F67" s="69"/>
      <c r="G67" s="69"/>
      <c r="H67" s="69"/>
      <c r="I67" s="70">
        <f t="shared" si="4"/>
        <v>12728.966165413534</v>
      </c>
    </row>
    <row r="68" spans="1:9" ht="15" customHeight="1">
      <c r="A68" s="80">
        <v>2011</v>
      </c>
      <c r="B68" s="81">
        <f t="shared" si="7"/>
        <v>12912</v>
      </c>
      <c r="C68" s="82">
        <f t="shared" si="5"/>
        <v>23</v>
      </c>
      <c r="D68" s="69"/>
      <c r="E68" s="69"/>
      <c r="F68" s="69"/>
      <c r="G68" s="69"/>
      <c r="H68" s="69"/>
      <c r="I68" s="70">
        <f t="shared" si="4"/>
        <v>12912.483458646617</v>
      </c>
    </row>
    <row r="69" spans="1:9" ht="15" customHeight="1">
      <c r="A69" s="80">
        <v>2012</v>
      </c>
      <c r="B69" s="81">
        <f t="shared" si="7"/>
        <v>13096</v>
      </c>
      <c r="C69" s="82">
        <f t="shared" si="5"/>
        <v>24</v>
      </c>
      <c r="D69" s="69"/>
      <c r="E69" s="69"/>
      <c r="F69" s="69"/>
      <c r="G69" s="69"/>
      <c r="H69" s="69"/>
      <c r="I69" s="70">
        <f t="shared" si="4"/>
        <v>13096.000751879699</v>
      </c>
    </row>
    <row r="70" spans="1:9" ht="15" customHeight="1">
      <c r="A70" s="80">
        <v>2013</v>
      </c>
      <c r="B70" s="81">
        <f t="shared" si="7"/>
        <v>13280</v>
      </c>
      <c r="C70" s="82">
        <f t="shared" si="5"/>
        <v>25</v>
      </c>
      <c r="D70" s="69"/>
      <c r="E70" s="69"/>
      <c r="F70" s="69"/>
      <c r="G70" s="69"/>
      <c r="H70" s="69"/>
      <c r="I70" s="70">
        <f t="shared" si="4"/>
        <v>13279.518045112782</v>
      </c>
    </row>
    <row r="71" spans="1:9" ht="15" customHeight="1">
      <c r="A71" s="80">
        <v>2014</v>
      </c>
      <c r="B71" s="81">
        <f t="shared" si="7"/>
        <v>13463</v>
      </c>
      <c r="C71" s="82">
        <f t="shared" si="5"/>
        <v>26</v>
      </c>
      <c r="D71" s="69"/>
      <c r="E71" s="69"/>
      <c r="F71" s="69"/>
      <c r="G71" s="69"/>
      <c r="H71" s="69"/>
      <c r="I71" s="70">
        <f t="shared" si="4"/>
        <v>13463.035338345864</v>
      </c>
    </row>
    <row r="72" spans="1:9" ht="15" customHeight="1">
      <c r="A72" s="80">
        <v>2015</v>
      </c>
      <c r="B72" s="81">
        <f t="shared" si="7"/>
        <v>13647</v>
      </c>
      <c r="C72" s="82">
        <f t="shared" si="5"/>
        <v>27</v>
      </c>
      <c r="D72" s="69"/>
      <c r="E72" s="69"/>
      <c r="F72" s="69"/>
      <c r="G72" s="69"/>
      <c r="H72" s="69"/>
      <c r="I72" s="70">
        <f t="shared" si="4"/>
        <v>13646.552631578948</v>
      </c>
    </row>
    <row r="73" spans="1:9" ht="15" customHeight="1">
      <c r="A73" s="80">
        <v>2016</v>
      </c>
      <c r="B73" s="81">
        <f t="shared" si="7"/>
        <v>13830</v>
      </c>
      <c r="C73" s="82">
        <f t="shared" si="5"/>
        <v>28</v>
      </c>
      <c r="D73" s="69"/>
      <c r="E73" s="69"/>
      <c r="F73" s="69"/>
      <c r="G73" s="69"/>
      <c r="H73" s="69"/>
      <c r="I73" s="70">
        <f t="shared" si="4"/>
        <v>13830.069924812031</v>
      </c>
    </row>
    <row r="74" spans="1:9" ht="15" customHeight="1">
      <c r="A74" s="80">
        <v>2017</v>
      </c>
      <c r="B74" s="81">
        <f t="shared" si="7"/>
        <v>14014</v>
      </c>
      <c r="C74" s="82">
        <f t="shared" si="5"/>
        <v>29</v>
      </c>
      <c r="D74" s="69"/>
      <c r="E74" s="69"/>
      <c r="F74" s="69"/>
      <c r="G74" s="69"/>
      <c r="H74" s="69"/>
      <c r="I74" s="70">
        <f t="shared" si="4"/>
        <v>14013.587218045113</v>
      </c>
    </row>
    <row r="75" spans="1:9" ht="15" customHeight="1">
      <c r="A75" s="80">
        <v>2018</v>
      </c>
      <c r="B75" s="81">
        <f t="shared" si="7"/>
        <v>14197</v>
      </c>
      <c r="C75" s="82">
        <f t="shared" si="5"/>
        <v>30</v>
      </c>
      <c r="D75" s="69"/>
      <c r="E75" s="69"/>
      <c r="F75" s="69"/>
      <c r="G75" s="69"/>
      <c r="H75" s="69"/>
      <c r="I75" s="70">
        <f t="shared" si="4"/>
        <v>14197.104511278196</v>
      </c>
    </row>
    <row r="76" spans="1:9" ht="15" customHeight="1">
      <c r="A76" s="80">
        <v>2019</v>
      </c>
      <c r="B76" s="81">
        <f t="shared" si="7"/>
        <v>14381</v>
      </c>
      <c r="C76" s="82">
        <f t="shared" si="5"/>
        <v>31</v>
      </c>
      <c r="D76" s="69"/>
      <c r="E76" s="69"/>
      <c r="F76" s="69"/>
      <c r="G76" s="69"/>
      <c r="H76" s="69"/>
      <c r="I76" s="70">
        <f t="shared" si="4"/>
        <v>14380.62180451128</v>
      </c>
    </row>
    <row r="77" spans="1:9" ht="15" customHeight="1">
      <c r="A77" s="80">
        <v>2020</v>
      </c>
      <c r="B77" s="81">
        <f t="shared" si="7"/>
        <v>14564</v>
      </c>
      <c r="C77" s="82">
        <f t="shared" si="5"/>
        <v>32</v>
      </c>
      <c r="D77" s="69"/>
      <c r="E77" s="69"/>
      <c r="F77" s="69"/>
      <c r="G77" s="69"/>
      <c r="H77" s="69"/>
      <c r="I77" s="70">
        <f t="shared" si="4"/>
        <v>14564.139097744363</v>
      </c>
    </row>
    <row r="78" spans="1:9" ht="15" customHeight="1">
      <c r="A78" s="80">
        <v>2021</v>
      </c>
      <c r="B78" s="81">
        <f t="shared" si="7"/>
        <v>14748</v>
      </c>
      <c r="C78" s="82">
        <f t="shared" si="5"/>
        <v>33</v>
      </c>
      <c r="D78" s="69"/>
      <c r="E78" s="69"/>
      <c r="F78" s="69"/>
      <c r="G78" s="69"/>
      <c r="H78" s="69"/>
      <c r="I78" s="70">
        <f t="shared" si="4"/>
        <v>14747.656390977445</v>
      </c>
    </row>
    <row r="79" spans="1:9" ht="15" customHeight="1">
      <c r="A79" s="80">
        <v>2022</v>
      </c>
      <c r="B79" s="81">
        <f t="shared" si="7"/>
        <v>14931</v>
      </c>
      <c r="C79" s="82">
        <f t="shared" si="5"/>
        <v>34</v>
      </c>
      <c r="D79" s="69"/>
      <c r="E79" s="69"/>
      <c r="F79" s="69"/>
      <c r="G79" s="69"/>
      <c r="H79" s="69"/>
      <c r="I79" s="70">
        <f t="shared" si="4"/>
        <v>14931.173684210527</v>
      </c>
    </row>
    <row r="80" spans="1:9" ht="15" customHeight="1">
      <c r="A80" s="80">
        <v>2023</v>
      </c>
      <c r="B80" s="81">
        <f t="shared" si="7"/>
        <v>15115</v>
      </c>
      <c r="C80" s="82">
        <f t="shared" si="5"/>
        <v>35</v>
      </c>
      <c r="D80" s="69"/>
      <c r="E80" s="69"/>
      <c r="F80" s="69"/>
      <c r="G80" s="69"/>
      <c r="H80" s="69"/>
      <c r="I80" s="70">
        <f t="shared" si="4"/>
        <v>15114.69097744361</v>
      </c>
    </row>
    <row r="81" spans="1:11" ht="15" customHeight="1">
      <c r="A81" s="80">
        <v>2024</v>
      </c>
      <c r="B81" s="81">
        <f t="shared" si="7"/>
        <v>15298</v>
      </c>
      <c r="C81" s="67">
        <f t="shared" si="5"/>
        <v>36</v>
      </c>
      <c r="D81" s="69"/>
      <c r="E81" s="69"/>
      <c r="F81" s="69"/>
      <c r="G81" s="69"/>
      <c r="H81" s="69"/>
      <c r="I81" s="70">
        <f t="shared" si="4"/>
        <v>15298.208270676692</v>
      </c>
    </row>
    <row r="82" spans="1:11" ht="15" customHeight="1">
      <c r="A82" s="85">
        <v>2025</v>
      </c>
      <c r="B82" s="86">
        <f t="shared" si="7"/>
        <v>15482</v>
      </c>
      <c r="C82" s="87">
        <f t="shared" si="5"/>
        <v>37</v>
      </c>
      <c r="D82" s="89"/>
      <c r="E82" s="89"/>
      <c r="F82" s="89"/>
      <c r="G82" s="89"/>
      <c r="H82" s="89"/>
      <c r="I82" s="91">
        <f t="shared" si="4"/>
        <v>15481.725563909775</v>
      </c>
    </row>
    <row r="83" spans="1:11" ht="15" customHeight="1">
      <c r="A83" s="56" t="s">
        <v>79</v>
      </c>
      <c r="B83" s="57"/>
    </row>
    <row r="84" spans="1:11" ht="15" customHeight="1">
      <c r="A84" s="58" t="s">
        <v>32</v>
      </c>
      <c r="B84" s="59" t="s">
        <v>40</v>
      </c>
      <c r="C84" s="59" t="s">
        <v>34</v>
      </c>
      <c r="D84" s="59" t="s">
        <v>33</v>
      </c>
      <c r="E84" s="103"/>
      <c r="F84" s="60"/>
      <c r="G84" s="61"/>
      <c r="H84" s="63" t="s">
        <v>104</v>
      </c>
      <c r="I84" s="64">
        <f>RSQ(I85:I105,B85:B105)</f>
        <v>0.62456258677026844</v>
      </c>
    </row>
    <row r="85" spans="1:11" ht="15" customHeight="1">
      <c r="A85" s="65">
        <f t="shared" ref="A85:B100" si="8">A5</f>
        <v>1988</v>
      </c>
      <c r="B85" s="104">
        <f t="shared" si="8"/>
        <v>8945</v>
      </c>
      <c r="C85" s="105">
        <f t="shared" ref="C85:C122" si="9">LN(B85)</f>
        <v>9.0988499959428193</v>
      </c>
      <c r="D85" s="67">
        <v>0</v>
      </c>
      <c r="E85" s="106" t="s">
        <v>37</v>
      </c>
      <c r="F85" s="73">
        <f>ROUND((B104/B85)^(1/D104)-1,5)</f>
        <v>1.133E-2</v>
      </c>
      <c r="G85" s="107"/>
      <c r="H85" s="108"/>
      <c r="I85" s="109">
        <f t="shared" ref="I85:I122" si="10">ROUND($F$86*(1+$F$85)^(D85),1)</f>
        <v>8945</v>
      </c>
    </row>
    <row r="86" spans="1:11" ht="15" customHeight="1">
      <c r="A86" s="65">
        <f t="shared" si="8"/>
        <v>1989</v>
      </c>
      <c r="B86" s="104">
        <f t="shared" si="8"/>
        <v>9401</v>
      </c>
      <c r="C86" s="105">
        <f t="shared" si="9"/>
        <v>9.1485713455785511</v>
      </c>
      <c r="D86" s="67">
        <f t="shared" ref="D86:D122" si="11">D85+1</f>
        <v>1</v>
      </c>
      <c r="E86" s="106" t="s">
        <v>80</v>
      </c>
      <c r="F86" s="110">
        <f>B85</f>
        <v>8945</v>
      </c>
      <c r="G86" s="107"/>
      <c r="H86" s="108"/>
      <c r="I86" s="109">
        <f t="shared" si="10"/>
        <v>9046.2999999999993</v>
      </c>
      <c r="K86" s="111"/>
    </row>
    <row r="87" spans="1:11" ht="15" customHeight="1">
      <c r="A87" s="65">
        <f t="shared" si="8"/>
        <v>1990</v>
      </c>
      <c r="B87" s="104">
        <f t="shared" si="8"/>
        <v>8706</v>
      </c>
      <c r="C87" s="105">
        <f t="shared" si="9"/>
        <v>9.0717677221122432</v>
      </c>
      <c r="D87" s="67">
        <f t="shared" si="11"/>
        <v>2</v>
      </c>
      <c r="E87" s="106" t="s">
        <v>77</v>
      </c>
      <c r="F87" s="73">
        <f>I84</f>
        <v>0.62456258677026844</v>
      </c>
      <c r="G87" s="108"/>
      <c r="H87" s="108"/>
      <c r="I87" s="109">
        <f t="shared" si="10"/>
        <v>9148.7999999999993</v>
      </c>
    </row>
    <row r="88" spans="1:11" ht="15" customHeight="1">
      <c r="A88" s="65">
        <f t="shared" si="8"/>
        <v>1991</v>
      </c>
      <c r="B88" s="104">
        <f t="shared" si="8"/>
        <v>9085</v>
      </c>
      <c r="C88" s="105">
        <f t="shared" si="9"/>
        <v>9.1143799808302717</v>
      </c>
      <c r="D88" s="67">
        <f t="shared" si="11"/>
        <v>3</v>
      </c>
      <c r="E88" s="106"/>
      <c r="F88" s="73"/>
      <c r="G88" s="108"/>
      <c r="H88" s="108"/>
      <c r="I88" s="109">
        <f t="shared" si="10"/>
        <v>9252.5</v>
      </c>
    </row>
    <row r="89" spans="1:11" ht="15" customHeight="1">
      <c r="A89" s="65">
        <f t="shared" si="8"/>
        <v>1992</v>
      </c>
      <c r="B89" s="104">
        <f t="shared" si="8"/>
        <v>8744</v>
      </c>
      <c r="C89" s="105">
        <f t="shared" si="9"/>
        <v>9.0761230298563742</v>
      </c>
      <c r="D89" s="67">
        <f t="shared" si="11"/>
        <v>4</v>
      </c>
      <c r="E89" s="106" t="s">
        <v>81</v>
      </c>
      <c r="F89" s="72"/>
      <c r="G89" s="108"/>
      <c r="H89" s="108"/>
      <c r="I89" s="109">
        <f t="shared" si="10"/>
        <v>9357.2999999999993</v>
      </c>
    </row>
    <row r="90" spans="1:11" ht="15" customHeight="1">
      <c r="A90" s="65">
        <f t="shared" si="8"/>
        <v>1993</v>
      </c>
      <c r="B90" s="104">
        <f t="shared" si="8"/>
        <v>8817</v>
      </c>
      <c r="C90" s="105">
        <f t="shared" si="9"/>
        <v>9.0844369550870265</v>
      </c>
      <c r="D90" s="67">
        <f t="shared" si="11"/>
        <v>5</v>
      </c>
      <c r="E90" s="112"/>
      <c r="F90" s="113"/>
      <c r="G90" s="108"/>
      <c r="H90" s="108"/>
      <c r="I90" s="109">
        <f t="shared" si="10"/>
        <v>9463.2999999999993</v>
      </c>
    </row>
    <row r="91" spans="1:11" ht="15" customHeight="1">
      <c r="A91" s="65">
        <f t="shared" si="8"/>
        <v>1994</v>
      </c>
      <c r="B91" s="104">
        <f t="shared" si="8"/>
        <v>8907</v>
      </c>
      <c r="C91" s="105">
        <f t="shared" si="9"/>
        <v>9.0945927634318693</v>
      </c>
      <c r="D91" s="67">
        <f t="shared" si="11"/>
        <v>6</v>
      </c>
      <c r="E91" s="114"/>
      <c r="F91" s="113"/>
      <c r="G91" s="108"/>
      <c r="H91" s="108"/>
      <c r="I91" s="109">
        <f t="shared" si="10"/>
        <v>9570.6</v>
      </c>
    </row>
    <row r="92" spans="1:11" ht="15" customHeight="1">
      <c r="A92" s="65">
        <f t="shared" si="8"/>
        <v>1995</v>
      </c>
      <c r="B92" s="104">
        <f t="shared" si="8"/>
        <v>9561</v>
      </c>
      <c r="C92" s="105">
        <f t="shared" si="9"/>
        <v>9.1654476030854468</v>
      </c>
      <c r="D92" s="67">
        <f t="shared" si="11"/>
        <v>7</v>
      </c>
      <c r="E92" s="114"/>
      <c r="F92" s="113"/>
      <c r="G92" s="108"/>
      <c r="H92" s="108"/>
      <c r="I92" s="109">
        <f t="shared" si="10"/>
        <v>9679</v>
      </c>
    </row>
    <row r="93" spans="1:11" ht="15" customHeight="1">
      <c r="A93" s="65">
        <f t="shared" si="8"/>
        <v>1996</v>
      </c>
      <c r="B93" s="104">
        <f t="shared" si="8"/>
        <v>10107</v>
      </c>
      <c r="C93" s="105">
        <f t="shared" si="9"/>
        <v>9.220983532074662</v>
      </c>
      <c r="D93" s="67">
        <f t="shared" si="11"/>
        <v>8</v>
      </c>
      <c r="E93" s="108"/>
      <c r="F93" s="108"/>
      <c r="G93" s="115"/>
      <c r="H93" s="108"/>
      <c r="I93" s="109">
        <f t="shared" si="10"/>
        <v>9788.7000000000007</v>
      </c>
    </row>
    <row r="94" spans="1:11" ht="15" customHeight="1">
      <c r="A94" s="65">
        <f t="shared" si="8"/>
        <v>1997</v>
      </c>
      <c r="B94" s="104">
        <f t="shared" si="8"/>
        <v>10416</v>
      </c>
      <c r="C94" s="105">
        <f t="shared" si="9"/>
        <v>9.2510983644483513</v>
      </c>
      <c r="D94" s="67">
        <f t="shared" si="11"/>
        <v>9</v>
      </c>
      <c r="E94" s="108"/>
      <c r="F94" s="108"/>
      <c r="G94" s="115"/>
      <c r="H94" s="108"/>
      <c r="I94" s="109">
        <f t="shared" si="10"/>
        <v>9899.6</v>
      </c>
    </row>
    <row r="95" spans="1:11" ht="15" customHeight="1">
      <c r="A95" s="65">
        <f t="shared" si="8"/>
        <v>1998</v>
      </c>
      <c r="B95" s="104">
        <f t="shared" si="8"/>
        <v>10645</v>
      </c>
      <c r="C95" s="105">
        <f t="shared" si="9"/>
        <v>9.2728455773275797</v>
      </c>
      <c r="D95" s="67">
        <f t="shared" si="11"/>
        <v>10</v>
      </c>
      <c r="E95" s="108"/>
      <c r="F95" s="108"/>
      <c r="G95" s="115"/>
      <c r="H95" s="108"/>
      <c r="I95" s="109">
        <f t="shared" si="10"/>
        <v>10011.700000000001</v>
      </c>
    </row>
    <row r="96" spans="1:11" ht="15" customHeight="1">
      <c r="A96" s="65">
        <f t="shared" si="8"/>
        <v>1999</v>
      </c>
      <c r="B96" s="104">
        <f t="shared" si="8"/>
        <v>11923</v>
      </c>
      <c r="C96" s="105">
        <f t="shared" si="9"/>
        <v>9.3862245868061311</v>
      </c>
      <c r="D96" s="67">
        <f t="shared" si="11"/>
        <v>11</v>
      </c>
      <c r="E96" s="108"/>
      <c r="F96" s="108"/>
      <c r="G96" s="115"/>
      <c r="H96" s="108"/>
      <c r="I96" s="109">
        <f t="shared" si="10"/>
        <v>10125.200000000001</v>
      </c>
    </row>
    <row r="97" spans="1:9" ht="15" customHeight="1">
      <c r="A97" s="65">
        <f t="shared" si="8"/>
        <v>2000</v>
      </c>
      <c r="B97" s="104">
        <f t="shared" si="8"/>
        <v>12487</v>
      </c>
      <c r="C97" s="105">
        <f t="shared" si="9"/>
        <v>9.4324433821151459</v>
      </c>
      <c r="D97" s="67">
        <f t="shared" si="11"/>
        <v>12</v>
      </c>
      <c r="E97" s="108"/>
      <c r="F97" s="108"/>
      <c r="G97" s="115"/>
      <c r="H97" s="108"/>
      <c r="I97" s="109">
        <f t="shared" si="10"/>
        <v>10239.9</v>
      </c>
    </row>
    <row r="98" spans="1:9" ht="15" customHeight="1">
      <c r="A98" s="65">
        <f t="shared" si="8"/>
        <v>2001</v>
      </c>
      <c r="B98" s="104">
        <f t="shared" si="8"/>
        <v>12310</v>
      </c>
      <c r="C98" s="105">
        <f t="shared" si="9"/>
        <v>9.4181672191784997</v>
      </c>
      <c r="D98" s="67">
        <f t="shared" si="11"/>
        <v>13</v>
      </c>
      <c r="E98" s="108"/>
      <c r="F98" s="108"/>
      <c r="G98" s="115"/>
      <c r="H98" s="108"/>
      <c r="I98" s="109">
        <f t="shared" si="10"/>
        <v>10355.9</v>
      </c>
    </row>
    <row r="99" spans="1:9" ht="15" customHeight="1">
      <c r="A99" s="65">
        <f t="shared" si="8"/>
        <v>2002</v>
      </c>
      <c r="B99" s="104">
        <f t="shared" si="8"/>
        <v>12027</v>
      </c>
      <c r="C99" s="105">
        <f t="shared" si="9"/>
        <v>9.3949094013106169</v>
      </c>
      <c r="D99" s="67">
        <f t="shared" si="11"/>
        <v>14</v>
      </c>
      <c r="E99" s="108"/>
      <c r="F99" s="108"/>
      <c r="G99" s="115"/>
      <c r="H99" s="108"/>
      <c r="I99" s="109">
        <f t="shared" si="10"/>
        <v>10473.200000000001</v>
      </c>
    </row>
    <row r="100" spans="1:9" ht="15" customHeight="1">
      <c r="A100" s="65">
        <f t="shared" si="8"/>
        <v>2003</v>
      </c>
      <c r="B100" s="104">
        <f t="shared" si="8"/>
        <v>11848</v>
      </c>
      <c r="C100" s="105">
        <f t="shared" si="9"/>
        <v>9.3799143559476352</v>
      </c>
      <c r="D100" s="67">
        <f t="shared" si="11"/>
        <v>15</v>
      </c>
      <c r="E100" s="108"/>
      <c r="F100" s="108"/>
      <c r="G100" s="115"/>
      <c r="H100" s="108"/>
      <c r="I100" s="109">
        <f t="shared" si="10"/>
        <v>10591.9</v>
      </c>
    </row>
    <row r="101" spans="1:9" ht="15" customHeight="1">
      <c r="A101" s="65">
        <f t="shared" ref="A101:B105" si="12">A21</f>
        <v>2004</v>
      </c>
      <c r="B101" s="104">
        <f t="shared" si="12"/>
        <v>11403</v>
      </c>
      <c r="C101" s="105">
        <f t="shared" si="9"/>
        <v>9.3416317576573586</v>
      </c>
      <c r="D101" s="67">
        <f t="shared" si="11"/>
        <v>16</v>
      </c>
      <c r="E101" s="108"/>
      <c r="F101" s="108"/>
      <c r="G101" s="115"/>
      <c r="H101" s="108"/>
      <c r="I101" s="109">
        <f t="shared" si="10"/>
        <v>10711.9</v>
      </c>
    </row>
    <row r="102" spans="1:9" ht="15" customHeight="1">
      <c r="A102" s="65">
        <f t="shared" si="12"/>
        <v>2005</v>
      </c>
      <c r="B102" s="104">
        <f t="shared" si="12"/>
        <v>11136</v>
      </c>
      <c r="C102" s="105">
        <f t="shared" si="9"/>
        <v>9.3179383825742015</v>
      </c>
      <c r="D102" s="67">
        <f t="shared" si="11"/>
        <v>17</v>
      </c>
      <c r="E102" s="108"/>
      <c r="F102" s="108"/>
      <c r="G102" s="115"/>
      <c r="H102" s="108"/>
      <c r="I102" s="109">
        <f t="shared" si="10"/>
        <v>10833.3</v>
      </c>
    </row>
    <row r="103" spans="1:9" ht="15" customHeight="1">
      <c r="A103" s="65">
        <f t="shared" si="12"/>
        <v>2006</v>
      </c>
      <c r="B103" s="104">
        <f t="shared" si="12"/>
        <v>11152</v>
      </c>
      <c r="C103" s="105">
        <f t="shared" si="9"/>
        <v>9.3193741330003057</v>
      </c>
      <c r="D103" s="67">
        <f t="shared" si="11"/>
        <v>18</v>
      </c>
      <c r="E103" s="108"/>
      <c r="F103" s="108"/>
      <c r="G103" s="115"/>
      <c r="H103" s="108"/>
      <c r="I103" s="109">
        <f t="shared" si="10"/>
        <v>10956</v>
      </c>
    </row>
    <row r="104" spans="1:9" ht="15" customHeight="1" thickBot="1">
      <c r="A104" s="65">
        <f t="shared" si="12"/>
        <v>2007</v>
      </c>
      <c r="B104" s="104">
        <f t="shared" si="12"/>
        <v>11080</v>
      </c>
      <c r="C104" s="105">
        <f t="shared" si="9"/>
        <v>9.3128969603012752</v>
      </c>
      <c r="D104" s="67">
        <f t="shared" si="11"/>
        <v>19</v>
      </c>
      <c r="E104" s="108"/>
      <c r="F104" s="108"/>
      <c r="G104" s="115"/>
      <c r="H104" s="108"/>
      <c r="I104" s="109">
        <f t="shared" si="10"/>
        <v>11080.1</v>
      </c>
    </row>
    <row r="105" spans="1:9" ht="15" customHeight="1" thickTop="1">
      <c r="A105" s="255">
        <f t="shared" si="12"/>
        <v>2008</v>
      </c>
      <c r="B105" s="76">
        <f t="shared" ref="B105:B122" si="13">ROUND(F$86*(1+F$85)^D105,0)</f>
        <v>11206</v>
      </c>
      <c r="C105" s="121">
        <f t="shared" si="9"/>
        <v>9.32420462812523</v>
      </c>
      <c r="D105" s="77">
        <f t="shared" si="11"/>
        <v>20</v>
      </c>
      <c r="E105" s="259"/>
      <c r="F105" s="259"/>
      <c r="G105" s="260"/>
      <c r="H105" s="259"/>
      <c r="I105" s="123">
        <f t="shared" si="10"/>
        <v>11205.7</v>
      </c>
    </row>
    <row r="106" spans="1:9" ht="15" customHeight="1">
      <c r="A106" s="80">
        <v>2009</v>
      </c>
      <c r="B106" s="81">
        <f t="shared" si="13"/>
        <v>11333</v>
      </c>
      <c r="C106" s="105">
        <f t="shared" si="9"/>
        <v>9.3354741027329489</v>
      </c>
      <c r="D106" s="67">
        <f t="shared" si="11"/>
        <v>21</v>
      </c>
      <c r="E106" s="83"/>
      <c r="F106" s="69"/>
      <c r="G106" s="69"/>
      <c r="H106" s="69"/>
      <c r="I106" s="109">
        <f t="shared" si="10"/>
        <v>11332.6</v>
      </c>
    </row>
    <row r="107" spans="1:9" ht="15" customHeight="1">
      <c r="A107" s="80">
        <v>2010</v>
      </c>
      <c r="B107" s="81">
        <f t="shared" si="13"/>
        <v>11461</v>
      </c>
      <c r="C107" s="105">
        <f t="shared" si="9"/>
        <v>9.3467052464966986</v>
      </c>
      <c r="D107" s="67">
        <f t="shared" si="11"/>
        <v>22</v>
      </c>
      <c r="E107" s="83"/>
      <c r="F107" s="69"/>
      <c r="G107" s="69"/>
      <c r="H107" s="69"/>
      <c r="I107" s="109">
        <f t="shared" si="10"/>
        <v>11461</v>
      </c>
    </row>
    <row r="108" spans="1:9" ht="15" customHeight="1">
      <c r="A108" s="80">
        <v>2011</v>
      </c>
      <c r="B108" s="81">
        <f t="shared" si="13"/>
        <v>11591</v>
      </c>
      <c r="C108" s="105">
        <f t="shared" si="9"/>
        <v>9.357984213888745</v>
      </c>
      <c r="D108" s="67">
        <f t="shared" si="11"/>
        <v>23</v>
      </c>
      <c r="E108" s="83"/>
      <c r="F108" s="69"/>
      <c r="G108" s="69"/>
      <c r="H108" s="69"/>
      <c r="I108" s="109">
        <f t="shared" si="10"/>
        <v>11590.9</v>
      </c>
    </row>
    <row r="109" spans="1:9" ht="15" customHeight="1">
      <c r="A109" s="80">
        <v>2012</v>
      </c>
      <c r="B109" s="81">
        <f t="shared" si="13"/>
        <v>11722</v>
      </c>
      <c r="C109" s="105">
        <f t="shared" si="9"/>
        <v>9.3692226970363741</v>
      </c>
      <c r="D109" s="67">
        <f t="shared" si="11"/>
        <v>24</v>
      </c>
      <c r="E109" s="83"/>
      <c r="F109" s="69"/>
      <c r="G109" s="69"/>
      <c r="H109" s="69"/>
      <c r="I109" s="109">
        <f t="shared" si="10"/>
        <v>11722.2</v>
      </c>
    </row>
    <row r="110" spans="1:9" ht="15" customHeight="1">
      <c r="A110" s="80">
        <v>2013</v>
      </c>
      <c r="B110" s="81">
        <f t="shared" si="13"/>
        <v>11855</v>
      </c>
      <c r="C110" s="105">
        <f t="shared" si="9"/>
        <v>9.3805049984995055</v>
      </c>
      <c r="D110" s="67">
        <f t="shared" si="11"/>
        <v>25</v>
      </c>
      <c r="E110" s="83"/>
      <c r="F110" s="69"/>
      <c r="G110" s="69"/>
      <c r="H110" s="69"/>
      <c r="I110" s="109">
        <f t="shared" si="10"/>
        <v>11855</v>
      </c>
    </row>
    <row r="111" spans="1:9" ht="15" customHeight="1">
      <c r="A111" s="80">
        <v>2014</v>
      </c>
      <c r="B111" s="81">
        <f t="shared" si="13"/>
        <v>11989</v>
      </c>
      <c r="C111" s="105">
        <f t="shared" si="9"/>
        <v>9.3917448417076539</v>
      </c>
      <c r="D111" s="67">
        <f t="shared" si="11"/>
        <v>26</v>
      </c>
      <c r="E111" s="83"/>
      <c r="F111" s="69"/>
      <c r="G111" s="69"/>
      <c r="H111" s="69"/>
      <c r="I111" s="109">
        <f t="shared" si="10"/>
        <v>11989.3</v>
      </c>
    </row>
    <row r="112" spans="1:9" ht="15" customHeight="1">
      <c r="A112" s="80">
        <v>2015</v>
      </c>
      <c r="B112" s="81">
        <f t="shared" si="13"/>
        <v>12125</v>
      </c>
      <c r="C112" s="105">
        <f t="shared" si="9"/>
        <v>9.4030247158056834</v>
      </c>
      <c r="D112" s="67">
        <f t="shared" si="11"/>
        <v>27</v>
      </c>
      <c r="E112" s="83"/>
      <c r="F112" s="69"/>
      <c r="G112" s="69"/>
      <c r="H112" s="69"/>
      <c r="I112" s="109">
        <f t="shared" si="10"/>
        <v>12125.2</v>
      </c>
    </row>
    <row r="113" spans="1:9" ht="15" customHeight="1">
      <c r="A113" s="80">
        <v>2016</v>
      </c>
      <c r="B113" s="81">
        <f t="shared" si="13"/>
        <v>12263</v>
      </c>
      <c r="C113" s="105">
        <f t="shared" si="9"/>
        <v>9.4143418777620269</v>
      </c>
      <c r="D113" s="67">
        <f t="shared" si="11"/>
        <v>28</v>
      </c>
      <c r="E113" s="83"/>
      <c r="F113" s="69"/>
      <c r="G113" s="69"/>
      <c r="H113" s="69"/>
      <c r="I113" s="109">
        <f t="shared" si="10"/>
        <v>12262.6</v>
      </c>
    </row>
    <row r="114" spans="1:9" ht="15" customHeight="1">
      <c r="A114" s="80">
        <v>2017</v>
      </c>
      <c r="B114" s="81">
        <f t="shared" si="13"/>
        <v>12401</v>
      </c>
      <c r="C114" s="105">
        <f t="shared" si="9"/>
        <v>9.4255323935027722</v>
      </c>
      <c r="D114" s="67">
        <f t="shared" si="11"/>
        <v>29</v>
      </c>
      <c r="E114" s="83"/>
      <c r="F114" s="69"/>
      <c r="G114" s="69"/>
      <c r="H114" s="69"/>
      <c r="I114" s="109">
        <f t="shared" si="10"/>
        <v>12401.5</v>
      </c>
    </row>
    <row r="115" spans="1:9" ht="15" customHeight="1">
      <c r="A115" s="80">
        <v>2018</v>
      </c>
      <c r="B115" s="81">
        <f t="shared" si="13"/>
        <v>12542</v>
      </c>
      <c r="C115" s="105">
        <f t="shared" si="9"/>
        <v>9.4368382911029656</v>
      </c>
      <c r="D115" s="67">
        <f t="shared" si="11"/>
        <v>30</v>
      </c>
      <c r="E115" s="83"/>
      <c r="F115" s="69"/>
      <c r="G115" s="69"/>
      <c r="H115" s="69"/>
      <c r="I115" s="109">
        <f t="shared" si="10"/>
        <v>12542</v>
      </c>
    </row>
    <row r="116" spans="1:9" ht="15" customHeight="1">
      <c r="A116" s="80">
        <v>2019</v>
      </c>
      <c r="B116" s="81">
        <f t="shared" si="13"/>
        <v>12684</v>
      </c>
      <c r="C116" s="105">
        <f t="shared" si="9"/>
        <v>9.4480966356582385</v>
      </c>
      <c r="D116" s="67">
        <f t="shared" si="11"/>
        <v>31</v>
      </c>
      <c r="E116" s="83"/>
      <c r="F116" s="69"/>
      <c r="G116" s="69"/>
      <c r="H116" s="69"/>
      <c r="I116" s="109">
        <f t="shared" si="10"/>
        <v>12684.1</v>
      </c>
    </row>
    <row r="117" spans="1:9" ht="15" customHeight="1">
      <c r="A117" s="80">
        <v>2020</v>
      </c>
      <c r="B117" s="81">
        <f t="shared" si="13"/>
        <v>12828</v>
      </c>
      <c r="C117" s="105">
        <f t="shared" si="9"/>
        <v>9.459385560813045</v>
      </c>
      <c r="D117" s="67">
        <f t="shared" si="11"/>
        <v>32</v>
      </c>
      <c r="E117" s="83"/>
      <c r="F117" s="69"/>
      <c r="G117" s="69"/>
      <c r="H117" s="69"/>
      <c r="I117" s="109">
        <f t="shared" si="10"/>
        <v>12827.8</v>
      </c>
    </row>
    <row r="118" spans="1:9" ht="15" customHeight="1">
      <c r="A118" s="80">
        <v>2021</v>
      </c>
      <c r="B118" s="81">
        <f t="shared" si="13"/>
        <v>12973</v>
      </c>
      <c r="C118" s="105">
        <f t="shared" si="9"/>
        <v>9.4706255535710131</v>
      </c>
      <c r="D118" s="67">
        <f t="shared" si="11"/>
        <v>33</v>
      </c>
      <c r="E118" s="83"/>
      <c r="F118" s="69"/>
      <c r="G118" s="69"/>
      <c r="H118" s="69"/>
      <c r="I118" s="109">
        <f t="shared" si="10"/>
        <v>12973.2</v>
      </c>
    </row>
    <row r="119" spans="1:9" ht="15" customHeight="1">
      <c r="A119" s="80">
        <v>2022</v>
      </c>
      <c r="B119" s="81">
        <f t="shared" si="13"/>
        <v>13120</v>
      </c>
      <c r="C119" s="105">
        <f t="shared" si="9"/>
        <v>9.4818930624980808</v>
      </c>
      <c r="D119" s="67">
        <f t="shared" si="11"/>
        <v>34</v>
      </c>
      <c r="E119" s="83"/>
      <c r="F119" s="69"/>
      <c r="G119" s="69"/>
      <c r="H119" s="69"/>
      <c r="I119" s="109">
        <f t="shared" si="10"/>
        <v>13120.1</v>
      </c>
    </row>
    <row r="120" spans="1:9" ht="15" customHeight="1">
      <c r="A120" s="80">
        <v>2023</v>
      </c>
      <c r="B120" s="81">
        <f t="shared" si="13"/>
        <v>13269</v>
      </c>
      <c r="C120" s="105">
        <f t="shared" si="9"/>
        <v>9.4931857665364365</v>
      </c>
      <c r="D120" s="67">
        <f t="shared" si="11"/>
        <v>35</v>
      </c>
      <c r="E120" s="83"/>
      <c r="F120" s="69"/>
      <c r="G120" s="69"/>
      <c r="H120" s="69"/>
      <c r="I120" s="109">
        <f t="shared" si="10"/>
        <v>13268.8</v>
      </c>
    </row>
    <row r="121" spans="1:9" ht="15" customHeight="1">
      <c r="A121" s="80">
        <v>2024</v>
      </c>
      <c r="B121" s="81">
        <f t="shared" si="13"/>
        <v>13419</v>
      </c>
      <c r="C121" s="105">
        <f t="shared" si="9"/>
        <v>9.5044268921009571</v>
      </c>
      <c r="D121" s="67">
        <f t="shared" si="11"/>
        <v>36</v>
      </c>
      <c r="E121" s="69"/>
      <c r="F121" s="69"/>
      <c r="G121" s="69"/>
      <c r="H121" s="69"/>
      <c r="I121" s="109">
        <f t="shared" si="10"/>
        <v>13419.1</v>
      </c>
    </row>
    <row r="122" spans="1:9" ht="15" customHeight="1">
      <c r="A122" s="85">
        <v>2025</v>
      </c>
      <c r="B122" s="86">
        <f t="shared" si="13"/>
        <v>13571</v>
      </c>
      <c r="C122" s="124">
        <f t="shared" si="9"/>
        <v>9.5156904420813699</v>
      </c>
      <c r="D122" s="87">
        <f t="shared" si="11"/>
        <v>37</v>
      </c>
      <c r="E122" s="89"/>
      <c r="F122" s="89"/>
      <c r="G122" s="89"/>
      <c r="H122" s="89"/>
      <c r="I122" s="125">
        <f t="shared" si="10"/>
        <v>13571.2</v>
      </c>
    </row>
    <row r="123" spans="1:9" ht="15" customHeight="1">
      <c r="A123" s="56" t="s">
        <v>82</v>
      </c>
      <c r="B123" s="57"/>
    </row>
    <row r="124" spans="1:9" ht="15" customHeight="1">
      <c r="A124" s="58" t="s">
        <v>32</v>
      </c>
      <c r="B124" s="59" t="s">
        <v>40</v>
      </c>
      <c r="C124" s="59" t="s">
        <v>83</v>
      </c>
      <c r="D124" s="59" t="s">
        <v>33</v>
      </c>
      <c r="E124" s="59" t="s">
        <v>35</v>
      </c>
      <c r="F124" s="103"/>
      <c r="G124" s="60"/>
      <c r="H124" s="63" t="s">
        <v>104</v>
      </c>
      <c r="I124" s="64" t="e">
        <f>RSQ(I125:I144,B125:B144)</f>
        <v>#VALUE!</v>
      </c>
    </row>
    <row r="125" spans="1:9" ht="15" customHeight="1">
      <c r="A125" s="65">
        <f t="shared" ref="A125:B140" si="14">A5</f>
        <v>1988</v>
      </c>
      <c r="B125" s="104">
        <f t="shared" si="14"/>
        <v>8945</v>
      </c>
      <c r="C125" s="126"/>
      <c r="D125" s="67">
        <v>0</v>
      </c>
      <c r="E125" s="67"/>
      <c r="F125" s="106" t="s">
        <v>75</v>
      </c>
      <c r="G125" s="73" t="e">
        <f>INDEX(LINEST(C126:C144,E126:E144),1)</f>
        <v>#VALUE!</v>
      </c>
      <c r="H125" s="127"/>
      <c r="I125" s="128" t="e">
        <f t="shared" ref="I125:I162" si="15">$B$125+$G$129*D125^$G$125</f>
        <v>#VALUE!</v>
      </c>
    </row>
    <row r="126" spans="1:9" ht="15" customHeight="1">
      <c r="A126" s="65">
        <f t="shared" si="14"/>
        <v>1989</v>
      </c>
      <c r="B126" s="104">
        <f t="shared" si="14"/>
        <v>9401</v>
      </c>
      <c r="C126" s="126">
        <f t="shared" ref="C126:C144" si="16">LN(-B$125+B126)</f>
        <v>6.1224928095143865</v>
      </c>
      <c r="D126" s="67">
        <f t="shared" ref="D126:D162" si="17">D125+1</f>
        <v>1</v>
      </c>
      <c r="E126" s="67">
        <f t="shared" ref="E126:E145" si="18">LN(D126)</f>
        <v>0</v>
      </c>
      <c r="F126" s="106" t="s">
        <v>76</v>
      </c>
      <c r="G126" s="73" t="e">
        <f>INDEX(LINEST(C126:C144,E126:E144),2)</f>
        <v>#VALUE!</v>
      </c>
      <c r="H126" s="129" t="s">
        <v>84</v>
      </c>
      <c r="I126" s="128" t="e">
        <f t="shared" si="15"/>
        <v>#VALUE!</v>
      </c>
    </row>
    <row r="127" spans="1:9" ht="15" customHeight="1">
      <c r="A127" s="65">
        <f t="shared" si="14"/>
        <v>1990</v>
      </c>
      <c r="B127" s="104">
        <f t="shared" si="14"/>
        <v>8706</v>
      </c>
      <c r="C127" s="126" t="e">
        <f t="shared" si="16"/>
        <v>#NUM!</v>
      </c>
      <c r="D127" s="67">
        <f t="shared" si="17"/>
        <v>2</v>
      </c>
      <c r="E127" s="67">
        <f t="shared" si="18"/>
        <v>0.69314718055994529</v>
      </c>
      <c r="F127" s="69"/>
      <c r="G127" s="130"/>
      <c r="H127" s="127"/>
      <c r="I127" s="128" t="e">
        <f t="shared" si="15"/>
        <v>#VALUE!</v>
      </c>
    </row>
    <row r="128" spans="1:9" ht="15" customHeight="1">
      <c r="A128" s="65">
        <f t="shared" si="14"/>
        <v>1991</v>
      </c>
      <c r="B128" s="104">
        <f t="shared" si="14"/>
        <v>9085</v>
      </c>
      <c r="C128" s="126">
        <f t="shared" si="16"/>
        <v>4.9416424226093039</v>
      </c>
      <c r="D128" s="67">
        <f t="shared" si="17"/>
        <v>3</v>
      </c>
      <c r="E128" s="67">
        <f t="shared" si="18"/>
        <v>1.0986122886681098</v>
      </c>
      <c r="F128" s="106" t="s">
        <v>77</v>
      </c>
      <c r="G128" s="73" t="e">
        <f>I124</f>
        <v>#VALUE!</v>
      </c>
      <c r="H128" s="127"/>
      <c r="I128" s="128" t="e">
        <f t="shared" si="15"/>
        <v>#VALUE!</v>
      </c>
    </row>
    <row r="129" spans="1:9" ht="15" customHeight="1">
      <c r="A129" s="65">
        <f t="shared" si="14"/>
        <v>1992</v>
      </c>
      <c r="B129" s="104">
        <f t="shared" si="14"/>
        <v>8744</v>
      </c>
      <c r="C129" s="126" t="e">
        <f t="shared" si="16"/>
        <v>#NUM!</v>
      </c>
      <c r="D129" s="67">
        <f t="shared" si="17"/>
        <v>4</v>
      </c>
      <c r="E129" s="67">
        <f t="shared" si="18"/>
        <v>1.3862943611198906</v>
      </c>
      <c r="F129" s="106" t="s">
        <v>38</v>
      </c>
      <c r="G129" s="131" t="e">
        <f>EXP(G126)</f>
        <v>#VALUE!</v>
      </c>
      <c r="H129" s="127"/>
      <c r="I129" s="128" t="e">
        <f t="shared" si="15"/>
        <v>#VALUE!</v>
      </c>
    </row>
    <row r="130" spans="1:9" ht="15" customHeight="1">
      <c r="A130" s="65">
        <f t="shared" si="14"/>
        <v>1993</v>
      </c>
      <c r="B130" s="104">
        <f t="shared" si="14"/>
        <v>8817</v>
      </c>
      <c r="C130" s="126" t="e">
        <f t="shared" si="16"/>
        <v>#NUM!</v>
      </c>
      <c r="D130" s="67">
        <f t="shared" si="17"/>
        <v>5</v>
      </c>
      <c r="E130" s="67">
        <f t="shared" si="18"/>
        <v>1.6094379124341003</v>
      </c>
      <c r="F130" s="106"/>
      <c r="G130" s="53"/>
      <c r="H130" s="127"/>
      <c r="I130" s="128" t="e">
        <f t="shared" si="15"/>
        <v>#VALUE!</v>
      </c>
    </row>
    <row r="131" spans="1:9" ht="15" customHeight="1">
      <c r="A131" s="65">
        <f t="shared" si="14"/>
        <v>1994</v>
      </c>
      <c r="B131" s="104">
        <f t="shared" si="14"/>
        <v>8907</v>
      </c>
      <c r="C131" s="126" t="e">
        <f t="shared" si="16"/>
        <v>#NUM!</v>
      </c>
      <c r="D131" s="67">
        <f t="shared" si="17"/>
        <v>6</v>
      </c>
      <c r="E131" s="67">
        <f t="shared" si="18"/>
        <v>1.791759469228055</v>
      </c>
      <c r="F131" s="106"/>
      <c r="G131" s="53"/>
      <c r="H131" s="127"/>
      <c r="I131" s="128" t="e">
        <f t="shared" si="15"/>
        <v>#VALUE!</v>
      </c>
    </row>
    <row r="132" spans="1:9" ht="15" customHeight="1">
      <c r="A132" s="65">
        <f t="shared" si="14"/>
        <v>1995</v>
      </c>
      <c r="B132" s="104">
        <f t="shared" si="14"/>
        <v>9561</v>
      </c>
      <c r="C132" s="126">
        <f t="shared" si="16"/>
        <v>6.4232469635335194</v>
      </c>
      <c r="D132" s="67">
        <f t="shared" si="17"/>
        <v>7</v>
      </c>
      <c r="E132" s="67">
        <f t="shared" si="18"/>
        <v>1.9459101490553132</v>
      </c>
      <c r="F132" s="132" t="s">
        <v>85</v>
      </c>
      <c r="G132" s="53"/>
      <c r="H132" s="127"/>
      <c r="I132" s="128" t="e">
        <f t="shared" si="15"/>
        <v>#VALUE!</v>
      </c>
    </row>
    <row r="133" spans="1:9" ht="15" customHeight="1">
      <c r="A133" s="65">
        <f t="shared" si="14"/>
        <v>1996</v>
      </c>
      <c r="B133" s="104">
        <f t="shared" si="14"/>
        <v>10107</v>
      </c>
      <c r="C133" s="126">
        <f t="shared" si="16"/>
        <v>7.0578979374118562</v>
      </c>
      <c r="D133" s="67">
        <f t="shared" si="17"/>
        <v>8</v>
      </c>
      <c r="E133" s="67">
        <f t="shared" si="18"/>
        <v>2.0794415416798357</v>
      </c>
      <c r="F133" s="132" t="s">
        <v>86</v>
      </c>
      <c r="G133" s="53"/>
      <c r="H133" s="127"/>
      <c r="I133" s="128" t="e">
        <f t="shared" si="15"/>
        <v>#VALUE!</v>
      </c>
    </row>
    <row r="134" spans="1:9" ht="15" customHeight="1">
      <c r="A134" s="65">
        <f t="shared" si="14"/>
        <v>1997</v>
      </c>
      <c r="B134" s="104">
        <f t="shared" si="14"/>
        <v>10416</v>
      </c>
      <c r="C134" s="126">
        <f t="shared" si="16"/>
        <v>7.293697720601438</v>
      </c>
      <c r="D134" s="67">
        <f t="shared" si="17"/>
        <v>9</v>
      </c>
      <c r="E134" s="67">
        <f t="shared" si="18"/>
        <v>2.1972245773362196</v>
      </c>
      <c r="F134" s="132"/>
      <c r="G134" s="53"/>
      <c r="H134" s="127"/>
      <c r="I134" s="128" t="e">
        <f t="shared" si="15"/>
        <v>#VALUE!</v>
      </c>
    </row>
    <row r="135" spans="1:9" ht="15" customHeight="1">
      <c r="A135" s="65">
        <f t="shared" si="14"/>
        <v>1998</v>
      </c>
      <c r="B135" s="104">
        <f t="shared" si="14"/>
        <v>10645</v>
      </c>
      <c r="C135" s="126">
        <f t="shared" si="16"/>
        <v>7.4383835300443071</v>
      </c>
      <c r="D135" s="67">
        <f t="shared" si="17"/>
        <v>10</v>
      </c>
      <c r="E135" s="67">
        <f t="shared" si="18"/>
        <v>2.3025850929940459</v>
      </c>
      <c r="F135" s="132"/>
      <c r="G135" s="53"/>
      <c r="H135" s="127"/>
      <c r="I135" s="128" t="e">
        <f t="shared" si="15"/>
        <v>#VALUE!</v>
      </c>
    </row>
    <row r="136" spans="1:9" ht="15" customHeight="1">
      <c r="A136" s="65">
        <f t="shared" si="14"/>
        <v>1999</v>
      </c>
      <c r="B136" s="104">
        <f t="shared" si="14"/>
        <v>11923</v>
      </c>
      <c r="C136" s="126">
        <f t="shared" si="16"/>
        <v>7.9990072132439547</v>
      </c>
      <c r="D136" s="67">
        <f t="shared" si="17"/>
        <v>11</v>
      </c>
      <c r="E136" s="67">
        <f t="shared" si="18"/>
        <v>2.3978952727983707</v>
      </c>
      <c r="F136" s="132"/>
      <c r="G136" s="53"/>
      <c r="H136" s="127"/>
      <c r="I136" s="128" t="e">
        <f t="shared" si="15"/>
        <v>#VALUE!</v>
      </c>
    </row>
    <row r="137" spans="1:9" ht="15" customHeight="1">
      <c r="A137" s="65">
        <f t="shared" si="14"/>
        <v>2000</v>
      </c>
      <c r="B137" s="104">
        <f t="shared" si="14"/>
        <v>12487</v>
      </c>
      <c r="C137" s="126">
        <f t="shared" si="16"/>
        <v>8.1724468183427792</v>
      </c>
      <c r="D137" s="67">
        <f t="shared" si="17"/>
        <v>12</v>
      </c>
      <c r="E137" s="67">
        <f t="shared" si="18"/>
        <v>2.4849066497880004</v>
      </c>
      <c r="F137" s="132"/>
      <c r="G137" s="53"/>
      <c r="H137" s="127"/>
      <c r="I137" s="128" t="e">
        <f t="shared" si="15"/>
        <v>#VALUE!</v>
      </c>
    </row>
    <row r="138" spans="1:9" ht="15" customHeight="1">
      <c r="A138" s="65">
        <f t="shared" si="14"/>
        <v>2001</v>
      </c>
      <c r="B138" s="104">
        <f t="shared" si="14"/>
        <v>12310</v>
      </c>
      <c r="C138" s="126">
        <f t="shared" si="16"/>
        <v>8.1211832420788284</v>
      </c>
      <c r="D138" s="67">
        <f t="shared" si="17"/>
        <v>13</v>
      </c>
      <c r="E138" s="67">
        <f t="shared" si="18"/>
        <v>2.5649493574615367</v>
      </c>
      <c r="F138" s="132"/>
      <c r="G138" s="53"/>
      <c r="H138" s="127"/>
      <c r="I138" s="128" t="e">
        <f t="shared" si="15"/>
        <v>#VALUE!</v>
      </c>
    </row>
    <row r="139" spans="1:9" ht="15" customHeight="1">
      <c r="A139" s="65">
        <f t="shared" si="14"/>
        <v>2002</v>
      </c>
      <c r="B139" s="104">
        <f t="shared" si="14"/>
        <v>12027</v>
      </c>
      <c r="C139" s="126">
        <f t="shared" si="16"/>
        <v>8.0333340158800617</v>
      </c>
      <c r="D139" s="67">
        <f t="shared" si="17"/>
        <v>14</v>
      </c>
      <c r="E139" s="67">
        <f t="shared" si="18"/>
        <v>2.6390573296152584</v>
      </c>
      <c r="F139" s="132"/>
      <c r="G139" s="53"/>
      <c r="H139" s="127"/>
      <c r="I139" s="128" t="e">
        <f t="shared" si="15"/>
        <v>#VALUE!</v>
      </c>
    </row>
    <row r="140" spans="1:9" ht="15" customHeight="1">
      <c r="A140" s="65">
        <f t="shared" si="14"/>
        <v>2003</v>
      </c>
      <c r="B140" s="104">
        <f t="shared" si="14"/>
        <v>11848</v>
      </c>
      <c r="C140" s="126">
        <f t="shared" si="16"/>
        <v>7.9734999640246302</v>
      </c>
      <c r="D140" s="67">
        <f t="shared" si="17"/>
        <v>15</v>
      </c>
      <c r="E140" s="67">
        <f t="shared" si="18"/>
        <v>2.7080502011022101</v>
      </c>
      <c r="F140" s="132"/>
      <c r="G140" s="53"/>
      <c r="H140" s="127"/>
      <c r="I140" s="128" t="e">
        <f t="shared" si="15"/>
        <v>#VALUE!</v>
      </c>
    </row>
    <row r="141" spans="1:9" ht="15" customHeight="1">
      <c r="A141" s="65">
        <f t="shared" ref="A141:B145" si="19">A21</f>
        <v>2004</v>
      </c>
      <c r="B141" s="104">
        <f t="shared" si="19"/>
        <v>11403</v>
      </c>
      <c r="C141" s="126">
        <f t="shared" si="16"/>
        <v>7.8071032901259798</v>
      </c>
      <c r="D141" s="67">
        <f t="shared" si="17"/>
        <v>16</v>
      </c>
      <c r="E141" s="67">
        <f t="shared" si="18"/>
        <v>2.7725887222397811</v>
      </c>
      <c r="F141" s="132"/>
      <c r="G141" s="53"/>
      <c r="H141" s="127"/>
      <c r="I141" s="128" t="e">
        <f t="shared" si="15"/>
        <v>#VALUE!</v>
      </c>
    </row>
    <row r="142" spans="1:9" ht="15" customHeight="1">
      <c r="A142" s="65">
        <f t="shared" si="19"/>
        <v>2005</v>
      </c>
      <c r="B142" s="104">
        <f t="shared" si="19"/>
        <v>11136</v>
      </c>
      <c r="C142" s="126">
        <f t="shared" si="16"/>
        <v>7.6921133395954664</v>
      </c>
      <c r="D142" s="67">
        <f t="shared" si="17"/>
        <v>17</v>
      </c>
      <c r="E142" s="67">
        <f t="shared" si="18"/>
        <v>2.8332133440562162</v>
      </c>
      <c r="F142" s="132"/>
      <c r="G142" s="53"/>
      <c r="H142" s="127"/>
      <c r="I142" s="128" t="e">
        <f t="shared" si="15"/>
        <v>#VALUE!</v>
      </c>
    </row>
    <row r="143" spans="1:9" ht="15" customHeight="1">
      <c r="A143" s="65">
        <f t="shared" si="19"/>
        <v>2006</v>
      </c>
      <c r="B143" s="104">
        <f t="shared" si="19"/>
        <v>11152</v>
      </c>
      <c r="C143" s="126">
        <f t="shared" si="16"/>
        <v>7.6993894062567367</v>
      </c>
      <c r="D143" s="67">
        <f t="shared" si="17"/>
        <v>18</v>
      </c>
      <c r="E143" s="67">
        <f t="shared" si="18"/>
        <v>2.8903717578961645</v>
      </c>
      <c r="F143" s="132"/>
      <c r="G143" s="53"/>
      <c r="H143" s="127"/>
      <c r="I143" s="128" t="e">
        <f t="shared" si="15"/>
        <v>#VALUE!</v>
      </c>
    </row>
    <row r="144" spans="1:9" ht="15" customHeight="1" thickBot="1">
      <c r="A144" s="97">
        <f t="shared" si="19"/>
        <v>2007</v>
      </c>
      <c r="B144" s="116">
        <f t="shared" si="19"/>
        <v>11080</v>
      </c>
      <c r="C144" s="141">
        <f t="shared" si="16"/>
        <v>7.6662219256627253</v>
      </c>
      <c r="D144" s="99">
        <f t="shared" si="17"/>
        <v>19</v>
      </c>
      <c r="E144" s="99">
        <f t="shared" si="18"/>
        <v>2.9444389791664403</v>
      </c>
      <c r="F144" s="182"/>
      <c r="G144" s="101"/>
      <c r="H144" s="143"/>
      <c r="I144" s="144" t="e">
        <f t="shared" si="15"/>
        <v>#VALUE!</v>
      </c>
    </row>
    <row r="145" spans="1:9" ht="15" customHeight="1" thickTop="1">
      <c r="A145" s="255">
        <f t="shared" si="19"/>
        <v>2008</v>
      </c>
      <c r="B145" s="81" t="e">
        <f>ROUND(LOOKUP(0,D$125:D$144,B$125:B$144)+G$129*D144^G$125,0)</f>
        <v>#VALUE!</v>
      </c>
      <c r="C145" s="257"/>
      <c r="D145" s="77">
        <f t="shared" si="17"/>
        <v>20</v>
      </c>
      <c r="E145" s="77">
        <f t="shared" si="18"/>
        <v>2.9957322735539909</v>
      </c>
      <c r="F145" s="122"/>
      <c r="G145" s="78"/>
      <c r="H145" s="258"/>
      <c r="I145" s="133" t="e">
        <f t="shared" si="15"/>
        <v>#VALUE!</v>
      </c>
    </row>
    <row r="146" spans="1:9" ht="15" customHeight="1">
      <c r="A146" s="80">
        <v>2009</v>
      </c>
      <c r="B146" s="81" t="e">
        <f>ROUND(LOOKUP(0,D$125:D$144,B$125:B$144)+G$129*D145^G$125,0)</f>
        <v>#VALUE!</v>
      </c>
      <c r="C146" s="134"/>
      <c r="D146" s="67">
        <f t="shared" si="17"/>
        <v>21</v>
      </c>
      <c r="E146" s="67"/>
      <c r="F146" s="83"/>
      <c r="G146" s="69"/>
      <c r="H146" s="84"/>
      <c r="I146" s="128" t="e">
        <f t="shared" si="15"/>
        <v>#VALUE!</v>
      </c>
    </row>
    <row r="147" spans="1:9" ht="15" customHeight="1">
      <c r="A147" s="80">
        <v>2010</v>
      </c>
      <c r="B147" s="81" t="e">
        <f t="shared" ref="B147:B162" si="20">ROUND(LOOKUP(0,D$125:D$144,B$125:B$144)+G$129*D146^G$125,0)</f>
        <v>#VALUE!</v>
      </c>
      <c r="C147" s="134"/>
      <c r="D147" s="67">
        <f t="shared" si="17"/>
        <v>22</v>
      </c>
      <c r="E147" s="67"/>
      <c r="F147" s="83"/>
      <c r="G147" s="69"/>
      <c r="H147" s="84"/>
      <c r="I147" s="128" t="e">
        <f t="shared" si="15"/>
        <v>#VALUE!</v>
      </c>
    </row>
    <row r="148" spans="1:9" ht="15" customHeight="1">
      <c r="A148" s="80">
        <v>2011</v>
      </c>
      <c r="B148" s="81" t="e">
        <f t="shared" si="20"/>
        <v>#VALUE!</v>
      </c>
      <c r="C148" s="134"/>
      <c r="D148" s="67">
        <f t="shared" si="17"/>
        <v>23</v>
      </c>
      <c r="E148" s="67"/>
      <c r="F148" s="83"/>
      <c r="G148" s="69"/>
      <c r="H148" s="84"/>
      <c r="I148" s="128" t="e">
        <f t="shared" si="15"/>
        <v>#VALUE!</v>
      </c>
    </row>
    <row r="149" spans="1:9" ht="15" customHeight="1">
      <c r="A149" s="80">
        <v>2012</v>
      </c>
      <c r="B149" s="81" t="e">
        <f t="shared" si="20"/>
        <v>#VALUE!</v>
      </c>
      <c r="C149" s="134"/>
      <c r="D149" s="67">
        <f t="shared" si="17"/>
        <v>24</v>
      </c>
      <c r="E149" s="67"/>
      <c r="F149" s="83"/>
      <c r="G149" s="69"/>
      <c r="H149" s="84"/>
      <c r="I149" s="128" t="e">
        <f t="shared" si="15"/>
        <v>#VALUE!</v>
      </c>
    </row>
    <row r="150" spans="1:9" ht="15" customHeight="1">
      <c r="A150" s="80">
        <v>2013</v>
      </c>
      <c r="B150" s="81" t="e">
        <f t="shared" si="20"/>
        <v>#VALUE!</v>
      </c>
      <c r="C150" s="134"/>
      <c r="D150" s="67">
        <f t="shared" si="17"/>
        <v>25</v>
      </c>
      <c r="E150" s="67"/>
      <c r="F150" s="83"/>
      <c r="G150" s="69"/>
      <c r="H150" s="84"/>
      <c r="I150" s="128" t="e">
        <f t="shared" si="15"/>
        <v>#VALUE!</v>
      </c>
    </row>
    <row r="151" spans="1:9" ht="15" customHeight="1">
      <c r="A151" s="80">
        <v>2014</v>
      </c>
      <c r="B151" s="81" t="e">
        <f t="shared" si="20"/>
        <v>#VALUE!</v>
      </c>
      <c r="C151" s="134"/>
      <c r="D151" s="67">
        <f t="shared" si="17"/>
        <v>26</v>
      </c>
      <c r="E151" s="67"/>
      <c r="F151" s="83"/>
      <c r="G151" s="69"/>
      <c r="H151" s="84"/>
      <c r="I151" s="128" t="e">
        <f t="shared" si="15"/>
        <v>#VALUE!</v>
      </c>
    </row>
    <row r="152" spans="1:9" ht="15" customHeight="1">
      <c r="A152" s="80">
        <v>2015</v>
      </c>
      <c r="B152" s="81" t="e">
        <f t="shared" si="20"/>
        <v>#VALUE!</v>
      </c>
      <c r="C152" s="134"/>
      <c r="D152" s="67">
        <f t="shared" si="17"/>
        <v>27</v>
      </c>
      <c r="E152" s="67"/>
      <c r="F152" s="83"/>
      <c r="G152" s="69"/>
      <c r="H152" s="84"/>
      <c r="I152" s="128" t="e">
        <f t="shared" si="15"/>
        <v>#VALUE!</v>
      </c>
    </row>
    <row r="153" spans="1:9" ht="15" customHeight="1">
      <c r="A153" s="80">
        <v>2016</v>
      </c>
      <c r="B153" s="81" t="e">
        <f t="shared" si="20"/>
        <v>#VALUE!</v>
      </c>
      <c r="C153" s="134"/>
      <c r="D153" s="67">
        <f t="shared" si="17"/>
        <v>28</v>
      </c>
      <c r="E153" s="67"/>
      <c r="F153" s="83"/>
      <c r="G153" s="69"/>
      <c r="H153" s="84"/>
      <c r="I153" s="128" t="e">
        <f t="shared" si="15"/>
        <v>#VALUE!</v>
      </c>
    </row>
    <row r="154" spans="1:9" ht="15" customHeight="1">
      <c r="A154" s="80">
        <v>2017</v>
      </c>
      <c r="B154" s="81" t="e">
        <f t="shared" si="20"/>
        <v>#VALUE!</v>
      </c>
      <c r="C154" s="134"/>
      <c r="D154" s="67">
        <f t="shared" si="17"/>
        <v>29</v>
      </c>
      <c r="E154" s="67"/>
      <c r="F154" s="83"/>
      <c r="G154" s="69"/>
      <c r="H154" s="84"/>
      <c r="I154" s="128" t="e">
        <f t="shared" si="15"/>
        <v>#VALUE!</v>
      </c>
    </row>
    <row r="155" spans="1:9" ht="15" customHeight="1">
      <c r="A155" s="80">
        <v>2018</v>
      </c>
      <c r="B155" s="81" t="e">
        <f t="shared" si="20"/>
        <v>#VALUE!</v>
      </c>
      <c r="C155" s="134"/>
      <c r="D155" s="67">
        <f t="shared" si="17"/>
        <v>30</v>
      </c>
      <c r="E155" s="67"/>
      <c r="F155" s="83"/>
      <c r="G155" s="69"/>
      <c r="H155" s="84"/>
      <c r="I155" s="128" t="e">
        <f t="shared" si="15"/>
        <v>#VALUE!</v>
      </c>
    </row>
    <row r="156" spans="1:9" ht="15" customHeight="1">
      <c r="A156" s="80">
        <v>2019</v>
      </c>
      <c r="B156" s="81" t="e">
        <f t="shared" si="20"/>
        <v>#VALUE!</v>
      </c>
      <c r="C156" s="134"/>
      <c r="D156" s="67">
        <f t="shared" si="17"/>
        <v>31</v>
      </c>
      <c r="E156" s="67"/>
      <c r="F156" s="83"/>
      <c r="G156" s="69"/>
      <c r="H156" s="84"/>
      <c r="I156" s="128" t="e">
        <f t="shared" si="15"/>
        <v>#VALUE!</v>
      </c>
    </row>
    <row r="157" spans="1:9" ht="15" customHeight="1">
      <c r="A157" s="80">
        <v>2020</v>
      </c>
      <c r="B157" s="81" t="e">
        <f t="shared" si="20"/>
        <v>#VALUE!</v>
      </c>
      <c r="C157" s="134"/>
      <c r="D157" s="67">
        <f t="shared" si="17"/>
        <v>32</v>
      </c>
      <c r="E157" s="67"/>
      <c r="F157" s="83"/>
      <c r="G157" s="69"/>
      <c r="H157" s="84"/>
      <c r="I157" s="128" t="e">
        <f t="shared" si="15"/>
        <v>#VALUE!</v>
      </c>
    </row>
    <row r="158" spans="1:9" ht="15" customHeight="1">
      <c r="A158" s="80">
        <v>2021</v>
      </c>
      <c r="B158" s="81" t="e">
        <f t="shared" si="20"/>
        <v>#VALUE!</v>
      </c>
      <c r="C158" s="134"/>
      <c r="D158" s="67">
        <f t="shared" si="17"/>
        <v>33</v>
      </c>
      <c r="E158" s="67"/>
      <c r="F158" s="83"/>
      <c r="G158" s="69"/>
      <c r="H158" s="84"/>
      <c r="I158" s="128" t="e">
        <f t="shared" si="15"/>
        <v>#VALUE!</v>
      </c>
    </row>
    <row r="159" spans="1:9" ht="15" customHeight="1">
      <c r="A159" s="80">
        <v>2022</v>
      </c>
      <c r="B159" s="81" t="e">
        <f t="shared" si="20"/>
        <v>#VALUE!</v>
      </c>
      <c r="C159" s="134"/>
      <c r="D159" s="67">
        <f t="shared" si="17"/>
        <v>34</v>
      </c>
      <c r="E159" s="67"/>
      <c r="F159" s="83"/>
      <c r="G159" s="69"/>
      <c r="H159" s="84"/>
      <c r="I159" s="128" t="e">
        <f t="shared" si="15"/>
        <v>#VALUE!</v>
      </c>
    </row>
    <row r="160" spans="1:9" ht="15" customHeight="1">
      <c r="A160" s="80">
        <v>2023</v>
      </c>
      <c r="B160" s="81" t="e">
        <f t="shared" si="20"/>
        <v>#VALUE!</v>
      </c>
      <c r="C160" s="134"/>
      <c r="D160" s="67">
        <f t="shared" si="17"/>
        <v>35</v>
      </c>
      <c r="E160" s="67"/>
      <c r="F160" s="83"/>
      <c r="G160" s="69"/>
      <c r="H160" s="84"/>
      <c r="I160" s="128" t="e">
        <f t="shared" si="15"/>
        <v>#VALUE!</v>
      </c>
    </row>
    <row r="161" spans="1:9" ht="15" customHeight="1">
      <c r="A161" s="80">
        <v>2024</v>
      </c>
      <c r="B161" s="81" t="e">
        <f t="shared" si="20"/>
        <v>#VALUE!</v>
      </c>
      <c r="C161" s="135"/>
      <c r="D161" s="67">
        <f t="shared" si="17"/>
        <v>36</v>
      </c>
      <c r="E161" s="67"/>
      <c r="F161" s="69"/>
      <c r="G161" s="69"/>
      <c r="H161" s="69"/>
      <c r="I161" s="136" t="e">
        <f t="shared" si="15"/>
        <v>#VALUE!</v>
      </c>
    </row>
    <row r="162" spans="1:9" ht="15" customHeight="1">
      <c r="A162" s="85">
        <v>2025</v>
      </c>
      <c r="B162" s="81" t="e">
        <f t="shared" si="20"/>
        <v>#VALUE!</v>
      </c>
      <c r="C162" s="137"/>
      <c r="D162" s="87">
        <f t="shared" si="17"/>
        <v>37</v>
      </c>
      <c r="E162" s="87"/>
      <c r="F162" s="89"/>
      <c r="G162" s="89"/>
      <c r="H162" s="89"/>
      <c r="I162" s="138" t="e">
        <f t="shared" si="15"/>
        <v>#VALUE!</v>
      </c>
    </row>
    <row r="163" spans="1:9" ht="15" customHeight="1">
      <c r="A163" s="56" t="s">
        <v>87</v>
      </c>
      <c r="B163" s="57"/>
    </row>
    <row r="164" spans="1:9" ht="15" customHeight="1">
      <c r="A164" s="58" t="s">
        <v>32</v>
      </c>
      <c r="B164" s="59" t="s">
        <v>40</v>
      </c>
      <c r="C164" s="59" t="s">
        <v>36</v>
      </c>
      <c r="D164" s="59" t="s">
        <v>33</v>
      </c>
      <c r="E164" s="103"/>
      <c r="F164" s="60"/>
      <c r="G164" s="61"/>
      <c r="H164" s="63" t="s">
        <v>104</v>
      </c>
      <c r="I164" s="64">
        <f>RSQ(I165:I185,B165:B185)</f>
        <v>0.69500200854383987</v>
      </c>
    </row>
    <row r="165" spans="1:9" ht="15" customHeight="1">
      <c r="A165" s="65">
        <f t="shared" ref="A165:A185" si="21">A5</f>
        <v>1988</v>
      </c>
      <c r="B165" s="104">
        <f t="shared" ref="B165:B184" si="22">+B5</f>
        <v>8945</v>
      </c>
      <c r="C165" s="126">
        <f t="shared" ref="C165:C184" si="23">LN(F$168/B165-1)</f>
        <v>0.58330486468306153</v>
      </c>
      <c r="D165" s="67">
        <v>0</v>
      </c>
      <c r="E165" s="106" t="s">
        <v>75</v>
      </c>
      <c r="F165" s="139">
        <f>INDEX(LINEST(C165:C184,D165:D184),1)</f>
        <v>-3.0484817929023831E-2</v>
      </c>
      <c r="G165" s="140" t="s">
        <v>88</v>
      </c>
      <c r="H165" s="127"/>
      <c r="I165" s="128">
        <f t="shared" ref="I165:I202" si="24">$F$168/(1+EXP($F$166+$F$165*D165))</f>
        <v>8706.7799368371452</v>
      </c>
    </row>
    <row r="166" spans="1:9" ht="15" customHeight="1">
      <c r="A166" s="65">
        <f t="shared" si="21"/>
        <v>1989</v>
      </c>
      <c r="B166" s="104">
        <f t="shared" si="22"/>
        <v>9401</v>
      </c>
      <c r="C166" s="126">
        <f t="shared" si="23"/>
        <v>0.50472257891678773</v>
      </c>
      <c r="D166" s="67">
        <f t="shared" ref="D166:D202" si="25">D165+1</f>
        <v>1</v>
      </c>
      <c r="E166" s="106" t="s">
        <v>76</v>
      </c>
      <c r="F166" s="139">
        <f>INDEX(LINEST(C165:C184,D165:D184),2)</f>
        <v>0.6250500186424337</v>
      </c>
      <c r="G166" s="69"/>
      <c r="H166" s="127"/>
      <c r="I166" s="128">
        <f t="shared" si="24"/>
        <v>8880.456515221802</v>
      </c>
    </row>
    <row r="167" spans="1:9" ht="15" customHeight="1">
      <c r="A167" s="65">
        <f t="shared" si="21"/>
        <v>1990</v>
      </c>
      <c r="B167" s="104">
        <f t="shared" si="22"/>
        <v>8706</v>
      </c>
      <c r="C167" s="126">
        <f t="shared" si="23"/>
        <v>0.62518754491487216</v>
      </c>
      <c r="D167" s="67">
        <f t="shared" si="25"/>
        <v>2</v>
      </c>
      <c r="E167" s="106" t="s">
        <v>77</v>
      </c>
      <c r="F167" s="73">
        <f>I164</f>
        <v>0.69500200854383987</v>
      </c>
      <c r="G167" s="69"/>
      <c r="H167" s="127"/>
      <c r="I167" s="128">
        <f t="shared" si="24"/>
        <v>9055.6689134954358</v>
      </c>
    </row>
    <row r="168" spans="1:9" ht="15" customHeight="1">
      <c r="A168" s="65">
        <f t="shared" si="21"/>
        <v>1991</v>
      </c>
      <c r="B168" s="104">
        <f t="shared" si="22"/>
        <v>9085</v>
      </c>
      <c r="C168" s="126">
        <f t="shared" si="23"/>
        <v>0.55900234405809546</v>
      </c>
      <c r="D168" s="67">
        <f t="shared" si="25"/>
        <v>3</v>
      </c>
      <c r="E168" s="106" t="s">
        <v>39</v>
      </c>
      <c r="F168" s="110">
        <f>MAX(B165:B184)*2</f>
        <v>24974</v>
      </c>
      <c r="G168" s="69"/>
      <c r="H168" s="127"/>
      <c r="I168" s="128">
        <f t="shared" si="24"/>
        <v>9232.355123607962</v>
      </c>
    </row>
    <row r="169" spans="1:9" ht="15" customHeight="1">
      <c r="A169" s="65">
        <f t="shared" si="21"/>
        <v>1992</v>
      </c>
      <c r="B169" s="104">
        <f t="shared" si="22"/>
        <v>8744</v>
      </c>
      <c r="C169" s="126">
        <f t="shared" si="23"/>
        <v>0.61849363065226226</v>
      </c>
      <c r="D169" s="67">
        <f t="shared" si="25"/>
        <v>4</v>
      </c>
      <c r="E169" s="106"/>
      <c r="F169" s="53"/>
      <c r="G169" s="69"/>
      <c r="H169" s="127"/>
      <c r="I169" s="128">
        <f t="shared" si="24"/>
        <v>9410.4507094971977</v>
      </c>
    </row>
    <row r="170" spans="1:9" ht="15" customHeight="1">
      <c r="A170" s="65">
        <f t="shared" si="21"/>
        <v>1993</v>
      </c>
      <c r="B170" s="104">
        <f t="shared" si="22"/>
        <v>8817</v>
      </c>
      <c r="C170" s="126">
        <f t="shared" si="23"/>
        <v>0.60567171618980331</v>
      </c>
      <c r="D170" s="67">
        <f t="shared" si="25"/>
        <v>5</v>
      </c>
      <c r="E170" s="106"/>
      <c r="F170" s="53"/>
      <c r="G170" s="69"/>
      <c r="H170" s="127"/>
      <c r="I170" s="128">
        <f t="shared" si="24"/>
        <v>9589.8888835069356</v>
      </c>
    </row>
    <row r="171" spans="1:9" ht="15" customHeight="1">
      <c r="A171" s="65">
        <f t="shared" si="21"/>
        <v>1994</v>
      </c>
      <c r="B171" s="104">
        <f t="shared" si="22"/>
        <v>8907</v>
      </c>
      <c r="C171" s="126">
        <f t="shared" si="23"/>
        <v>0.58992999461146567</v>
      </c>
      <c r="D171" s="67">
        <f t="shared" si="25"/>
        <v>6</v>
      </c>
      <c r="E171" s="132" t="s">
        <v>89</v>
      </c>
      <c r="F171" s="53"/>
      <c r="G171" s="69"/>
      <c r="H171" s="127"/>
      <c r="I171" s="128">
        <f t="shared" si="24"/>
        <v>9770.6005907869894</v>
      </c>
    </row>
    <row r="172" spans="1:9" ht="15" customHeight="1">
      <c r="A172" s="65">
        <f t="shared" si="21"/>
        <v>1995</v>
      </c>
      <c r="B172" s="104">
        <f t="shared" si="22"/>
        <v>9561</v>
      </c>
      <c r="C172" s="126">
        <f t="shared" si="23"/>
        <v>0.47751898506127366</v>
      </c>
      <c r="D172" s="67">
        <f t="shared" si="25"/>
        <v>7</v>
      </c>
      <c r="E172" s="132" t="s">
        <v>90</v>
      </c>
      <c r="F172" s="53"/>
      <c r="G172" s="69"/>
      <c r="H172" s="127"/>
      <c r="I172" s="128">
        <f t="shared" si="24"/>
        <v>9952.514601523626</v>
      </c>
    </row>
    <row r="173" spans="1:9" ht="15" customHeight="1">
      <c r="A173" s="65">
        <f t="shared" si="21"/>
        <v>1996</v>
      </c>
      <c r="B173" s="104">
        <f t="shared" si="22"/>
        <v>10107</v>
      </c>
      <c r="C173" s="126">
        <f t="shared" si="23"/>
        <v>0.38591573853868838</v>
      </c>
      <c r="D173" s="67">
        <f t="shared" si="25"/>
        <v>8</v>
      </c>
      <c r="E173" s="132"/>
      <c r="F173" s="53"/>
      <c r="G173" s="69"/>
      <c r="H173" s="127"/>
      <c r="I173" s="128">
        <f t="shared" si="24"/>
        <v>10135.557610804557</v>
      </c>
    </row>
    <row r="174" spans="1:9" ht="15" customHeight="1">
      <c r="A174" s="65">
        <f t="shared" si="21"/>
        <v>1997</v>
      </c>
      <c r="B174" s="104">
        <f t="shared" si="22"/>
        <v>10416</v>
      </c>
      <c r="C174" s="126">
        <f t="shared" si="23"/>
        <v>0.3347975852298527</v>
      </c>
      <c r="D174" s="67">
        <f t="shared" si="25"/>
        <v>9</v>
      </c>
      <c r="E174" s="132"/>
      <c r="F174" s="53"/>
      <c r="G174" s="69"/>
      <c r="H174" s="127"/>
      <c r="I174" s="128">
        <f t="shared" si="24"/>
        <v>10319.654345878247</v>
      </c>
    </row>
    <row r="175" spans="1:9" ht="15" customHeight="1">
      <c r="A175" s="65">
        <f t="shared" si="21"/>
        <v>1998</v>
      </c>
      <c r="B175" s="104">
        <f t="shared" si="22"/>
        <v>10645</v>
      </c>
      <c r="C175" s="126">
        <f t="shared" si="23"/>
        <v>0.29719515738902308</v>
      </c>
      <c r="D175" s="67">
        <f t="shared" si="25"/>
        <v>10</v>
      </c>
      <c r="E175" s="132"/>
      <c r="F175" s="53"/>
      <c r="G175" s="69"/>
      <c r="H175" s="127"/>
      <c r="I175" s="128">
        <f t="shared" si="24"/>
        <v>10504.727680523643</v>
      </c>
    </row>
    <row r="176" spans="1:9" ht="15" customHeight="1">
      <c r="A176" s="65">
        <f t="shared" si="21"/>
        <v>1999</v>
      </c>
      <c r="B176" s="104">
        <f t="shared" si="22"/>
        <v>11923</v>
      </c>
      <c r="C176" s="126">
        <f t="shared" si="23"/>
        <v>9.0395451361395721E-2</v>
      </c>
      <c r="D176" s="67">
        <f t="shared" si="25"/>
        <v>11</v>
      </c>
      <c r="E176" s="132"/>
      <c r="F176" s="53"/>
      <c r="G176" s="69"/>
      <c r="H176" s="127"/>
      <c r="I176" s="128">
        <f t="shared" si="24"/>
        <v>10690.698756203419</v>
      </c>
    </row>
    <row r="177" spans="1:9" ht="15" customHeight="1">
      <c r="A177" s="65">
        <f t="shared" si="21"/>
        <v>2000</v>
      </c>
      <c r="B177" s="104">
        <f t="shared" si="22"/>
        <v>12487</v>
      </c>
      <c r="C177" s="126">
        <f t="shared" si="23"/>
        <v>0</v>
      </c>
      <c r="D177" s="67">
        <f t="shared" si="25"/>
        <v>12</v>
      </c>
      <c r="E177" s="132"/>
      <c r="F177" s="53"/>
      <c r="G177" s="69"/>
      <c r="H177" s="127"/>
      <c r="I177" s="128">
        <f t="shared" si="24"/>
        <v>10877.48710963232</v>
      </c>
    </row>
    <row r="178" spans="1:9" ht="15" customHeight="1">
      <c r="A178" s="65">
        <f t="shared" si="21"/>
        <v>2001</v>
      </c>
      <c r="B178" s="104">
        <f t="shared" si="22"/>
        <v>12310</v>
      </c>
      <c r="C178" s="126">
        <f t="shared" si="23"/>
        <v>2.8351382382348769E-2</v>
      </c>
      <c r="D178" s="67">
        <f t="shared" si="25"/>
        <v>13</v>
      </c>
      <c r="E178" s="132"/>
      <c r="F178" s="53"/>
      <c r="G178" s="69"/>
      <c r="H178" s="127"/>
      <c r="I178" s="128">
        <f t="shared" si="24"/>
        <v>11065.01080635208</v>
      </c>
    </row>
    <row r="179" spans="1:9" ht="15" customHeight="1">
      <c r="A179" s="65">
        <f t="shared" si="21"/>
        <v>2002</v>
      </c>
      <c r="B179" s="104">
        <f t="shared" si="22"/>
        <v>12027</v>
      </c>
      <c r="C179" s="126">
        <f t="shared" si="23"/>
        <v>7.3709978748030605E-2</v>
      </c>
      <c r="D179" s="67">
        <f t="shared" si="25"/>
        <v>14</v>
      </c>
      <c r="E179" s="132"/>
      <c r="F179" s="53"/>
      <c r="G179" s="69"/>
      <c r="H179" s="127"/>
      <c r="I179" s="128">
        <f t="shared" si="24"/>
        <v>11253.186579866453</v>
      </c>
    </row>
    <row r="180" spans="1:9" ht="15" customHeight="1">
      <c r="A180" s="65">
        <f t="shared" si="21"/>
        <v>2003</v>
      </c>
      <c r="B180" s="104">
        <f t="shared" si="22"/>
        <v>11848</v>
      </c>
      <c r="C180" s="126">
        <f t="shared" si="23"/>
        <v>0.10243591908603351</v>
      </c>
      <c r="D180" s="67">
        <f t="shared" si="25"/>
        <v>15</v>
      </c>
      <c r="E180" s="132"/>
      <c r="F180" s="53"/>
      <c r="G180" s="69"/>
      <c r="H180" s="127"/>
      <c r="I180" s="128">
        <f t="shared" si="24"/>
        <v>11441.929975854355</v>
      </c>
    </row>
    <row r="181" spans="1:9" ht="15" customHeight="1">
      <c r="A181" s="65">
        <f t="shared" si="21"/>
        <v>2004</v>
      </c>
      <c r="B181" s="104">
        <f t="shared" si="22"/>
        <v>11403</v>
      </c>
      <c r="C181" s="126">
        <f t="shared" si="23"/>
        <v>0.1740586844240124</v>
      </c>
      <c r="D181" s="67">
        <f t="shared" si="25"/>
        <v>16</v>
      </c>
      <c r="E181" s="106"/>
      <c r="F181" s="53"/>
      <c r="G181" s="69"/>
      <c r="H181" s="127"/>
      <c r="I181" s="128">
        <f t="shared" si="24"/>
        <v>11631.155500946104</v>
      </c>
    </row>
    <row r="182" spans="1:9" ht="15" customHeight="1">
      <c r="A182" s="65">
        <f t="shared" si="21"/>
        <v>2005</v>
      </c>
      <c r="B182" s="104">
        <f t="shared" si="22"/>
        <v>11136</v>
      </c>
      <c r="C182" s="126">
        <f t="shared" si="23"/>
        <v>0.21723532748455535</v>
      </c>
      <c r="D182" s="67">
        <f t="shared" si="25"/>
        <v>17</v>
      </c>
      <c r="E182" s="83"/>
      <c r="F182" s="69"/>
      <c r="G182" s="69"/>
      <c r="H182" s="127"/>
      <c r="I182" s="128">
        <f t="shared" si="24"/>
        <v>11820.776775518014</v>
      </c>
    </row>
    <row r="183" spans="1:9" ht="15" customHeight="1">
      <c r="A183" s="65">
        <f t="shared" si="21"/>
        <v>2006</v>
      </c>
      <c r="B183" s="104">
        <f t="shared" si="22"/>
        <v>11152</v>
      </c>
      <c r="C183" s="126">
        <f t="shared" si="23"/>
        <v>0.2146426716510344</v>
      </c>
      <c r="D183" s="67">
        <f t="shared" si="25"/>
        <v>18</v>
      </c>
      <c r="E183" s="83"/>
      <c r="F183" s="69"/>
      <c r="G183" s="69"/>
      <c r="H183" s="127"/>
      <c r="I183" s="128">
        <f t="shared" si="24"/>
        <v>12010.706689934035</v>
      </c>
    </row>
    <row r="184" spans="1:9" ht="15" customHeight="1" thickBot="1">
      <c r="A184" s="97">
        <f t="shared" si="21"/>
        <v>2007</v>
      </c>
      <c r="B184" s="116">
        <f t="shared" si="22"/>
        <v>11080</v>
      </c>
      <c r="C184" s="141">
        <f t="shared" si="23"/>
        <v>0.22631541095155147</v>
      </c>
      <c r="D184" s="99">
        <f t="shared" si="25"/>
        <v>19</v>
      </c>
      <c r="E184" s="142"/>
      <c r="F184" s="100"/>
      <c r="G184" s="100"/>
      <c r="H184" s="143"/>
      <c r="I184" s="144">
        <f t="shared" si="24"/>
        <v>12200.857563640238</v>
      </c>
    </row>
    <row r="185" spans="1:9" ht="15" customHeight="1" thickTop="1">
      <c r="A185" s="255">
        <f t="shared" si="21"/>
        <v>2008</v>
      </c>
      <c r="B185" s="81">
        <f t="shared" ref="B185:B202" si="26">ROUND(F$168/(1+EXP(F$166+F$165*D185)),0)</f>
        <v>12391</v>
      </c>
      <c r="C185" s="257"/>
      <c r="D185" s="77">
        <f t="shared" si="25"/>
        <v>20</v>
      </c>
      <c r="E185" s="122"/>
      <c r="F185" s="78"/>
      <c r="G185" s="78"/>
      <c r="H185" s="258"/>
      <c r="I185" s="133">
        <f t="shared" si="24"/>
        <v>12391.141306498885</v>
      </c>
    </row>
    <row r="186" spans="1:9" ht="15" customHeight="1">
      <c r="A186" s="80">
        <v>2009</v>
      </c>
      <c r="B186" s="81">
        <f t="shared" si="26"/>
        <v>12581</v>
      </c>
      <c r="C186" s="134"/>
      <c r="D186" s="67">
        <f t="shared" si="25"/>
        <v>21</v>
      </c>
      <c r="E186" s="83"/>
      <c r="F186" s="69"/>
      <c r="G186" s="69"/>
      <c r="H186" s="84"/>
      <c r="I186" s="128">
        <f t="shared" si="24"/>
        <v>12581.469581733754</v>
      </c>
    </row>
    <row r="187" spans="1:9" ht="15" customHeight="1">
      <c r="A187" s="80">
        <v>2010</v>
      </c>
      <c r="B187" s="81">
        <f t="shared" si="26"/>
        <v>12772</v>
      </c>
      <c r="C187" s="134"/>
      <c r="D187" s="67">
        <f t="shared" si="25"/>
        <v>22</v>
      </c>
      <c r="E187" s="83"/>
      <c r="F187" s="69"/>
      <c r="G187" s="69"/>
      <c r="H187" s="84"/>
      <c r="I187" s="128">
        <f t="shared" si="24"/>
        <v>12771.753969847552</v>
      </c>
    </row>
    <row r="188" spans="1:9" ht="15" customHeight="1">
      <c r="A188" s="80">
        <v>2011</v>
      </c>
      <c r="B188" s="81">
        <f t="shared" si="26"/>
        <v>12962</v>
      </c>
      <c r="C188" s="134"/>
      <c r="D188" s="67">
        <f t="shared" si="25"/>
        <v>23</v>
      </c>
      <c r="E188" s="83"/>
      <c r="F188" s="69"/>
      <c r="G188" s="69"/>
      <c r="H188" s="84"/>
      <c r="I188" s="128">
        <f t="shared" si="24"/>
        <v>12961.906132865672</v>
      </c>
    </row>
    <row r="189" spans="1:9" ht="15" customHeight="1">
      <c r="A189" s="80">
        <v>2012</v>
      </c>
      <c r="B189" s="81">
        <f t="shared" si="26"/>
        <v>13152</v>
      </c>
      <c r="C189" s="134"/>
      <c r="D189" s="67">
        <f t="shared" si="25"/>
        <v>24</v>
      </c>
      <c r="E189" s="83"/>
      <c r="F189" s="69"/>
      <c r="G189" s="69"/>
      <c r="H189" s="84"/>
      <c r="I189" s="128">
        <f t="shared" si="24"/>
        <v>13151.837978258329</v>
      </c>
    </row>
    <row r="190" spans="1:9" ht="15" customHeight="1">
      <c r="A190" s="80">
        <v>2013</v>
      </c>
      <c r="B190" s="81">
        <f t="shared" si="26"/>
        <v>13341</v>
      </c>
      <c r="C190" s="134"/>
      <c r="D190" s="67">
        <f t="shared" si="25"/>
        <v>25</v>
      </c>
      <c r="E190" s="83"/>
      <c r="F190" s="69"/>
      <c r="G190" s="69"/>
      <c r="H190" s="84"/>
      <c r="I190" s="128">
        <f t="shared" si="24"/>
        <v>13341.461821895311</v>
      </c>
    </row>
    <row r="191" spans="1:9" ht="15" customHeight="1">
      <c r="A191" s="80">
        <v>2014</v>
      </c>
      <c r="B191" s="81">
        <f t="shared" si="26"/>
        <v>13531</v>
      </c>
      <c r="C191" s="134"/>
      <c r="D191" s="67">
        <f t="shared" si="25"/>
        <v>26</v>
      </c>
      <c r="E191" s="83"/>
      <c r="F191" s="69"/>
      <c r="G191" s="69"/>
      <c r="H191" s="84"/>
      <c r="I191" s="128">
        <f t="shared" si="24"/>
        <v>13530.690549394101</v>
      </c>
    </row>
    <row r="192" spans="1:9" ht="15" customHeight="1">
      <c r="A192" s="80">
        <v>2015</v>
      </c>
      <c r="B192" s="81">
        <f t="shared" si="26"/>
        <v>13719</v>
      </c>
      <c r="C192" s="134"/>
      <c r="D192" s="67">
        <f t="shared" si="25"/>
        <v>27</v>
      </c>
      <c r="E192" s="83"/>
      <c r="F192" s="69"/>
      <c r="G192" s="69"/>
      <c r="H192" s="84"/>
      <c r="I192" s="128">
        <f t="shared" si="24"/>
        <v>13719.437775232947</v>
      </c>
    </row>
    <row r="193" spans="1:10" ht="15" customHeight="1">
      <c r="A193" s="80">
        <v>2016</v>
      </c>
      <c r="B193" s="81">
        <f t="shared" si="26"/>
        <v>13908</v>
      </c>
      <c r="C193" s="134"/>
      <c r="D193" s="67">
        <f t="shared" si="25"/>
        <v>28</v>
      </c>
      <c r="E193" s="83"/>
      <c r="F193" s="69"/>
      <c r="G193" s="69"/>
      <c r="H193" s="84"/>
      <c r="I193" s="128">
        <f t="shared" si="24"/>
        <v>13907.617999015505</v>
      </c>
    </row>
    <row r="194" spans="1:10" ht="15" customHeight="1">
      <c r="A194" s="80">
        <v>2017</v>
      </c>
      <c r="B194" s="81">
        <f t="shared" si="26"/>
        <v>14095</v>
      </c>
      <c r="C194" s="134"/>
      <c r="D194" s="67">
        <f t="shared" si="25"/>
        <v>29</v>
      </c>
      <c r="E194" s="83"/>
      <c r="F194" s="69"/>
      <c r="G194" s="69"/>
      <c r="H194" s="84"/>
      <c r="I194" s="128">
        <f t="shared" si="24"/>
        <v>14095.146758292689</v>
      </c>
    </row>
    <row r="195" spans="1:10" ht="15" customHeight="1">
      <c r="A195" s="80">
        <v>2018</v>
      </c>
      <c r="B195" s="81">
        <f t="shared" si="26"/>
        <v>14282</v>
      </c>
      <c r="C195" s="134"/>
      <c r="D195" s="67">
        <f t="shared" si="25"/>
        <v>30</v>
      </c>
      <c r="E195" s="83"/>
      <c r="F195" s="69"/>
      <c r="G195" s="69"/>
      <c r="H195" s="84"/>
      <c r="I195" s="128">
        <f t="shared" si="24"/>
        <v>14281.940777370259</v>
      </c>
    </row>
    <row r="196" spans="1:10" ht="15" customHeight="1">
      <c r="A196" s="80">
        <v>2019</v>
      </c>
      <c r="B196" s="81">
        <f t="shared" si="26"/>
        <v>14468</v>
      </c>
      <c r="C196" s="134"/>
      <c r="D196" s="67">
        <f t="shared" si="25"/>
        <v>31</v>
      </c>
      <c r="E196" s="83"/>
      <c r="F196" s="69"/>
      <c r="G196" s="69"/>
      <c r="H196" s="84"/>
      <c r="I196" s="128">
        <f t="shared" si="24"/>
        <v>14467.91811155715</v>
      </c>
    </row>
    <row r="197" spans="1:10" ht="15" customHeight="1">
      <c r="A197" s="80">
        <v>2020</v>
      </c>
      <c r="B197" s="81">
        <f t="shared" si="26"/>
        <v>14653</v>
      </c>
      <c r="C197" s="134"/>
      <c r="D197" s="67">
        <f t="shared" si="25"/>
        <v>32</v>
      </c>
      <c r="E197" s="83"/>
      <c r="F197" s="69"/>
      <c r="G197" s="69"/>
      <c r="H197" s="84"/>
      <c r="I197" s="128">
        <f t="shared" si="24"/>
        <v>14652.998286339376</v>
      </c>
    </row>
    <row r="198" spans="1:10" ht="15" customHeight="1">
      <c r="A198" s="80">
        <v>2021</v>
      </c>
      <c r="B198" s="81">
        <f t="shared" si="26"/>
        <v>14837</v>
      </c>
      <c r="C198" s="134"/>
      <c r="D198" s="67">
        <f t="shared" si="25"/>
        <v>33</v>
      </c>
      <c r="E198" s="83"/>
      <c r="F198" s="69"/>
      <c r="G198" s="69"/>
      <c r="H198" s="84"/>
      <c r="I198" s="128">
        <f t="shared" si="24"/>
        <v>14837.102430997193</v>
      </c>
    </row>
    <row r="199" spans="1:10" ht="15" customHeight="1">
      <c r="A199" s="80">
        <v>2022</v>
      </c>
      <c r="B199" s="81">
        <f t="shared" si="26"/>
        <v>15020</v>
      </c>
      <c r="C199" s="134"/>
      <c r="D199" s="67">
        <f t="shared" si="25"/>
        <v>34</v>
      </c>
      <c r="E199" s="83"/>
      <c r="F199" s="69"/>
      <c r="G199" s="69"/>
      <c r="H199" s="84"/>
      <c r="I199" s="128">
        <f t="shared" si="24"/>
        <v>15020.153406218791</v>
      </c>
    </row>
    <row r="200" spans="1:10" ht="15" customHeight="1">
      <c r="A200" s="80">
        <v>2023</v>
      </c>
      <c r="B200" s="81">
        <f t="shared" si="26"/>
        <v>15202</v>
      </c>
      <c r="C200" s="134"/>
      <c r="D200" s="67">
        <f t="shared" si="25"/>
        <v>35</v>
      </c>
      <c r="E200" s="83"/>
      <c r="F200" s="69"/>
      <c r="G200" s="69"/>
      <c r="H200" s="84"/>
      <c r="I200" s="128">
        <f t="shared" si="24"/>
        <v>15202.075925301757</v>
      </c>
    </row>
    <row r="201" spans="1:10" ht="15" customHeight="1">
      <c r="A201" s="80">
        <v>2024</v>
      </c>
      <c r="B201" s="81">
        <f t="shared" si="26"/>
        <v>15383</v>
      </c>
      <c r="C201" s="135"/>
      <c r="D201" s="67">
        <f t="shared" si="25"/>
        <v>36</v>
      </c>
      <c r="E201" s="69"/>
      <c r="F201" s="69"/>
      <c r="G201" s="69"/>
      <c r="H201" s="69"/>
      <c r="I201" s="136">
        <f t="shared" si="24"/>
        <v>15382.796668573561</v>
      </c>
    </row>
    <row r="202" spans="1:10" ht="15" customHeight="1">
      <c r="A202" s="85">
        <v>2025</v>
      </c>
      <c r="B202" s="86">
        <f t="shared" si="26"/>
        <v>15562</v>
      </c>
      <c r="C202" s="137"/>
      <c r="D202" s="87">
        <f t="shared" si="25"/>
        <v>37</v>
      </c>
      <c r="E202" s="89"/>
      <c r="F202" s="89"/>
      <c r="G202" s="89"/>
      <c r="H202" s="89"/>
      <c r="I202" s="138">
        <f t="shared" si="24"/>
        <v>15562.244390703829</v>
      </c>
    </row>
    <row r="203" spans="1:10" ht="15" customHeight="1">
      <c r="A203" s="56" t="s">
        <v>105</v>
      </c>
      <c r="B203" s="57"/>
    </row>
    <row r="204" spans="1:10" ht="15" customHeight="1">
      <c r="A204" s="56"/>
      <c r="B204" s="57"/>
    </row>
    <row r="205" spans="1:10" ht="24">
      <c r="A205" s="145" t="s">
        <v>32</v>
      </c>
      <c r="B205" s="146" t="s">
        <v>91</v>
      </c>
      <c r="C205" s="147" t="s">
        <v>72</v>
      </c>
      <c r="D205" s="147" t="s">
        <v>92</v>
      </c>
      <c r="E205" s="147" t="s">
        <v>93</v>
      </c>
      <c r="F205" s="147" t="s">
        <v>94</v>
      </c>
      <c r="G205" s="147" t="s">
        <v>95</v>
      </c>
      <c r="H205" s="148" t="s">
        <v>96</v>
      </c>
      <c r="I205" s="149" t="s">
        <v>106</v>
      </c>
      <c r="J205" s="150" t="s">
        <v>107</v>
      </c>
    </row>
    <row r="206" spans="1:10" ht="20.100000000000001" customHeight="1">
      <c r="A206" s="65">
        <v>2008</v>
      </c>
      <c r="B206" s="151">
        <f t="shared" ref="B206:B223" si="27">B25</f>
        <v>11192</v>
      </c>
      <c r="C206" s="152">
        <f t="shared" ref="C206:C223" si="28">B65</f>
        <v>12362</v>
      </c>
      <c r="D206" s="152">
        <f t="shared" ref="D206:D223" si="29">B105</f>
        <v>11206</v>
      </c>
      <c r="E206" s="152"/>
      <c r="F206" s="152">
        <f t="shared" ref="F206:F223" si="30">B185</f>
        <v>12391</v>
      </c>
      <c r="G206" s="152">
        <f t="shared" ref="G206:G223" si="31">ROUND(AVERAGE(B206:F206),1)</f>
        <v>11787.8</v>
      </c>
      <c r="H206" s="152">
        <f t="shared" ref="H206:H223" si="32">ROUND((SUM(B206:F206)-MAX(B206:F206)-MIN(B206:F206))/(COUNT(B206:F206)-2),1)</f>
        <v>11784</v>
      </c>
      <c r="I206" s="153">
        <f t="shared" ref="I206:I223" si="33">ROUND(SUMIF(B$224:H$224,"○",B206:H206),0)</f>
        <v>11788</v>
      </c>
      <c r="J206" s="261"/>
    </row>
    <row r="207" spans="1:10" ht="20.100000000000001" customHeight="1">
      <c r="A207" s="80">
        <v>2009</v>
      </c>
      <c r="B207" s="151">
        <f t="shared" si="27"/>
        <v>11305</v>
      </c>
      <c r="C207" s="152">
        <f t="shared" si="28"/>
        <v>12545</v>
      </c>
      <c r="D207" s="152">
        <f t="shared" si="29"/>
        <v>11333</v>
      </c>
      <c r="E207" s="152"/>
      <c r="F207" s="152">
        <f t="shared" si="30"/>
        <v>12581</v>
      </c>
      <c r="G207" s="152">
        <f t="shared" si="31"/>
        <v>11941</v>
      </c>
      <c r="H207" s="152">
        <f t="shared" si="32"/>
        <v>11939</v>
      </c>
      <c r="I207" s="153">
        <f t="shared" si="33"/>
        <v>11941</v>
      </c>
      <c r="J207" s="154"/>
    </row>
    <row r="208" spans="1:10" ht="20.100000000000001" customHeight="1">
      <c r="A208" s="80">
        <v>2010</v>
      </c>
      <c r="B208" s="151">
        <f t="shared" si="27"/>
        <v>11417</v>
      </c>
      <c r="C208" s="152">
        <f t="shared" si="28"/>
        <v>12729</v>
      </c>
      <c r="D208" s="152">
        <f t="shared" si="29"/>
        <v>11461</v>
      </c>
      <c r="E208" s="152"/>
      <c r="F208" s="152">
        <f t="shared" si="30"/>
        <v>12772</v>
      </c>
      <c r="G208" s="152">
        <f t="shared" si="31"/>
        <v>12094.8</v>
      </c>
      <c r="H208" s="152">
        <f t="shared" si="32"/>
        <v>12095</v>
      </c>
      <c r="I208" s="153">
        <f t="shared" si="33"/>
        <v>12095</v>
      </c>
      <c r="J208" s="154"/>
    </row>
    <row r="209" spans="1:49" ht="20.100000000000001" customHeight="1">
      <c r="A209" s="80">
        <v>2011</v>
      </c>
      <c r="B209" s="151">
        <f t="shared" si="27"/>
        <v>11529</v>
      </c>
      <c r="C209" s="152">
        <f t="shared" si="28"/>
        <v>12912</v>
      </c>
      <c r="D209" s="152">
        <f t="shared" si="29"/>
        <v>11591</v>
      </c>
      <c r="E209" s="152"/>
      <c r="F209" s="152">
        <f t="shared" si="30"/>
        <v>12962</v>
      </c>
      <c r="G209" s="152">
        <f t="shared" si="31"/>
        <v>12248.5</v>
      </c>
      <c r="H209" s="152">
        <f t="shared" si="32"/>
        <v>12251.5</v>
      </c>
      <c r="I209" s="153">
        <f t="shared" si="33"/>
        <v>12249</v>
      </c>
      <c r="J209" s="154"/>
    </row>
    <row r="210" spans="1:49" ht="20.100000000000001" customHeight="1">
      <c r="A210" s="80">
        <v>2012</v>
      </c>
      <c r="B210" s="151">
        <f t="shared" si="27"/>
        <v>11642</v>
      </c>
      <c r="C210" s="152">
        <f t="shared" si="28"/>
        <v>13096</v>
      </c>
      <c r="D210" s="152">
        <f t="shared" si="29"/>
        <v>11722</v>
      </c>
      <c r="E210" s="152"/>
      <c r="F210" s="152">
        <f t="shared" si="30"/>
        <v>13152</v>
      </c>
      <c r="G210" s="152">
        <f t="shared" si="31"/>
        <v>12403</v>
      </c>
      <c r="H210" s="152">
        <f t="shared" si="32"/>
        <v>12409</v>
      </c>
      <c r="I210" s="153">
        <f t="shared" si="33"/>
        <v>12403</v>
      </c>
      <c r="J210" s="154"/>
    </row>
    <row r="211" spans="1:49" ht="20.100000000000001" customHeight="1">
      <c r="A211" s="80">
        <v>2013</v>
      </c>
      <c r="B211" s="151">
        <f t="shared" si="27"/>
        <v>11754</v>
      </c>
      <c r="C211" s="152">
        <f t="shared" si="28"/>
        <v>13280</v>
      </c>
      <c r="D211" s="152">
        <f t="shared" si="29"/>
        <v>11855</v>
      </c>
      <c r="E211" s="152"/>
      <c r="F211" s="152">
        <f t="shared" si="30"/>
        <v>13341</v>
      </c>
      <c r="G211" s="152">
        <f t="shared" si="31"/>
        <v>12557.5</v>
      </c>
      <c r="H211" s="152">
        <f t="shared" si="32"/>
        <v>12567.5</v>
      </c>
      <c r="I211" s="153">
        <f t="shared" si="33"/>
        <v>12558</v>
      </c>
      <c r="J211" s="154"/>
    </row>
    <row r="212" spans="1:49" ht="20.100000000000001" customHeight="1">
      <c r="A212" s="80">
        <v>2014</v>
      </c>
      <c r="B212" s="151">
        <f t="shared" si="27"/>
        <v>11867</v>
      </c>
      <c r="C212" s="152">
        <f t="shared" si="28"/>
        <v>13463</v>
      </c>
      <c r="D212" s="152">
        <f t="shared" si="29"/>
        <v>11989</v>
      </c>
      <c r="E212" s="152"/>
      <c r="F212" s="152">
        <f t="shared" si="30"/>
        <v>13531</v>
      </c>
      <c r="G212" s="152">
        <f t="shared" si="31"/>
        <v>12712.5</v>
      </c>
      <c r="H212" s="152">
        <f t="shared" si="32"/>
        <v>12726</v>
      </c>
      <c r="I212" s="153">
        <f t="shared" si="33"/>
        <v>12713</v>
      </c>
      <c r="J212" s="154"/>
    </row>
    <row r="213" spans="1:49" ht="20.100000000000001" customHeight="1">
      <c r="A213" s="80">
        <v>2015</v>
      </c>
      <c r="B213" s="151">
        <f t="shared" si="27"/>
        <v>11979</v>
      </c>
      <c r="C213" s="152">
        <f t="shared" si="28"/>
        <v>13647</v>
      </c>
      <c r="D213" s="152">
        <f t="shared" si="29"/>
        <v>12125</v>
      </c>
      <c r="E213" s="152"/>
      <c r="F213" s="152">
        <f t="shared" si="30"/>
        <v>13719</v>
      </c>
      <c r="G213" s="152">
        <f t="shared" si="31"/>
        <v>12867.5</v>
      </c>
      <c r="H213" s="152">
        <f t="shared" si="32"/>
        <v>12886</v>
      </c>
      <c r="I213" s="153">
        <f t="shared" si="33"/>
        <v>12868</v>
      </c>
      <c r="J213" s="154"/>
    </row>
    <row r="214" spans="1:49" ht="20.100000000000001" customHeight="1">
      <c r="A214" s="80">
        <v>2016</v>
      </c>
      <c r="B214" s="151">
        <f t="shared" si="27"/>
        <v>12091</v>
      </c>
      <c r="C214" s="152">
        <f t="shared" si="28"/>
        <v>13830</v>
      </c>
      <c r="D214" s="152">
        <f t="shared" si="29"/>
        <v>12263</v>
      </c>
      <c r="E214" s="152"/>
      <c r="F214" s="152">
        <f t="shared" si="30"/>
        <v>13908</v>
      </c>
      <c r="G214" s="152">
        <f t="shared" si="31"/>
        <v>13023</v>
      </c>
      <c r="H214" s="152">
        <f t="shared" si="32"/>
        <v>13046.5</v>
      </c>
      <c r="I214" s="153">
        <f t="shared" si="33"/>
        <v>13023</v>
      </c>
      <c r="J214" s="154"/>
    </row>
    <row r="215" spans="1:49" ht="20.100000000000001" customHeight="1">
      <c r="A215" s="80">
        <v>2017</v>
      </c>
      <c r="B215" s="151">
        <f t="shared" si="27"/>
        <v>12204</v>
      </c>
      <c r="C215" s="152">
        <f t="shared" si="28"/>
        <v>14014</v>
      </c>
      <c r="D215" s="152">
        <f t="shared" si="29"/>
        <v>12401</v>
      </c>
      <c r="E215" s="152"/>
      <c r="F215" s="152">
        <f t="shared" si="30"/>
        <v>14095</v>
      </c>
      <c r="G215" s="152">
        <f t="shared" si="31"/>
        <v>13178.5</v>
      </c>
      <c r="H215" s="152">
        <f t="shared" si="32"/>
        <v>13207.5</v>
      </c>
      <c r="I215" s="153">
        <f t="shared" si="33"/>
        <v>13179</v>
      </c>
      <c r="J215" s="154"/>
    </row>
    <row r="216" spans="1:49" ht="20.100000000000001" customHeight="1">
      <c r="A216" s="80">
        <v>2018</v>
      </c>
      <c r="B216" s="151">
        <f t="shared" si="27"/>
        <v>12316</v>
      </c>
      <c r="C216" s="152">
        <f t="shared" si="28"/>
        <v>14197</v>
      </c>
      <c r="D216" s="152">
        <f t="shared" si="29"/>
        <v>12542</v>
      </c>
      <c r="E216" s="152"/>
      <c r="F216" s="152">
        <f t="shared" si="30"/>
        <v>14282</v>
      </c>
      <c r="G216" s="152">
        <f t="shared" si="31"/>
        <v>13334.3</v>
      </c>
      <c r="H216" s="152">
        <f t="shared" si="32"/>
        <v>13369.5</v>
      </c>
      <c r="I216" s="153">
        <f t="shared" si="33"/>
        <v>13334</v>
      </c>
      <c r="J216" s="154"/>
    </row>
    <row r="217" spans="1:49" ht="20.100000000000001" customHeight="1">
      <c r="A217" s="80">
        <v>2019</v>
      </c>
      <c r="B217" s="151">
        <f t="shared" si="27"/>
        <v>12428</v>
      </c>
      <c r="C217" s="152">
        <f t="shared" si="28"/>
        <v>14381</v>
      </c>
      <c r="D217" s="152">
        <f t="shared" si="29"/>
        <v>12684</v>
      </c>
      <c r="E217" s="152"/>
      <c r="F217" s="152">
        <f t="shared" si="30"/>
        <v>14468</v>
      </c>
      <c r="G217" s="152">
        <f t="shared" si="31"/>
        <v>13490.3</v>
      </c>
      <c r="H217" s="152">
        <f t="shared" si="32"/>
        <v>13532.5</v>
      </c>
      <c r="I217" s="153">
        <f t="shared" si="33"/>
        <v>13490</v>
      </c>
      <c r="J217" s="154"/>
    </row>
    <row r="218" spans="1:49" ht="20.100000000000001" customHeight="1">
      <c r="A218" s="80">
        <v>2020</v>
      </c>
      <c r="B218" s="151">
        <f t="shared" si="27"/>
        <v>12541</v>
      </c>
      <c r="C218" s="152">
        <f t="shared" si="28"/>
        <v>14564</v>
      </c>
      <c r="D218" s="152">
        <f t="shared" si="29"/>
        <v>12828</v>
      </c>
      <c r="E218" s="152"/>
      <c r="F218" s="152">
        <f t="shared" si="30"/>
        <v>14653</v>
      </c>
      <c r="G218" s="152">
        <f t="shared" si="31"/>
        <v>13646.5</v>
      </c>
      <c r="H218" s="152">
        <f t="shared" si="32"/>
        <v>13696</v>
      </c>
      <c r="I218" s="153">
        <f t="shared" si="33"/>
        <v>13647</v>
      </c>
      <c r="J218" s="154"/>
    </row>
    <row r="219" spans="1:49" ht="20.100000000000001" customHeight="1">
      <c r="A219" s="80">
        <v>2021</v>
      </c>
      <c r="B219" s="151">
        <f t="shared" si="27"/>
        <v>12653</v>
      </c>
      <c r="C219" s="152">
        <f t="shared" si="28"/>
        <v>14748</v>
      </c>
      <c r="D219" s="152">
        <f t="shared" si="29"/>
        <v>12973</v>
      </c>
      <c r="E219" s="152"/>
      <c r="F219" s="152">
        <f t="shared" si="30"/>
        <v>14837</v>
      </c>
      <c r="G219" s="152">
        <f t="shared" si="31"/>
        <v>13802.8</v>
      </c>
      <c r="H219" s="152">
        <f t="shared" si="32"/>
        <v>13860.5</v>
      </c>
      <c r="I219" s="153">
        <f t="shared" si="33"/>
        <v>13803</v>
      </c>
      <c r="J219" s="154"/>
    </row>
    <row r="220" spans="1:49" ht="20.100000000000001" customHeight="1">
      <c r="A220" s="80">
        <v>2022</v>
      </c>
      <c r="B220" s="151">
        <f t="shared" si="27"/>
        <v>12766</v>
      </c>
      <c r="C220" s="152">
        <f t="shared" si="28"/>
        <v>14931</v>
      </c>
      <c r="D220" s="152">
        <f t="shared" si="29"/>
        <v>13120</v>
      </c>
      <c r="E220" s="152"/>
      <c r="F220" s="152">
        <f t="shared" si="30"/>
        <v>15020</v>
      </c>
      <c r="G220" s="152">
        <f t="shared" si="31"/>
        <v>13959.3</v>
      </c>
      <c r="H220" s="152">
        <f t="shared" si="32"/>
        <v>14025.5</v>
      </c>
      <c r="I220" s="153">
        <f t="shared" si="33"/>
        <v>13959</v>
      </c>
      <c r="J220" s="154"/>
      <c r="L220" s="55">
        <v>806200</v>
      </c>
    </row>
    <row r="221" spans="1:49" ht="20.100000000000001" customHeight="1">
      <c r="A221" s="80">
        <v>2023</v>
      </c>
      <c r="B221" s="151">
        <f t="shared" si="27"/>
        <v>12878</v>
      </c>
      <c r="C221" s="152">
        <f t="shared" si="28"/>
        <v>15115</v>
      </c>
      <c r="D221" s="152">
        <f t="shared" si="29"/>
        <v>13269</v>
      </c>
      <c r="E221" s="152"/>
      <c r="F221" s="152">
        <f t="shared" si="30"/>
        <v>15202</v>
      </c>
      <c r="G221" s="152">
        <f t="shared" si="31"/>
        <v>14116</v>
      </c>
      <c r="H221" s="152">
        <f t="shared" si="32"/>
        <v>14192</v>
      </c>
      <c r="I221" s="153">
        <f t="shared" si="33"/>
        <v>14116</v>
      </c>
      <c r="J221" s="154"/>
      <c r="K221" s="55">
        <v>51000</v>
      </c>
      <c r="L221" s="75">
        <f>+K221+E221</f>
        <v>51000</v>
      </c>
    </row>
    <row r="222" spans="1:49" ht="20.100000000000001" customHeight="1">
      <c r="A222" s="80">
        <v>2024</v>
      </c>
      <c r="B222" s="151">
        <f t="shared" si="27"/>
        <v>12990</v>
      </c>
      <c r="C222" s="152">
        <f t="shared" si="28"/>
        <v>15298</v>
      </c>
      <c r="D222" s="152">
        <f t="shared" si="29"/>
        <v>13419</v>
      </c>
      <c r="E222" s="152"/>
      <c r="F222" s="152">
        <f t="shared" si="30"/>
        <v>15383</v>
      </c>
      <c r="G222" s="152">
        <f t="shared" si="31"/>
        <v>14272.5</v>
      </c>
      <c r="H222" s="152">
        <f t="shared" si="32"/>
        <v>14358.5</v>
      </c>
      <c r="I222" s="153">
        <f t="shared" si="33"/>
        <v>14273</v>
      </c>
      <c r="J222" s="154"/>
      <c r="L222" s="75">
        <f>+L220-L221</f>
        <v>755200</v>
      </c>
    </row>
    <row r="223" spans="1:49" ht="20.100000000000001" customHeight="1">
      <c r="A223" s="80">
        <v>2025</v>
      </c>
      <c r="B223" s="151">
        <f t="shared" si="27"/>
        <v>13103</v>
      </c>
      <c r="C223" s="152">
        <f t="shared" si="28"/>
        <v>15482</v>
      </c>
      <c r="D223" s="152">
        <f t="shared" si="29"/>
        <v>13571</v>
      </c>
      <c r="E223" s="152"/>
      <c r="F223" s="152">
        <f t="shared" si="30"/>
        <v>15562</v>
      </c>
      <c r="G223" s="152">
        <f t="shared" si="31"/>
        <v>14429.5</v>
      </c>
      <c r="H223" s="152">
        <f t="shared" si="32"/>
        <v>14526.5</v>
      </c>
      <c r="I223" s="153">
        <f t="shared" si="33"/>
        <v>14430</v>
      </c>
      <c r="J223" s="154"/>
      <c r="K223" s="161"/>
      <c r="L223" s="161">
        <f>B165</f>
        <v>8945</v>
      </c>
      <c r="M223" s="162">
        <f>B166</f>
        <v>9401</v>
      </c>
      <c r="N223" s="161">
        <f>B167</f>
        <v>8706</v>
      </c>
      <c r="O223" s="162">
        <f>B168</f>
        <v>9085</v>
      </c>
      <c r="P223" s="161">
        <f>B169</f>
        <v>8744</v>
      </c>
      <c r="Q223" s="162">
        <f>B170</f>
        <v>8817</v>
      </c>
      <c r="R223" s="162">
        <f>B171</f>
        <v>8907</v>
      </c>
      <c r="S223" s="162">
        <f>B172</f>
        <v>9561</v>
      </c>
      <c r="T223" s="162">
        <f>B173</f>
        <v>10107</v>
      </c>
      <c r="U223" s="162">
        <f>B174</f>
        <v>10416</v>
      </c>
      <c r="V223" s="162">
        <f>B175</f>
        <v>10645</v>
      </c>
      <c r="W223" s="162">
        <f>B176</f>
        <v>11923</v>
      </c>
      <c r="X223" s="162">
        <f>B177</f>
        <v>12487</v>
      </c>
      <c r="Y223" s="162">
        <f>B178</f>
        <v>12310</v>
      </c>
      <c r="Z223" s="162">
        <f>B179</f>
        <v>12027</v>
      </c>
      <c r="AA223" s="162">
        <f>B180</f>
        <v>11848</v>
      </c>
      <c r="AB223" s="162">
        <f>B181</f>
        <v>11403</v>
      </c>
      <c r="AC223" s="162">
        <f>B182</f>
        <v>11136</v>
      </c>
      <c r="AD223" s="162">
        <f>B183</f>
        <v>11152</v>
      </c>
      <c r="AE223" s="162">
        <f>B184</f>
        <v>11080</v>
      </c>
      <c r="AF223" s="162">
        <f>$B185</f>
        <v>12391</v>
      </c>
      <c r="AG223" s="162"/>
      <c r="AH223" s="161"/>
      <c r="AI223" s="161"/>
      <c r="AJ223" s="161"/>
      <c r="AK223" s="161"/>
      <c r="AL223" s="161"/>
      <c r="AM223" s="161"/>
      <c r="AN223" s="161"/>
      <c r="AO223" s="161"/>
      <c r="AP223" s="161"/>
      <c r="AQ223" s="161"/>
      <c r="AR223" s="161"/>
      <c r="AS223" s="161"/>
      <c r="AT223" s="161"/>
      <c r="AU223" s="161"/>
      <c r="AV223" s="161"/>
      <c r="AW223" s="161"/>
    </row>
    <row r="224" spans="1:49" ht="20.100000000000001" customHeight="1">
      <c r="A224" s="155" t="s">
        <v>97</v>
      </c>
      <c r="B224" s="156"/>
      <c r="C224" s="157"/>
      <c r="D224" s="157"/>
      <c r="E224" s="157"/>
      <c r="F224" s="156"/>
      <c r="G224" s="158" t="s">
        <v>243</v>
      </c>
      <c r="H224" s="157"/>
      <c r="I224" s="159"/>
      <c r="J224" s="160"/>
      <c r="K224" s="161"/>
      <c r="L224" s="161"/>
      <c r="M224" s="161"/>
      <c r="N224" s="161"/>
      <c r="O224" s="161"/>
      <c r="P224" s="161"/>
      <c r="Q224" s="161"/>
      <c r="R224" s="161"/>
      <c r="S224" s="161"/>
      <c r="T224" s="161"/>
      <c r="U224" s="161"/>
      <c r="V224" s="161"/>
      <c r="W224" s="161"/>
      <c r="X224" s="161"/>
      <c r="Y224" s="161"/>
      <c r="Z224" s="161"/>
      <c r="AA224" s="161"/>
      <c r="AB224" s="161"/>
      <c r="AC224" s="161"/>
      <c r="AD224" s="161"/>
      <c r="AE224" s="161"/>
      <c r="AF224" s="161"/>
      <c r="AG224" s="161"/>
      <c r="AH224" s="161"/>
      <c r="AI224" s="161"/>
      <c r="AJ224" s="161"/>
      <c r="AK224" s="161"/>
      <c r="AL224" s="161"/>
      <c r="AM224" s="161"/>
      <c r="AN224" s="161"/>
      <c r="AO224" s="161"/>
      <c r="AP224" s="161"/>
      <c r="AQ224" s="161"/>
      <c r="AR224" s="161"/>
      <c r="AS224" s="161"/>
      <c r="AT224" s="161"/>
      <c r="AU224" s="161"/>
      <c r="AV224" s="161"/>
      <c r="AW224" s="161"/>
    </row>
    <row r="225" spans="1:50" s="161" customFormat="1" ht="20.100000000000001" customHeight="1">
      <c r="A225" s="85"/>
      <c r="B225" s="163"/>
      <c r="C225" s="164"/>
      <c r="D225" s="164"/>
      <c r="E225" s="164"/>
      <c r="F225" s="164"/>
      <c r="G225" s="164"/>
      <c r="H225" s="164"/>
      <c r="I225" s="165"/>
      <c r="J225" s="166"/>
      <c r="K225" s="208">
        <f>MAX(B225:I225,F225)</f>
        <v>0</v>
      </c>
      <c r="L225" s="209">
        <f>A165</f>
        <v>1988</v>
      </c>
      <c r="M225" s="209">
        <f t="shared" ref="M225:AW225" si="34">+L225+1</f>
        <v>1989</v>
      </c>
      <c r="N225" s="209">
        <f t="shared" si="34"/>
        <v>1990</v>
      </c>
      <c r="O225" s="209">
        <f t="shared" si="34"/>
        <v>1991</v>
      </c>
      <c r="P225" s="209">
        <f t="shared" si="34"/>
        <v>1992</v>
      </c>
      <c r="Q225" s="209">
        <f t="shared" si="34"/>
        <v>1993</v>
      </c>
      <c r="R225" s="209">
        <f t="shared" si="34"/>
        <v>1994</v>
      </c>
      <c r="S225" s="209">
        <f t="shared" si="34"/>
        <v>1995</v>
      </c>
      <c r="T225" s="209">
        <f t="shared" si="34"/>
        <v>1996</v>
      </c>
      <c r="U225" s="209">
        <f t="shared" si="34"/>
        <v>1997</v>
      </c>
      <c r="V225" s="209">
        <f t="shared" si="34"/>
        <v>1998</v>
      </c>
      <c r="W225" s="209">
        <f t="shared" si="34"/>
        <v>1999</v>
      </c>
      <c r="X225" s="209">
        <f t="shared" si="34"/>
        <v>2000</v>
      </c>
      <c r="Y225" s="209">
        <f t="shared" si="34"/>
        <v>2001</v>
      </c>
      <c r="Z225" s="209">
        <f t="shared" si="34"/>
        <v>2002</v>
      </c>
      <c r="AA225" s="209">
        <f t="shared" si="34"/>
        <v>2003</v>
      </c>
      <c r="AB225" s="209">
        <f t="shared" si="34"/>
        <v>2004</v>
      </c>
      <c r="AC225" s="209">
        <f t="shared" si="34"/>
        <v>2005</v>
      </c>
      <c r="AD225" s="209">
        <f t="shared" si="34"/>
        <v>2006</v>
      </c>
      <c r="AE225" s="209">
        <f t="shared" si="34"/>
        <v>2007</v>
      </c>
      <c r="AF225" s="209">
        <f t="shared" si="34"/>
        <v>2008</v>
      </c>
      <c r="AG225" s="209">
        <f t="shared" si="34"/>
        <v>2009</v>
      </c>
      <c r="AH225" s="209">
        <f t="shared" si="34"/>
        <v>2010</v>
      </c>
      <c r="AI225" s="209">
        <f t="shared" si="34"/>
        <v>2011</v>
      </c>
      <c r="AJ225" s="209">
        <f t="shared" si="34"/>
        <v>2012</v>
      </c>
      <c r="AK225" s="209">
        <f t="shared" si="34"/>
        <v>2013</v>
      </c>
      <c r="AL225" s="209">
        <f t="shared" si="34"/>
        <v>2014</v>
      </c>
      <c r="AM225" s="209">
        <f t="shared" si="34"/>
        <v>2015</v>
      </c>
      <c r="AN225" s="209">
        <f t="shared" si="34"/>
        <v>2016</v>
      </c>
      <c r="AO225" s="209">
        <f t="shared" si="34"/>
        <v>2017</v>
      </c>
      <c r="AP225" s="209">
        <f t="shared" si="34"/>
        <v>2018</v>
      </c>
      <c r="AQ225" s="209">
        <f t="shared" si="34"/>
        <v>2019</v>
      </c>
      <c r="AR225" s="209">
        <f t="shared" si="34"/>
        <v>2020</v>
      </c>
      <c r="AS225" s="209">
        <f t="shared" si="34"/>
        <v>2021</v>
      </c>
      <c r="AT225" s="209">
        <f t="shared" si="34"/>
        <v>2022</v>
      </c>
      <c r="AU225" s="209">
        <f t="shared" si="34"/>
        <v>2023</v>
      </c>
      <c r="AV225" s="209">
        <f t="shared" si="34"/>
        <v>2024</v>
      </c>
      <c r="AW225" s="209">
        <f t="shared" si="34"/>
        <v>2025</v>
      </c>
    </row>
    <row r="226" spans="1:50" ht="20.100000000000001" customHeight="1">
      <c r="A226" s="167" t="s">
        <v>98</v>
      </c>
      <c r="B226" s="168">
        <f>I4</f>
        <v>0.6653802173277773</v>
      </c>
      <c r="C226" s="169">
        <f>I44</f>
        <v>0.69719516301344231</v>
      </c>
      <c r="D226" s="169">
        <f>I84</f>
        <v>0.62456258677026844</v>
      </c>
      <c r="E226" s="169"/>
      <c r="F226" s="169">
        <f>I164</f>
        <v>0.69500200854383987</v>
      </c>
      <c r="G226" s="170"/>
      <c r="H226" s="171"/>
      <c r="I226" s="172"/>
      <c r="J226" s="173"/>
      <c r="K226" s="209" t="s">
        <v>99</v>
      </c>
      <c r="L226" s="209"/>
      <c r="M226" s="209"/>
      <c r="N226" s="209"/>
      <c r="O226" s="209"/>
      <c r="P226" s="209"/>
      <c r="Q226" s="209"/>
      <c r="R226" s="209"/>
      <c r="S226" s="209"/>
      <c r="T226" s="209"/>
      <c r="U226" s="209"/>
      <c r="V226" s="209"/>
      <c r="W226" s="209"/>
      <c r="X226" s="209"/>
      <c r="Y226" s="209"/>
      <c r="Z226" s="209"/>
      <c r="AA226" s="209"/>
      <c r="AB226" s="209"/>
      <c r="AC226" s="209"/>
      <c r="AD226" s="209"/>
      <c r="AE226" s="210">
        <f>+AE223</f>
        <v>11080</v>
      </c>
      <c r="AF226" s="210">
        <f>+B25</f>
        <v>11192</v>
      </c>
      <c r="AG226" s="210">
        <f>B26</f>
        <v>11305</v>
      </c>
      <c r="AH226" s="210">
        <f>B27</f>
        <v>11417</v>
      </c>
      <c r="AI226" s="210">
        <f>B28</f>
        <v>11529</v>
      </c>
      <c r="AJ226" s="210">
        <f>B29</f>
        <v>11642</v>
      </c>
      <c r="AK226" s="210">
        <f>B30</f>
        <v>11754</v>
      </c>
      <c r="AL226" s="210">
        <f>B31</f>
        <v>11867</v>
      </c>
      <c r="AM226" s="210">
        <f>B32</f>
        <v>11979</v>
      </c>
      <c r="AN226" s="210">
        <f>B33</f>
        <v>12091</v>
      </c>
      <c r="AO226" s="210">
        <f>B34</f>
        <v>12204</v>
      </c>
      <c r="AP226" s="210">
        <f>B35</f>
        <v>12316</v>
      </c>
      <c r="AQ226" s="210">
        <f>B36</f>
        <v>12428</v>
      </c>
      <c r="AR226" s="210">
        <f>B37</f>
        <v>12541</v>
      </c>
      <c r="AS226" s="210">
        <f>B38</f>
        <v>12653</v>
      </c>
      <c r="AT226" s="210">
        <f>B39</f>
        <v>12766</v>
      </c>
      <c r="AU226" s="210">
        <f>B40</f>
        <v>12878</v>
      </c>
      <c r="AV226" s="210">
        <f>B41</f>
        <v>12990</v>
      </c>
      <c r="AW226" s="210">
        <f>B42</f>
        <v>13103</v>
      </c>
      <c r="AX226" s="161"/>
    </row>
    <row r="227" spans="1:50" ht="20.100000000000001" customHeight="1">
      <c r="K227" s="209" t="s">
        <v>100</v>
      </c>
      <c r="L227" s="209"/>
      <c r="M227" s="209"/>
      <c r="N227" s="209"/>
      <c r="O227" s="209"/>
      <c r="P227" s="209"/>
      <c r="Q227" s="209"/>
      <c r="R227" s="209"/>
      <c r="S227" s="209"/>
      <c r="T227" s="209"/>
      <c r="U227" s="209"/>
      <c r="V227" s="209"/>
      <c r="W227" s="209"/>
      <c r="X227" s="209"/>
      <c r="Y227" s="209"/>
      <c r="Z227" s="209"/>
      <c r="AA227" s="209"/>
      <c r="AB227" s="209"/>
      <c r="AC227" s="209"/>
      <c r="AD227" s="209"/>
      <c r="AE227" s="210">
        <f>+AE226</f>
        <v>11080</v>
      </c>
      <c r="AF227" s="210">
        <f>+B65</f>
        <v>12362</v>
      </c>
      <c r="AG227" s="210">
        <f>B66</f>
        <v>12545</v>
      </c>
      <c r="AH227" s="210">
        <f>B67</f>
        <v>12729</v>
      </c>
      <c r="AI227" s="210">
        <f>B68</f>
        <v>12912</v>
      </c>
      <c r="AJ227" s="210">
        <f>B69</f>
        <v>13096</v>
      </c>
      <c r="AK227" s="210">
        <f>B70</f>
        <v>13280</v>
      </c>
      <c r="AL227" s="210">
        <f>B71</f>
        <v>13463</v>
      </c>
      <c r="AM227" s="210">
        <f>B72</f>
        <v>13647</v>
      </c>
      <c r="AN227" s="210">
        <f>B73</f>
        <v>13830</v>
      </c>
      <c r="AO227" s="210">
        <f>B74</f>
        <v>14014</v>
      </c>
      <c r="AP227" s="210">
        <f>B75</f>
        <v>14197</v>
      </c>
      <c r="AQ227" s="210">
        <f>B76</f>
        <v>14381</v>
      </c>
      <c r="AR227" s="210">
        <f>B77</f>
        <v>14564</v>
      </c>
      <c r="AS227" s="210">
        <f>B78</f>
        <v>14748</v>
      </c>
      <c r="AT227" s="210">
        <f>B79</f>
        <v>14931</v>
      </c>
      <c r="AU227" s="210">
        <f>B80</f>
        <v>15115</v>
      </c>
      <c r="AV227" s="210">
        <f>B81</f>
        <v>15298</v>
      </c>
      <c r="AW227" s="210">
        <f>B82</f>
        <v>15482</v>
      </c>
      <c r="AX227" s="161"/>
    </row>
    <row r="228" spans="1:50" ht="20.100000000000001" customHeight="1">
      <c r="K228" s="209" t="s">
        <v>101</v>
      </c>
      <c r="L228" s="209"/>
      <c r="M228" s="209"/>
      <c r="N228" s="209"/>
      <c r="O228" s="209"/>
      <c r="P228" s="209"/>
      <c r="Q228" s="209"/>
      <c r="R228" s="209"/>
      <c r="S228" s="209"/>
      <c r="T228" s="209"/>
      <c r="U228" s="209"/>
      <c r="V228" s="209"/>
      <c r="W228" s="209"/>
      <c r="X228" s="209"/>
      <c r="Y228" s="209"/>
      <c r="Z228" s="209"/>
      <c r="AA228" s="209"/>
      <c r="AB228" s="209"/>
      <c r="AC228" s="209"/>
      <c r="AD228" s="209"/>
      <c r="AE228" s="210">
        <f>+AE227</f>
        <v>11080</v>
      </c>
      <c r="AF228" s="210">
        <f>+B105</f>
        <v>11206</v>
      </c>
      <c r="AG228" s="210">
        <f>B106</f>
        <v>11333</v>
      </c>
      <c r="AH228" s="210">
        <f>B107</f>
        <v>11461</v>
      </c>
      <c r="AI228" s="210">
        <f>B108</f>
        <v>11591</v>
      </c>
      <c r="AJ228" s="210">
        <f>B109</f>
        <v>11722</v>
      </c>
      <c r="AK228" s="210">
        <f>B110</f>
        <v>11855</v>
      </c>
      <c r="AL228" s="210">
        <f>B111</f>
        <v>11989</v>
      </c>
      <c r="AM228" s="210">
        <f>B112</f>
        <v>12125</v>
      </c>
      <c r="AN228" s="210">
        <f>B113</f>
        <v>12263</v>
      </c>
      <c r="AO228" s="210">
        <f>B114</f>
        <v>12401</v>
      </c>
      <c r="AP228" s="210">
        <f>B115</f>
        <v>12542</v>
      </c>
      <c r="AQ228" s="210">
        <f>B116</f>
        <v>12684</v>
      </c>
      <c r="AR228" s="210">
        <f>B117</f>
        <v>12828</v>
      </c>
      <c r="AS228" s="210">
        <f>B118</f>
        <v>12973</v>
      </c>
      <c r="AT228" s="210">
        <f>B119</f>
        <v>13120</v>
      </c>
      <c r="AU228" s="210">
        <f>B120</f>
        <v>13269</v>
      </c>
      <c r="AV228" s="210">
        <f>B121</f>
        <v>13419</v>
      </c>
      <c r="AW228" s="210">
        <f>B122</f>
        <v>13571</v>
      </c>
      <c r="AX228" s="161"/>
    </row>
    <row r="229" spans="1:50" ht="20.100000000000001" customHeight="1">
      <c r="K229" s="209" t="s">
        <v>102</v>
      </c>
      <c r="L229" s="209"/>
      <c r="M229" s="209"/>
      <c r="N229" s="209"/>
      <c r="O229" s="209"/>
      <c r="P229" s="209"/>
      <c r="Q229" s="209"/>
      <c r="R229" s="209"/>
      <c r="S229" s="209"/>
      <c r="T229" s="209"/>
      <c r="U229" s="209"/>
      <c r="V229" s="209"/>
      <c r="W229" s="209"/>
      <c r="X229" s="209"/>
      <c r="Y229" s="209"/>
      <c r="Z229" s="209"/>
      <c r="AA229" s="209"/>
      <c r="AB229" s="209"/>
      <c r="AC229" s="209"/>
      <c r="AD229" s="209"/>
      <c r="AE229" s="210">
        <f>+AE228</f>
        <v>11080</v>
      </c>
      <c r="AF229" s="210" t="e">
        <f>+B145</f>
        <v>#VALUE!</v>
      </c>
      <c r="AG229" s="210" t="e">
        <f>+B146</f>
        <v>#VALUE!</v>
      </c>
      <c r="AH229" s="210" t="e">
        <f>+B147</f>
        <v>#VALUE!</v>
      </c>
      <c r="AI229" s="210" t="e">
        <f>+B148</f>
        <v>#VALUE!</v>
      </c>
      <c r="AJ229" s="210" t="e">
        <f>+B149</f>
        <v>#VALUE!</v>
      </c>
      <c r="AK229" s="210" t="e">
        <f>+B150</f>
        <v>#VALUE!</v>
      </c>
      <c r="AL229" s="210" t="e">
        <f>+B151</f>
        <v>#VALUE!</v>
      </c>
      <c r="AM229" s="210" t="e">
        <f>+B152</f>
        <v>#VALUE!</v>
      </c>
      <c r="AN229" s="210" t="e">
        <f>+B153</f>
        <v>#VALUE!</v>
      </c>
      <c r="AO229" s="210" t="e">
        <f>+B154</f>
        <v>#VALUE!</v>
      </c>
      <c r="AP229" s="210" t="e">
        <f>+B155</f>
        <v>#VALUE!</v>
      </c>
      <c r="AQ229" s="210" t="e">
        <f>+B156</f>
        <v>#VALUE!</v>
      </c>
      <c r="AR229" s="210" t="e">
        <f>+B157</f>
        <v>#VALUE!</v>
      </c>
      <c r="AS229" s="210" t="e">
        <f>+B158</f>
        <v>#VALUE!</v>
      </c>
      <c r="AT229" s="210" t="e">
        <f>+B159</f>
        <v>#VALUE!</v>
      </c>
      <c r="AU229" s="210" t="e">
        <f>+B160</f>
        <v>#VALUE!</v>
      </c>
      <c r="AV229" s="210" t="e">
        <f>+B161</f>
        <v>#VALUE!</v>
      </c>
      <c r="AW229" s="210" t="e">
        <f>+B162</f>
        <v>#VALUE!</v>
      </c>
      <c r="AX229" s="161"/>
    </row>
    <row r="230" spans="1:50" ht="20.100000000000001" customHeight="1">
      <c r="K230" s="209" t="s">
        <v>103</v>
      </c>
      <c r="L230" s="209"/>
      <c r="M230" s="209"/>
      <c r="N230" s="209"/>
      <c r="O230" s="209"/>
      <c r="P230" s="209"/>
      <c r="Q230" s="209"/>
      <c r="R230" s="209"/>
      <c r="S230" s="209"/>
      <c r="T230" s="209"/>
      <c r="U230" s="209"/>
      <c r="V230" s="209"/>
      <c r="W230" s="209"/>
      <c r="X230" s="209"/>
      <c r="Y230" s="209"/>
      <c r="Z230" s="209"/>
      <c r="AA230" s="209"/>
      <c r="AB230" s="209"/>
      <c r="AC230" s="209"/>
      <c r="AD230" s="209"/>
      <c r="AE230" s="210">
        <f>+AE229</f>
        <v>11080</v>
      </c>
      <c r="AF230" s="210">
        <f>+B185</f>
        <v>12391</v>
      </c>
      <c r="AG230" s="210">
        <f>B186</f>
        <v>12581</v>
      </c>
      <c r="AH230" s="210">
        <f>B187</f>
        <v>12772</v>
      </c>
      <c r="AI230" s="210">
        <f>B188</f>
        <v>12962</v>
      </c>
      <c r="AJ230" s="210">
        <f>B189</f>
        <v>13152</v>
      </c>
      <c r="AK230" s="210">
        <f>B190</f>
        <v>13341</v>
      </c>
      <c r="AL230" s="210">
        <f>B191</f>
        <v>13531</v>
      </c>
      <c r="AM230" s="210">
        <f>B192</f>
        <v>13719</v>
      </c>
      <c r="AN230" s="210">
        <f>B193</f>
        <v>13908</v>
      </c>
      <c r="AO230" s="210">
        <f>B194</f>
        <v>14095</v>
      </c>
      <c r="AP230" s="210">
        <f>B195</f>
        <v>14282</v>
      </c>
      <c r="AQ230" s="210">
        <f>B196</f>
        <v>14468</v>
      </c>
      <c r="AR230" s="210">
        <f>B197</f>
        <v>14653</v>
      </c>
      <c r="AS230" s="210">
        <f>B198</f>
        <v>14837</v>
      </c>
      <c r="AT230" s="210">
        <f>B199</f>
        <v>15020</v>
      </c>
      <c r="AU230" s="210">
        <f>B200</f>
        <v>15202</v>
      </c>
      <c r="AV230" s="210">
        <f>B201</f>
        <v>15383</v>
      </c>
      <c r="AW230" s="210">
        <f>B202</f>
        <v>15562</v>
      </c>
      <c r="AX230" s="161"/>
    </row>
    <row r="231" spans="1:50" ht="20.100000000000001" customHeight="1">
      <c r="K231" s="209" t="s">
        <v>95</v>
      </c>
      <c r="L231" s="209"/>
      <c r="M231" s="209"/>
      <c r="N231" s="209"/>
      <c r="O231" s="209"/>
      <c r="P231" s="209"/>
      <c r="Q231" s="209"/>
      <c r="R231" s="209"/>
      <c r="S231" s="209"/>
      <c r="T231" s="209"/>
      <c r="U231" s="209"/>
      <c r="V231" s="209"/>
      <c r="W231" s="209"/>
      <c r="X231" s="209"/>
      <c r="Y231" s="209"/>
      <c r="Z231" s="209"/>
      <c r="AA231" s="209"/>
      <c r="AB231" s="209"/>
      <c r="AC231" s="209"/>
      <c r="AD231" s="209"/>
      <c r="AE231" s="210">
        <f>+AE230</f>
        <v>11080</v>
      </c>
      <c r="AF231" s="211">
        <f>+H206</f>
        <v>11784</v>
      </c>
      <c r="AG231" s="211">
        <f>+H207</f>
        <v>11939</v>
      </c>
      <c r="AH231" s="211">
        <f>+H208</f>
        <v>12095</v>
      </c>
      <c r="AI231" s="211">
        <f>+H209</f>
        <v>12251.5</v>
      </c>
      <c r="AJ231" s="211">
        <f>+H210</f>
        <v>12409</v>
      </c>
      <c r="AK231" s="211">
        <f>+H211</f>
        <v>12567.5</v>
      </c>
      <c r="AL231" s="211">
        <f>+H212</f>
        <v>12726</v>
      </c>
      <c r="AM231" s="211">
        <f>+H213</f>
        <v>12886</v>
      </c>
      <c r="AN231" s="211">
        <f>+H214</f>
        <v>13046.5</v>
      </c>
      <c r="AO231" s="211">
        <f>+H215</f>
        <v>13207.5</v>
      </c>
      <c r="AP231" s="211">
        <f>+H216</f>
        <v>13369.5</v>
      </c>
      <c r="AQ231" s="211">
        <f>+H217</f>
        <v>13532.5</v>
      </c>
      <c r="AR231" s="211">
        <f>+H218</f>
        <v>13696</v>
      </c>
      <c r="AS231" s="211">
        <f>+H219</f>
        <v>13860.5</v>
      </c>
      <c r="AT231" s="211">
        <f>+H220</f>
        <v>14025.5</v>
      </c>
      <c r="AU231" s="211">
        <f>+H221</f>
        <v>14192</v>
      </c>
      <c r="AV231" s="211">
        <f>+H222</f>
        <v>14358.5</v>
      </c>
      <c r="AW231" s="75">
        <f>+H223</f>
        <v>14526.5</v>
      </c>
      <c r="AX231" s="161"/>
    </row>
    <row r="232" spans="1:50" ht="20.100000000000001" customHeight="1"/>
    <row r="233" spans="1:50" ht="20.100000000000001" customHeight="1"/>
    <row r="234" spans="1:50" ht="20.100000000000001" customHeight="1"/>
    <row r="235" spans="1:50" ht="20.100000000000001" customHeight="1"/>
    <row r="236" spans="1:50" ht="20.100000000000001" customHeight="1"/>
    <row r="237" spans="1:50" ht="20.100000000000001" customHeight="1"/>
    <row r="238" spans="1:50" ht="20.100000000000001" customHeight="1"/>
    <row r="239" spans="1:50" ht="20.100000000000001" customHeight="1"/>
    <row r="240" spans="1:50" ht="20.100000000000001" customHeight="1"/>
    <row r="241" ht="20.100000000000001" customHeight="1"/>
    <row r="242" ht="20.100000000000001" customHeight="1"/>
    <row r="243" ht="20.100000000000001" customHeight="1"/>
    <row r="244" ht="20.100000000000001" customHeight="1"/>
    <row r="245" ht="20.100000000000001" customHeight="1"/>
    <row r="246" ht="20.100000000000001" customHeight="1"/>
    <row r="247" ht="20.100000000000001" customHeight="1"/>
    <row r="248" ht="20.100000000000001" customHeight="1"/>
  </sheetData>
  <phoneticPr fontId="50" type="noConversion"/>
  <pageMargins left="0.74803149606299213" right="0.74803149606299213" top="0.78740157480314965" bottom="0.78740157480314965" header="0.51181102362204722" footer="0.51181102362204722"/>
  <pageSetup paperSize="9" scale="70" fitToHeight="3" orientation="portrait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>
  <sheetPr codeName="Sheet48">
    <tabColor indexed="22"/>
  </sheetPr>
  <dimension ref="A1:AO204"/>
  <sheetViews>
    <sheetView workbookViewId="0"/>
  </sheetViews>
  <sheetFormatPr defaultRowHeight="15" customHeight="1"/>
  <cols>
    <col min="1" max="1" width="8.88671875" style="55"/>
    <col min="2" max="2" width="9.21875" style="55" customWidth="1"/>
    <col min="3" max="3" width="9.5546875" style="55" customWidth="1"/>
    <col min="4" max="4" width="9" style="55" customWidth="1"/>
    <col min="5" max="5" width="11.33203125" style="55" customWidth="1"/>
    <col min="6" max="6" width="9.44140625" style="55" customWidth="1"/>
    <col min="7" max="7" width="15.109375" style="55" bestFit="1" customWidth="1"/>
    <col min="8" max="8" width="12.88671875" style="55" bestFit="1" customWidth="1"/>
    <col min="9" max="9" width="11.5546875" style="55" bestFit="1" customWidth="1"/>
    <col min="10" max="11" width="8.88671875" style="55"/>
    <col min="12" max="41" width="6.77734375" style="55" customWidth="1"/>
    <col min="42" max="16384" width="8.88671875" style="55"/>
  </cols>
  <sheetData>
    <row r="1" spans="1:13" ht="15" customHeight="1">
      <c r="A1" s="54" t="s">
        <v>283</v>
      </c>
    </row>
    <row r="2" spans="1:13" ht="15" customHeight="1">
      <c r="A2" s="54"/>
    </row>
    <row r="3" spans="1:13" ht="15" customHeight="1">
      <c r="A3" s="56" t="s">
        <v>74</v>
      </c>
      <c r="B3" s="57"/>
    </row>
    <row r="4" spans="1:13" ht="15" customHeight="1">
      <c r="A4" s="58" t="s">
        <v>32</v>
      </c>
      <c r="B4" s="59" t="s">
        <v>40</v>
      </c>
      <c r="C4" s="59" t="s">
        <v>33</v>
      </c>
      <c r="D4" s="60"/>
      <c r="E4" s="60"/>
      <c r="F4" s="61"/>
      <c r="G4" s="62"/>
      <c r="H4" s="63" t="s">
        <v>250</v>
      </c>
      <c r="I4" s="64">
        <f>RSQ(I5:I15,B5:B15)</f>
        <v>2.54473527976408E-4</v>
      </c>
    </row>
    <row r="5" spans="1:13" ht="15" customHeight="1">
      <c r="A5" s="176">
        <v>1997</v>
      </c>
      <c r="B5" s="180">
        <f>+북평동20년!B14</f>
        <v>10416</v>
      </c>
      <c r="C5" s="177">
        <v>0</v>
      </c>
      <c r="D5" s="178"/>
      <c r="E5" s="178"/>
      <c r="F5" s="179"/>
      <c r="G5" s="262"/>
      <c r="H5" s="263"/>
      <c r="I5" s="70">
        <f t="shared" ref="I5:I33" si="0">$E$6*C5+$E$7</f>
        <v>10416</v>
      </c>
    </row>
    <row r="6" spans="1:13" ht="15" customHeight="1">
      <c r="A6" s="65" t="e">
        <f>#REF!</f>
        <v>#REF!</v>
      </c>
      <c r="B6" s="180">
        <f>+북평동20년!B15</f>
        <v>10645</v>
      </c>
      <c r="C6" s="67">
        <f>+C5+1</f>
        <v>1</v>
      </c>
      <c r="D6" s="53" t="s">
        <v>75</v>
      </c>
      <c r="E6" s="68">
        <f>(B15-B5)/C15</f>
        <v>66.400000000000006</v>
      </c>
      <c r="F6" s="69"/>
      <c r="G6" s="53"/>
      <c r="H6" s="69"/>
      <c r="I6" s="70">
        <f t="shared" si="0"/>
        <v>10482.4</v>
      </c>
      <c r="J6" s="71">
        <v>570570</v>
      </c>
      <c r="K6" s="55">
        <v>570570</v>
      </c>
      <c r="L6" s="55">
        <v>766</v>
      </c>
    </row>
    <row r="7" spans="1:13" ht="15" customHeight="1">
      <c r="A7" s="65" t="e">
        <f>#REF!</f>
        <v>#REF!</v>
      </c>
      <c r="B7" s="180">
        <f>+북평동20년!B16</f>
        <v>11923</v>
      </c>
      <c r="C7" s="67">
        <f t="shared" ref="C7:C33" si="1">C6+1</f>
        <v>2</v>
      </c>
      <c r="D7" s="53" t="s">
        <v>76</v>
      </c>
      <c r="E7" s="72">
        <f>B5</f>
        <v>10416</v>
      </c>
      <c r="F7" s="69"/>
      <c r="G7" s="53"/>
      <c r="H7" s="69"/>
      <c r="I7" s="70">
        <f t="shared" si="0"/>
        <v>10548.8</v>
      </c>
      <c r="J7" s="71">
        <v>583230</v>
      </c>
      <c r="K7" s="55">
        <v>583230</v>
      </c>
      <c r="L7" s="55">
        <v>1094</v>
      </c>
    </row>
    <row r="8" spans="1:13" ht="15" customHeight="1">
      <c r="A8" s="65" t="e">
        <f>#REF!</f>
        <v>#REF!</v>
      </c>
      <c r="B8" s="180">
        <f>+북평동20년!B17</f>
        <v>12487</v>
      </c>
      <c r="C8" s="67">
        <f t="shared" si="1"/>
        <v>3</v>
      </c>
      <c r="D8" s="53" t="s">
        <v>77</v>
      </c>
      <c r="E8" s="73">
        <f>I4</f>
        <v>2.54473527976408E-4</v>
      </c>
      <c r="F8" s="69"/>
      <c r="G8" s="53"/>
      <c r="H8" s="69"/>
      <c r="I8" s="70">
        <f t="shared" si="0"/>
        <v>10615.2</v>
      </c>
      <c r="J8" s="71">
        <v>590162</v>
      </c>
      <c r="K8" s="55">
        <v>590162</v>
      </c>
      <c r="L8" s="55">
        <v>1277</v>
      </c>
    </row>
    <row r="9" spans="1:13" ht="15" customHeight="1">
      <c r="A9" s="65" t="e">
        <f>#REF!</f>
        <v>#REF!</v>
      </c>
      <c r="B9" s="180">
        <f>+북평동20년!B18</f>
        <v>12310</v>
      </c>
      <c r="C9" s="67">
        <f t="shared" si="1"/>
        <v>4</v>
      </c>
      <c r="D9" s="53"/>
      <c r="E9" s="53"/>
      <c r="F9" s="69"/>
      <c r="G9" s="53"/>
      <c r="H9" s="69"/>
      <c r="I9" s="70">
        <f t="shared" si="0"/>
        <v>10681.6</v>
      </c>
      <c r="J9" s="71">
        <v>600343</v>
      </c>
      <c r="K9" s="55">
        <v>600343</v>
      </c>
      <c r="L9" s="55">
        <v>1147</v>
      </c>
    </row>
    <row r="10" spans="1:13" ht="15" customHeight="1">
      <c r="A10" s="65" t="e">
        <f>#REF!</f>
        <v>#REF!</v>
      </c>
      <c r="B10" s="180">
        <f>+북평동20년!B19</f>
        <v>12027</v>
      </c>
      <c r="C10" s="67">
        <f t="shared" si="1"/>
        <v>5</v>
      </c>
      <c r="D10" s="53"/>
      <c r="E10" s="53"/>
      <c r="F10" s="69"/>
      <c r="G10" s="53"/>
      <c r="H10" s="69"/>
      <c r="I10" s="70">
        <f t="shared" si="0"/>
        <v>10748</v>
      </c>
      <c r="J10" s="71">
        <v>611921</v>
      </c>
      <c r="K10" s="55">
        <v>611921</v>
      </c>
      <c r="L10" s="55">
        <v>1355</v>
      </c>
    </row>
    <row r="11" spans="1:13" ht="15" customHeight="1">
      <c r="A11" s="65" t="e">
        <f>#REF!</f>
        <v>#REF!</v>
      </c>
      <c r="B11" s="180">
        <f>+북평동20년!B20</f>
        <v>11848</v>
      </c>
      <c r="C11" s="67">
        <f t="shared" si="1"/>
        <v>6</v>
      </c>
      <c r="D11" s="53"/>
      <c r="E11" s="53"/>
      <c r="F11" s="69"/>
      <c r="G11" s="53"/>
      <c r="H11" s="69"/>
      <c r="I11" s="70">
        <f t="shared" si="0"/>
        <v>10814.4</v>
      </c>
      <c r="J11" s="74">
        <v>622238</v>
      </c>
      <c r="K11" s="55">
        <v>622238</v>
      </c>
      <c r="L11" s="55">
        <v>1717</v>
      </c>
    </row>
    <row r="12" spans="1:13" ht="15" customHeight="1">
      <c r="A12" s="65" t="e">
        <f>#REF!</f>
        <v>#REF!</v>
      </c>
      <c r="B12" s="180">
        <f>+북평동20년!B21</f>
        <v>11403</v>
      </c>
      <c r="C12" s="67">
        <f t="shared" si="1"/>
        <v>7</v>
      </c>
      <c r="D12" s="53" t="s">
        <v>272</v>
      </c>
      <c r="E12" s="53"/>
      <c r="F12" s="69"/>
      <c r="G12" s="53"/>
      <c r="H12" s="69"/>
      <c r="I12" s="70">
        <f t="shared" si="0"/>
        <v>10880.8</v>
      </c>
      <c r="J12" s="74">
        <v>623897</v>
      </c>
      <c r="K12" s="55">
        <v>623897</v>
      </c>
      <c r="L12" s="55">
        <v>1614</v>
      </c>
    </row>
    <row r="13" spans="1:13" ht="15" customHeight="1">
      <c r="A13" s="65" t="e">
        <f>#REF!</f>
        <v>#REF!</v>
      </c>
      <c r="B13" s="180">
        <f>+북평동20년!B22</f>
        <v>11136</v>
      </c>
      <c r="C13" s="67">
        <f t="shared" si="1"/>
        <v>8</v>
      </c>
      <c r="D13" s="53"/>
      <c r="E13" s="53"/>
      <c r="F13" s="69"/>
      <c r="G13" s="53"/>
      <c r="H13" s="69"/>
      <c r="I13" s="70">
        <f t="shared" si="0"/>
        <v>10947.2</v>
      </c>
      <c r="J13" s="74">
        <v>626069</v>
      </c>
      <c r="K13" s="55">
        <v>626069</v>
      </c>
      <c r="L13" s="55">
        <v>1584</v>
      </c>
    </row>
    <row r="14" spans="1:13" ht="15" customHeight="1">
      <c r="A14" s="65" t="e">
        <f>#REF!</f>
        <v>#REF!</v>
      </c>
      <c r="B14" s="180">
        <f>+북평동20년!B23</f>
        <v>11152</v>
      </c>
      <c r="C14" s="67">
        <f t="shared" si="1"/>
        <v>9</v>
      </c>
      <c r="D14" s="53"/>
      <c r="E14" s="53"/>
      <c r="F14" s="69"/>
      <c r="G14" s="53"/>
      <c r="H14" s="69"/>
      <c r="I14" s="70">
        <f t="shared" si="0"/>
        <v>11013.6</v>
      </c>
      <c r="J14" s="74">
        <v>618816</v>
      </c>
      <c r="K14" s="55">
        <v>620374</v>
      </c>
      <c r="L14" s="75">
        <v>1555</v>
      </c>
      <c r="M14" s="75"/>
    </row>
    <row r="15" spans="1:13" ht="15" customHeight="1" thickBot="1">
      <c r="A15" s="97" t="e">
        <f>#REF!</f>
        <v>#REF!</v>
      </c>
      <c r="B15" s="181">
        <f>+북평동20년!B24</f>
        <v>11080</v>
      </c>
      <c r="C15" s="99">
        <f t="shared" si="1"/>
        <v>10</v>
      </c>
      <c r="D15" s="101"/>
      <c r="E15" s="101"/>
      <c r="F15" s="100"/>
      <c r="G15" s="101"/>
      <c r="H15" s="100"/>
      <c r="I15" s="102">
        <f t="shared" si="0"/>
        <v>11080</v>
      </c>
      <c r="J15" s="74">
        <v>622472</v>
      </c>
      <c r="K15" s="55">
        <v>624260</v>
      </c>
      <c r="L15" s="75">
        <v>1788</v>
      </c>
      <c r="M15" s="75"/>
    </row>
    <row r="16" spans="1:13" ht="15" customHeight="1" thickTop="1">
      <c r="A16" s="80">
        <v>2008</v>
      </c>
      <c r="B16" s="81">
        <f t="shared" ref="B16:B33" si="2">ROUND($E$6*C16+$E$7,0)</f>
        <v>11146</v>
      </c>
      <c r="C16" s="77">
        <f t="shared" si="1"/>
        <v>11</v>
      </c>
      <c r="D16" s="256"/>
      <c r="E16" s="256"/>
      <c r="F16" s="78"/>
      <c r="G16" s="256"/>
      <c r="H16" s="78"/>
      <c r="I16" s="79">
        <f t="shared" si="0"/>
        <v>11146.4</v>
      </c>
      <c r="K16" s="55">
        <v>623804</v>
      </c>
      <c r="L16" s="75">
        <f>+J16-K16</f>
        <v>-623804</v>
      </c>
      <c r="M16" s="75"/>
    </row>
    <row r="17" spans="1:9" ht="15" customHeight="1">
      <c r="A17" s="80">
        <v>2009</v>
      </c>
      <c r="B17" s="81">
        <f t="shared" si="2"/>
        <v>11213</v>
      </c>
      <c r="C17" s="67">
        <f t="shared" si="1"/>
        <v>12</v>
      </c>
      <c r="D17" s="69"/>
      <c r="E17" s="69"/>
      <c r="F17" s="69"/>
      <c r="G17" s="69"/>
      <c r="H17" s="69"/>
      <c r="I17" s="70">
        <f t="shared" si="0"/>
        <v>11212.8</v>
      </c>
    </row>
    <row r="18" spans="1:9" ht="15" customHeight="1">
      <c r="A18" s="80">
        <v>2010</v>
      </c>
      <c r="B18" s="81">
        <f t="shared" si="2"/>
        <v>11279</v>
      </c>
      <c r="C18" s="82">
        <f t="shared" si="1"/>
        <v>13</v>
      </c>
      <c r="D18" s="69"/>
      <c r="E18" s="69"/>
      <c r="F18" s="69"/>
      <c r="G18" s="69"/>
      <c r="H18" s="69"/>
      <c r="I18" s="70">
        <f t="shared" si="0"/>
        <v>11279.2</v>
      </c>
    </row>
    <row r="19" spans="1:9" ht="15" customHeight="1">
      <c r="A19" s="80">
        <v>2011</v>
      </c>
      <c r="B19" s="81">
        <f t="shared" si="2"/>
        <v>11346</v>
      </c>
      <c r="C19" s="82">
        <f t="shared" si="1"/>
        <v>14</v>
      </c>
      <c r="D19" s="69"/>
      <c r="E19" s="69"/>
      <c r="F19" s="69"/>
      <c r="G19" s="69"/>
      <c r="H19" s="69"/>
      <c r="I19" s="70">
        <f t="shared" si="0"/>
        <v>11345.6</v>
      </c>
    </row>
    <row r="20" spans="1:9" ht="15" customHeight="1">
      <c r="A20" s="80">
        <v>2012</v>
      </c>
      <c r="B20" s="81">
        <f t="shared" si="2"/>
        <v>11412</v>
      </c>
      <c r="C20" s="82">
        <f t="shared" si="1"/>
        <v>15</v>
      </c>
      <c r="D20" s="69"/>
      <c r="E20" s="69"/>
      <c r="F20" s="69"/>
      <c r="G20" s="69"/>
      <c r="H20" s="69"/>
      <c r="I20" s="70">
        <f t="shared" si="0"/>
        <v>11412</v>
      </c>
    </row>
    <row r="21" spans="1:9" ht="15" customHeight="1">
      <c r="A21" s="80">
        <v>2013</v>
      </c>
      <c r="B21" s="81">
        <f t="shared" si="2"/>
        <v>11478</v>
      </c>
      <c r="C21" s="82">
        <f t="shared" si="1"/>
        <v>16</v>
      </c>
      <c r="D21" s="69"/>
      <c r="E21" s="69"/>
      <c r="F21" s="69"/>
      <c r="G21" s="69"/>
      <c r="H21" s="69"/>
      <c r="I21" s="70">
        <f t="shared" si="0"/>
        <v>11478.4</v>
      </c>
    </row>
    <row r="22" spans="1:9" ht="15" customHeight="1">
      <c r="A22" s="80">
        <v>2014</v>
      </c>
      <c r="B22" s="81">
        <f t="shared" si="2"/>
        <v>11545</v>
      </c>
      <c r="C22" s="82">
        <f t="shared" si="1"/>
        <v>17</v>
      </c>
      <c r="D22" s="69"/>
      <c r="E22" s="69"/>
      <c r="F22" s="69"/>
      <c r="G22" s="69"/>
      <c r="H22" s="69"/>
      <c r="I22" s="70">
        <f t="shared" si="0"/>
        <v>11544.8</v>
      </c>
    </row>
    <row r="23" spans="1:9" ht="15" customHeight="1">
      <c r="A23" s="80">
        <v>2015</v>
      </c>
      <c r="B23" s="81">
        <f t="shared" si="2"/>
        <v>11611</v>
      </c>
      <c r="C23" s="82">
        <f t="shared" si="1"/>
        <v>18</v>
      </c>
      <c r="D23" s="69"/>
      <c r="E23" s="69"/>
      <c r="F23" s="69"/>
      <c r="G23" s="69"/>
      <c r="H23" s="69"/>
      <c r="I23" s="70">
        <f t="shared" si="0"/>
        <v>11611.2</v>
      </c>
    </row>
    <row r="24" spans="1:9" ht="15" customHeight="1">
      <c r="A24" s="80">
        <v>2016</v>
      </c>
      <c r="B24" s="81">
        <f t="shared" si="2"/>
        <v>11678</v>
      </c>
      <c r="C24" s="82">
        <f t="shared" si="1"/>
        <v>19</v>
      </c>
      <c r="D24" s="69"/>
      <c r="E24" s="69"/>
      <c r="F24" s="69"/>
      <c r="G24" s="69"/>
      <c r="H24" s="69"/>
      <c r="I24" s="70">
        <f t="shared" si="0"/>
        <v>11677.6</v>
      </c>
    </row>
    <row r="25" spans="1:9" ht="15" customHeight="1">
      <c r="A25" s="80">
        <v>2017</v>
      </c>
      <c r="B25" s="81">
        <f t="shared" si="2"/>
        <v>11744</v>
      </c>
      <c r="C25" s="82">
        <f t="shared" si="1"/>
        <v>20</v>
      </c>
      <c r="D25" s="69"/>
      <c r="E25" s="69"/>
      <c r="F25" s="69"/>
      <c r="G25" s="69"/>
      <c r="H25" s="69"/>
      <c r="I25" s="70">
        <f t="shared" si="0"/>
        <v>11744</v>
      </c>
    </row>
    <row r="26" spans="1:9" ht="15" customHeight="1">
      <c r="A26" s="80">
        <v>2018</v>
      </c>
      <c r="B26" s="81">
        <f t="shared" si="2"/>
        <v>11810</v>
      </c>
      <c r="C26" s="82">
        <f t="shared" si="1"/>
        <v>21</v>
      </c>
      <c r="D26" s="69"/>
      <c r="E26" s="69"/>
      <c r="F26" s="69"/>
      <c r="G26" s="69"/>
      <c r="H26" s="69"/>
      <c r="I26" s="70">
        <f t="shared" si="0"/>
        <v>11810.4</v>
      </c>
    </row>
    <row r="27" spans="1:9" ht="15" customHeight="1">
      <c r="A27" s="80">
        <v>2019</v>
      </c>
      <c r="B27" s="81">
        <f t="shared" si="2"/>
        <v>11877</v>
      </c>
      <c r="C27" s="82">
        <f t="shared" si="1"/>
        <v>22</v>
      </c>
      <c r="D27" s="69"/>
      <c r="E27" s="69"/>
      <c r="F27" s="69"/>
      <c r="G27" s="69"/>
      <c r="H27" s="69"/>
      <c r="I27" s="70">
        <f t="shared" si="0"/>
        <v>11876.8</v>
      </c>
    </row>
    <row r="28" spans="1:9" ht="15" customHeight="1">
      <c r="A28" s="80">
        <v>2020</v>
      </c>
      <c r="B28" s="81">
        <f t="shared" si="2"/>
        <v>11943</v>
      </c>
      <c r="C28" s="82">
        <f t="shared" si="1"/>
        <v>23</v>
      </c>
      <c r="D28" s="69"/>
      <c r="E28" s="69"/>
      <c r="F28" s="69"/>
      <c r="G28" s="69"/>
      <c r="H28" s="69"/>
      <c r="I28" s="70">
        <f t="shared" si="0"/>
        <v>11943.2</v>
      </c>
    </row>
    <row r="29" spans="1:9" ht="15" customHeight="1">
      <c r="A29" s="80">
        <v>2021</v>
      </c>
      <c r="B29" s="81">
        <f t="shared" si="2"/>
        <v>12010</v>
      </c>
      <c r="C29" s="82">
        <f t="shared" si="1"/>
        <v>24</v>
      </c>
      <c r="D29" s="69"/>
      <c r="E29" s="69"/>
      <c r="F29" s="69"/>
      <c r="G29" s="69"/>
      <c r="H29" s="69"/>
      <c r="I29" s="70">
        <f t="shared" si="0"/>
        <v>12009.6</v>
      </c>
    </row>
    <row r="30" spans="1:9" ht="15" customHeight="1">
      <c r="A30" s="80">
        <v>2022</v>
      </c>
      <c r="B30" s="81">
        <f t="shared" si="2"/>
        <v>12076</v>
      </c>
      <c r="C30" s="82">
        <f t="shared" si="1"/>
        <v>25</v>
      </c>
      <c r="D30" s="69"/>
      <c r="E30" s="69"/>
      <c r="F30" s="69"/>
      <c r="G30" s="69"/>
      <c r="H30" s="69"/>
      <c r="I30" s="70">
        <f t="shared" si="0"/>
        <v>12076</v>
      </c>
    </row>
    <row r="31" spans="1:9" ht="15" customHeight="1">
      <c r="A31" s="80">
        <v>2023</v>
      </c>
      <c r="B31" s="81">
        <f t="shared" si="2"/>
        <v>12142</v>
      </c>
      <c r="C31" s="82">
        <f t="shared" si="1"/>
        <v>26</v>
      </c>
      <c r="D31" s="69"/>
      <c r="E31" s="69"/>
      <c r="F31" s="69"/>
      <c r="G31" s="69"/>
      <c r="H31" s="69"/>
      <c r="I31" s="70">
        <f t="shared" si="0"/>
        <v>12142.4</v>
      </c>
    </row>
    <row r="32" spans="1:9" ht="15" customHeight="1">
      <c r="A32" s="80">
        <v>2024</v>
      </c>
      <c r="B32" s="81">
        <f t="shared" si="2"/>
        <v>12209</v>
      </c>
      <c r="C32" s="67">
        <f t="shared" si="1"/>
        <v>27</v>
      </c>
      <c r="D32" s="83"/>
      <c r="E32" s="69"/>
      <c r="F32" s="69"/>
      <c r="G32" s="69"/>
      <c r="H32" s="84"/>
      <c r="I32" s="70">
        <f t="shared" si="0"/>
        <v>12208.8</v>
      </c>
    </row>
    <row r="33" spans="1:9" ht="15" customHeight="1">
      <c r="A33" s="85">
        <v>2025</v>
      </c>
      <c r="B33" s="86">
        <f t="shared" si="2"/>
        <v>12275</v>
      </c>
      <c r="C33" s="87">
        <f t="shared" si="1"/>
        <v>28</v>
      </c>
      <c r="D33" s="88"/>
      <c r="E33" s="89"/>
      <c r="F33" s="89"/>
      <c r="G33" s="89"/>
      <c r="H33" s="90"/>
      <c r="I33" s="91">
        <f t="shared" si="0"/>
        <v>12275.2</v>
      </c>
    </row>
    <row r="34" spans="1:9" ht="15" customHeight="1">
      <c r="A34" s="56" t="s">
        <v>78</v>
      </c>
      <c r="B34" s="92"/>
      <c r="I34" s="89"/>
    </row>
    <row r="35" spans="1:9" ht="15" customHeight="1">
      <c r="A35" s="58" t="s">
        <v>32</v>
      </c>
      <c r="B35" s="59" t="s">
        <v>40</v>
      </c>
      <c r="C35" s="59" t="s">
        <v>33</v>
      </c>
      <c r="D35" s="60"/>
      <c r="E35" s="60"/>
      <c r="F35" s="61"/>
      <c r="G35" s="62"/>
      <c r="H35" s="63" t="s">
        <v>250</v>
      </c>
      <c r="I35" s="64">
        <f>RSQ(I36:I46,B36:B46)</f>
        <v>2.5447352797668403E-4</v>
      </c>
    </row>
    <row r="36" spans="1:9" ht="15" customHeight="1">
      <c r="A36" s="65">
        <f t="shared" ref="A36:B46" si="3">A5</f>
        <v>1997</v>
      </c>
      <c r="B36" s="93">
        <f t="shared" si="3"/>
        <v>10416</v>
      </c>
      <c r="C36" s="67">
        <v>0</v>
      </c>
      <c r="D36" s="53"/>
      <c r="E36" s="53"/>
      <c r="F36" s="69"/>
      <c r="G36" s="264"/>
      <c r="H36" s="265"/>
      <c r="I36" s="94">
        <f t="shared" ref="I36:I64" si="4">$E$37*C36+$E$38</f>
        <v>11477.136363636364</v>
      </c>
    </row>
    <row r="37" spans="1:9" ht="15" customHeight="1">
      <c r="A37" s="65" t="e">
        <f t="shared" si="3"/>
        <v>#REF!</v>
      </c>
      <c r="B37" s="93">
        <f t="shared" si="3"/>
        <v>10645</v>
      </c>
      <c r="C37" s="67">
        <f>+C36+1</f>
        <v>1</v>
      </c>
      <c r="D37" s="53" t="s">
        <v>75</v>
      </c>
      <c r="E37" s="68">
        <f>INDEX(LINEST(B36:B46,C36:C46),1)</f>
        <v>3.2454545454545549</v>
      </c>
      <c r="F37" s="69"/>
      <c r="G37" s="53"/>
      <c r="H37" s="69"/>
      <c r="I37" s="70">
        <f t="shared" si="4"/>
        <v>11480.381818181819</v>
      </c>
    </row>
    <row r="38" spans="1:9" ht="15" customHeight="1">
      <c r="A38" s="65" t="e">
        <f t="shared" si="3"/>
        <v>#REF!</v>
      </c>
      <c r="B38" s="93">
        <f t="shared" si="3"/>
        <v>11923</v>
      </c>
      <c r="C38" s="67">
        <f t="shared" ref="C38:C64" si="5">C37+1</f>
        <v>2</v>
      </c>
      <c r="D38" s="53" t="s">
        <v>76</v>
      </c>
      <c r="E38" s="72">
        <f>INDEX(LINEST(B36:B46,C36:C46),2)</f>
        <v>11477.136363636364</v>
      </c>
      <c r="F38" s="69"/>
      <c r="G38" s="53"/>
      <c r="H38" s="69"/>
      <c r="I38" s="70">
        <f t="shared" si="4"/>
        <v>11483.627272727274</v>
      </c>
    </row>
    <row r="39" spans="1:9" ht="15" customHeight="1">
      <c r="A39" s="65" t="e">
        <f t="shared" si="3"/>
        <v>#REF!</v>
      </c>
      <c r="B39" s="93">
        <f t="shared" si="3"/>
        <v>12487</v>
      </c>
      <c r="C39" s="67">
        <f t="shared" si="5"/>
        <v>3</v>
      </c>
      <c r="D39" s="53" t="s">
        <v>77</v>
      </c>
      <c r="E39" s="73">
        <f>I35</f>
        <v>2.5447352797668403E-4</v>
      </c>
      <c r="F39" s="69"/>
      <c r="G39" s="53"/>
      <c r="H39" s="69"/>
      <c r="I39" s="70">
        <f t="shared" si="4"/>
        <v>11486.872727272728</v>
      </c>
    </row>
    <row r="40" spans="1:9" ht="15" customHeight="1">
      <c r="A40" s="65" t="e">
        <f t="shared" si="3"/>
        <v>#REF!</v>
      </c>
      <c r="B40" s="93">
        <f t="shared" si="3"/>
        <v>12310</v>
      </c>
      <c r="C40" s="67">
        <f t="shared" si="5"/>
        <v>4</v>
      </c>
      <c r="D40" s="53"/>
      <c r="E40" s="53"/>
      <c r="F40" s="69"/>
      <c r="G40" s="53"/>
      <c r="H40" s="69"/>
      <c r="I40" s="70">
        <f t="shared" si="4"/>
        <v>11490.118181818183</v>
      </c>
    </row>
    <row r="41" spans="1:9" ht="15" customHeight="1">
      <c r="A41" s="65" t="e">
        <f t="shared" si="3"/>
        <v>#REF!</v>
      </c>
      <c r="B41" s="93">
        <f t="shared" si="3"/>
        <v>12027</v>
      </c>
      <c r="C41" s="67">
        <f t="shared" si="5"/>
        <v>5</v>
      </c>
      <c r="D41" s="53"/>
      <c r="E41" s="53"/>
      <c r="F41" s="69"/>
      <c r="G41" s="95"/>
      <c r="H41" s="69"/>
      <c r="I41" s="70">
        <f t="shared" si="4"/>
        <v>11493.363636363636</v>
      </c>
    </row>
    <row r="42" spans="1:9" ht="15" customHeight="1">
      <c r="A42" s="65" t="e">
        <f t="shared" si="3"/>
        <v>#REF!</v>
      </c>
      <c r="B42" s="93">
        <f t="shared" si="3"/>
        <v>11848</v>
      </c>
      <c r="C42" s="67">
        <f t="shared" si="5"/>
        <v>6</v>
      </c>
      <c r="D42" s="53"/>
      <c r="E42" s="53"/>
      <c r="F42" s="69"/>
      <c r="G42" s="53"/>
      <c r="H42" s="69"/>
      <c r="I42" s="70">
        <f t="shared" si="4"/>
        <v>11496.609090909091</v>
      </c>
    </row>
    <row r="43" spans="1:9" ht="15" customHeight="1">
      <c r="A43" s="65" t="e">
        <f t="shared" si="3"/>
        <v>#REF!</v>
      </c>
      <c r="B43" s="93">
        <f t="shared" si="3"/>
        <v>11403</v>
      </c>
      <c r="C43" s="67">
        <f t="shared" si="5"/>
        <v>7</v>
      </c>
      <c r="D43" s="53" t="s">
        <v>73</v>
      </c>
      <c r="E43" s="53"/>
      <c r="F43" s="69"/>
      <c r="G43" s="53"/>
      <c r="H43" s="69"/>
      <c r="I43" s="70">
        <f t="shared" si="4"/>
        <v>11499.854545454546</v>
      </c>
    </row>
    <row r="44" spans="1:9" ht="15" customHeight="1">
      <c r="A44" s="65" t="e">
        <f t="shared" si="3"/>
        <v>#REF!</v>
      </c>
      <c r="B44" s="93">
        <f t="shared" si="3"/>
        <v>11136</v>
      </c>
      <c r="C44" s="67">
        <f t="shared" si="5"/>
        <v>8</v>
      </c>
      <c r="D44" s="53"/>
      <c r="E44" s="53"/>
      <c r="F44" s="69"/>
      <c r="G44" s="53"/>
      <c r="H44" s="69"/>
      <c r="I44" s="70">
        <f t="shared" si="4"/>
        <v>11503.1</v>
      </c>
    </row>
    <row r="45" spans="1:9" ht="15" customHeight="1">
      <c r="A45" s="65" t="e">
        <f t="shared" si="3"/>
        <v>#REF!</v>
      </c>
      <c r="B45" s="93">
        <f t="shared" si="3"/>
        <v>11152</v>
      </c>
      <c r="C45" s="67">
        <f t="shared" si="5"/>
        <v>9</v>
      </c>
      <c r="D45" s="53"/>
      <c r="E45" s="53"/>
      <c r="F45" s="69"/>
      <c r="G45" s="53"/>
      <c r="H45" s="69"/>
      <c r="I45" s="70">
        <f t="shared" si="4"/>
        <v>11506.345454545455</v>
      </c>
    </row>
    <row r="46" spans="1:9" ht="15" customHeight="1" thickBot="1">
      <c r="A46" s="97" t="e">
        <f t="shared" si="3"/>
        <v>#REF!</v>
      </c>
      <c r="B46" s="98">
        <f t="shared" si="3"/>
        <v>11080</v>
      </c>
      <c r="C46" s="99">
        <f t="shared" si="5"/>
        <v>10</v>
      </c>
      <c r="D46" s="100"/>
      <c r="E46" s="100"/>
      <c r="F46" s="100"/>
      <c r="G46" s="101"/>
      <c r="H46" s="101"/>
      <c r="I46" s="102">
        <f t="shared" si="4"/>
        <v>11509.59090909091</v>
      </c>
    </row>
    <row r="47" spans="1:9" ht="15" customHeight="1" thickTop="1">
      <c r="A47" s="80">
        <v>2008</v>
      </c>
      <c r="B47" s="81">
        <f t="shared" ref="B47:B64" si="6">ROUND(E$37*C47+E$38,0)</f>
        <v>11513</v>
      </c>
      <c r="C47" s="77">
        <f t="shared" si="5"/>
        <v>11</v>
      </c>
      <c r="D47" s="78"/>
      <c r="E47" s="78"/>
      <c r="F47" s="78"/>
      <c r="G47" s="256"/>
      <c r="H47" s="256"/>
      <c r="I47" s="79">
        <f t="shared" si="4"/>
        <v>11512.836363636365</v>
      </c>
    </row>
    <row r="48" spans="1:9" ht="15" customHeight="1">
      <c r="A48" s="80">
        <v>2009</v>
      </c>
      <c r="B48" s="81">
        <f t="shared" si="6"/>
        <v>11516</v>
      </c>
      <c r="C48" s="67">
        <f t="shared" si="5"/>
        <v>12</v>
      </c>
      <c r="D48" s="69"/>
      <c r="E48" s="69"/>
      <c r="F48" s="69"/>
      <c r="G48" s="69"/>
      <c r="H48" s="69"/>
      <c r="I48" s="70">
        <f t="shared" si="4"/>
        <v>11516.081818181819</v>
      </c>
    </row>
    <row r="49" spans="1:9" ht="15" customHeight="1">
      <c r="A49" s="80">
        <v>2010</v>
      </c>
      <c r="B49" s="81">
        <f t="shared" si="6"/>
        <v>11519</v>
      </c>
      <c r="C49" s="82">
        <f t="shared" si="5"/>
        <v>13</v>
      </c>
      <c r="D49" s="69"/>
      <c r="E49" s="69"/>
      <c r="F49" s="69"/>
      <c r="G49" s="69"/>
      <c r="H49" s="69"/>
      <c r="I49" s="70">
        <f t="shared" si="4"/>
        <v>11519.327272727272</v>
      </c>
    </row>
    <row r="50" spans="1:9" ht="15" customHeight="1">
      <c r="A50" s="80">
        <v>2011</v>
      </c>
      <c r="B50" s="81">
        <f t="shared" si="6"/>
        <v>11523</v>
      </c>
      <c r="C50" s="82">
        <f t="shared" si="5"/>
        <v>14</v>
      </c>
      <c r="D50" s="69"/>
      <c r="E50" s="69"/>
      <c r="F50" s="69"/>
      <c r="G50" s="69"/>
      <c r="H50" s="69"/>
      <c r="I50" s="70">
        <f t="shared" si="4"/>
        <v>11522.572727272727</v>
      </c>
    </row>
    <row r="51" spans="1:9" ht="15" customHeight="1">
      <c r="A51" s="80">
        <v>2012</v>
      </c>
      <c r="B51" s="81">
        <f t="shared" si="6"/>
        <v>11526</v>
      </c>
      <c r="C51" s="82">
        <f t="shared" si="5"/>
        <v>15</v>
      </c>
      <c r="D51" s="69"/>
      <c r="E51" s="69"/>
      <c r="F51" s="69"/>
      <c r="G51" s="69"/>
      <c r="H51" s="69"/>
      <c r="I51" s="70">
        <f t="shared" si="4"/>
        <v>11525.818181818182</v>
      </c>
    </row>
    <row r="52" spans="1:9" ht="15" customHeight="1">
      <c r="A52" s="80">
        <v>2013</v>
      </c>
      <c r="B52" s="81">
        <f t="shared" si="6"/>
        <v>11529</v>
      </c>
      <c r="C52" s="82">
        <f t="shared" si="5"/>
        <v>16</v>
      </c>
      <c r="D52" s="69"/>
      <c r="E52" s="69"/>
      <c r="F52" s="69"/>
      <c r="G52" s="69"/>
      <c r="H52" s="69"/>
      <c r="I52" s="70">
        <f t="shared" si="4"/>
        <v>11529.063636363637</v>
      </c>
    </row>
    <row r="53" spans="1:9" ht="15" customHeight="1">
      <c r="A53" s="80">
        <v>2014</v>
      </c>
      <c r="B53" s="81">
        <f t="shared" si="6"/>
        <v>11532</v>
      </c>
      <c r="C53" s="82">
        <f t="shared" si="5"/>
        <v>17</v>
      </c>
      <c r="D53" s="69"/>
      <c r="E53" s="69"/>
      <c r="F53" s="69"/>
      <c r="G53" s="69"/>
      <c r="H53" s="69"/>
      <c r="I53" s="70">
        <f t="shared" si="4"/>
        <v>11532.309090909092</v>
      </c>
    </row>
    <row r="54" spans="1:9" ht="15" customHeight="1">
      <c r="A54" s="80">
        <v>2015</v>
      </c>
      <c r="B54" s="81">
        <f t="shared" si="6"/>
        <v>11536</v>
      </c>
      <c r="C54" s="82">
        <f t="shared" si="5"/>
        <v>18</v>
      </c>
      <c r="D54" s="69"/>
      <c r="E54" s="69"/>
      <c r="F54" s="69"/>
      <c r="G54" s="69"/>
      <c r="H54" s="69"/>
      <c r="I54" s="70">
        <f t="shared" si="4"/>
        <v>11535.554545454546</v>
      </c>
    </row>
    <row r="55" spans="1:9" ht="15" customHeight="1">
      <c r="A55" s="80">
        <v>2016</v>
      </c>
      <c r="B55" s="81">
        <f t="shared" si="6"/>
        <v>11539</v>
      </c>
      <c r="C55" s="82">
        <f t="shared" si="5"/>
        <v>19</v>
      </c>
      <c r="D55" s="69"/>
      <c r="E55" s="69"/>
      <c r="F55" s="69"/>
      <c r="G55" s="69"/>
      <c r="H55" s="69"/>
      <c r="I55" s="70">
        <f t="shared" si="4"/>
        <v>11538.800000000001</v>
      </c>
    </row>
    <row r="56" spans="1:9" ht="15" customHeight="1">
      <c r="A56" s="80">
        <v>2017</v>
      </c>
      <c r="B56" s="81">
        <f t="shared" si="6"/>
        <v>11542</v>
      </c>
      <c r="C56" s="82">
        <f t="shared" si="5"/>
        <v>20</v>
      </c>
      <c r="D56" s="69"/>
      <c r="E56" s="69"/>
      <c r="F56" s="69"/>
      <c r="G56" s="69"/>
      <c r="H56" s="69"/>
      <c r="I56" s="70">
        <f t="shared" si="4"/>
        <v>11542.045454545456</v>
      </c>
    </row>
    <row r="57" spans="1:9" ht="15" customHeight="1">
      <c r="A57" s="80">
        <v>2018</v>
      </c>
      <c r="B57" s="81">
        <f t="shared" si="6"/>
        <v>11545</v>
      </c>
      <c r="C57" s="82">
        <f t="shared" si="5"/>
        <v>21</v>
      </c>
      <c r="D57" s="69"/>
      <c r="E57" s="69"/>
      <c r="F57" s="69"/>
      <c r="G57" s="69"/>
      <c r="H57" s="69"/>
      <c r="I57" s="70">
        <f t="shared" si="4"/>
        <v>11545.290909090909</v>
      </c>
    </row>
    <row r="58" spans="1:9" ht="15" customHeight="1">
      <c r="A58" s="80">
        <v>2019</v>
      </c>
      <c r="B58" s="81">
        <f t="shared" si="6"/>
        <v>11549</v>
      </c>
      <c r="C58" s="82">
        <f t="shared" si="5"/>
        <v>22</v>
      </c>
      <c r="D58" s="69"/>
      <c r="E58" s="69"/>
      <c r="F58" s="69"/>
      <c r="G58" s="69"/>
      <c r="H58" s="69"/>
      <c r="I58" s="70">
        <f t="shared" si="4"/>
        <v>11548.536363636364</v>
      </c>
    </row>
    <row r="59" spans="1:9" ht="15" customHeight="1">
      <c r="A59" s="80">
        <v>2020</v>
      </c>
      <c r="B59" s="81">
        <f t="shared" si="6"/>
        <v>11552</v>
      </c>
      <c r="C59" s="82">
        <f t="shared" si="5"/>
        <v>23</v>
      </c>
      <c r="D59" s="69"/>
      <c r="E59" s="69"/>
      <c r="F59" s="69"/>
      <c r="G59" s="69"/>
      <c r="H59" s="69"/>
      <c r="I59" s="70">
        <f t="shared" si="4"/>
        <v>11551.781818181818</v>
      </c>
    </row>
    <row r="60" spans="1:9" ht="15" customHeight="1">
      <c r="A60" s="80">
        <v>2021</v>
      </c>
      <c r="B60" s="81">
        <f t="shared" si="6"/>
        <v>11555</v>
      </c>
      <c r="C60" s="82">
        <f t="shared" si="5"/>
        <v>24</v>
      </c>
      <c r="D60" s="69"/>
      <c r="E60" s="69"/>
      <c r="F60" s="69"/>
      <c r="G60" s="69"/>
      <c r="H60" s="69"/>
      <c r="I60" s="70">
        <f t="shared" si="4"/>
        <v>11555.027272727273</v>
      </c>
    </row>
    <row r="61" spans="1:9" ht="15" customHeight="1">
      <c r="A61" s="80">
        <v>2022</v>
      </c>
      <c r="B61" s="81">
        <f t="shared" si="6"/>
        <v>11558</v>
      </c>
      <c r="C61" s="82">
        <f t="shared" si="5"/>
        <v>25</v>
      </c>
      <c r="D61" s="69"/>
      <c r="E61" s="69"/>
      <c r="F61" s="69"/>
      <c r="G61" s="69"/>
      <c r="H61" s="69"/>
      <c r="I61" s="70">
        <f t="shared" si="4"/>
        <v>11558.272727272728</v>
      </c>
    </row>
    <row r="62" spans="1:9" ht="15" customHeight="1">
      <c r="A62" s="80">
        <v>2023</v>
      </c>
      <c r="B62" s="81">
        <f t="shared" si="6"/>
        <v>11562</v>
      </c>
      <c r="C62" s="82">
        <f t="shared" si="5"/>
        <v>26</v>
      </c>
      <c r="D62" s="69"/>
      <c r="E62" s="69"/>
      <c r="F62" s="69"/>
      <c r="G62" s="69"/>
      <c r="H62" s="69"/>
      <c r="I62" s="70">
        <f t="shared" si="4"/>
        <v>11561.518181818183</v>
      </c>
    </row>
    <row r="63" spans="1:9" ht="15" customHeight="1">
      <c r="A63" s="80">
        <v>2024</v>
      </c>
      <c r="B63" s="81">
        <f t="shared" si="6"/>
        <v>11565</v>
      </c>
      <c r="C63" s="67">
        <f t="shared" si="5"/>
        <v>27</v>
      </c>
      <c r="D63" s="69"/>
      <c r="E63" s="69"/>
      <c r="F63" s="69"/>
      <c r="G63" s="69"/>
      <c r="H63" s="69"/>
      <c r="I63" s="70">
        <f t="shared" si="4"/>
        <v>11564.763636363637</v>
      </c>
    </row>
    <row r="64" spans="1:9" ht="15" customHeight="1">
      <c r="A64" s="85">
        <v>2025</v>
      </c>
      <c r="B64" s="86">
        <f t="shared" si="6"/>
        <v>11568</v>
      </c>
      <c r="C64" s="87">
        <f t="shared" si="5"/>
        <v>28</v>
      </c>
      <c r="D64" s="89"/>
      <c r="E64" s="89"/>
      <c r="F64" s="89"/>
      <c r="G64" s="89"/>
      <c r="H64" s="89"/>
      <c r="I64" s="91">
        <f t="shared" si="4"/>
        <v>11568.009090909092</v>
      </c>
    </row>
    <row r="65" spans="1:11" ht="15" customHeight="1">
      <c r="A65" s="56" t="s">
        <v>79</v>
      </c>
      <c r="B65" s="57"/>
    </row>
    <row r="66" spans="1:11" ht="15" customHeight="1">
      <c r="A66" s="58" t="s">
        <v>32</v>
      </c>
      <c r="B66" s="59" t="s">
        <v>40</v>
      </c>
      <c r="C66" s="59" t="s">
        <v>34</v>
      </c>
      <c r="D66" s="59" t="s">
        <v>33</v>
      </c>
      <c r="E66" s="103"/>
      <c r="F66" s="60"/>
      <c r="G66" s="61"/>
      <c r="H66" s="63" t="s">
        <v>250</v>
      </c>
      <c r="I66" s="64">
        <f>RSQ(I67:I77,B67:B77)</f>
        <v>7.9123343906098336E-5</v>
      </c>
    </row>
    <row r="67" spans="1:11" ht="15" customHeight="1">
      <c r="A67" s="65">
        <v>1997</v>
      </c>
      <c r="B67" s="104">
        <f t="shared" ref="B67:B77" si="7">B5</f>
        <v>10416</v>
      </c>
      <c r="C67" s="105">
        <f t="shared" ref="C67:C95" si="8">LN(B67)</f>
        <v>9.2510983644483513</v>
      </c>
      <c r="D67" s="67">
        <v>0</v>
      </c>
      <c r="E67" s="106"/>
      <c r="F67" s="53"/>
      <c r="G67" s="69"/>
      <c r="H67" s="265"/>
      <c r="I67" s="109">
        <f t="shared" ref="I67:I95" si="9">ROUND($F$69*(1+$F$68)^(D67),1)</f>
        <v>10416</v>
      </c>
    </row>
    <row r="68" spans="1:11" ht="15" customHeight="1">
      <c r="A68" s="65" t="e">
        <f t="shared" ref="A68:A77" si="10">A6</f>
        <v>#REF!</v>
      </c>
      <c r="B68" s="104">
        <f t="shared" si="7"/>
        <v>10645</v>
      </c>
      <c r="C68" s="105">
        <f t="shared" si="8"/>
        <v>9.2728455773275797</v>
      </c>
      <c r="D68" s="67">
        <f>+D67+1</f>
        <v>1</v>
      </c>
      <c r="E68" s="106" t="s">
        <v>37</v>
      </c>
      <c r="F68" s="73">
        <f>ROUND((B77/B67)^(1/D77)-1,5)</f>
        <v>6.1999999999999998E-3</v>
      </c>
      <c r="G68" s="107"/>
      <c r="H68" s="108"/>
      <c r="I68" s="109">
        <f t="shared" si="9"/>
        <v>10480.6</v>
      </c>
    </row>
    <row r="69" spans="1:11" ht="15" customHeight="1">
      <c r="A69" s="65" t="e">
        <f t="shared" si="10"/>
        <v>#REF!</v>
      </c>
      <c r="B69" s="104">
        <f t="shared" si="7"/>
        <v>11923</v>
      </c>
      <c r="C69" s="105">
        <f t="shared" si="8"/>
        <v>9.3862245868061311</v>
      </c>
      <c r="D69" s="67">
        <f t="shared" ref="D69:D95" si="11">D68+1</f>
        <v>2</v>
      </c>
      <c r="E69" s="106" t="s">
        <v>80</v>
      </c>
      <c r="F69" s="110">
        <f>B67</f>
        <v>10416</v>
      </c>
      <c r="G69" s="107"/>
      <c r="H69" s="108"/>
      <c r="I69" s="109">
        <f t="shared" si="9"/>
        <v>10545.6</v>
      </c>
      <c r="K69" s="111"/>
    </row>
    <row r="70" spans="1:11" ht="15" customHeight="1">
      <c r="A70" s="65" t="e">
        <f t="shared" si="10"/>
        <v>#REF!</v>
      </c>
      <c r="B70" s="104">
        <f t="shared" si="7"/>
        <v>12487</v>
      </c>
      <c r="C70" s="105">
        <f t="shared" si="8"/>
        <v>9.4324433821151459</v>
      </c>
      <c r="D70" s="67">
        <f t="shared" si="11"/>
        <v>3</v>
      </c>
      <c r="E70" s="106" t="s">
        <v>77</v>
      </c>
      <c r="F70" s="73">
        <f>I66</f>
        <v>7.9123343906098336E-5</v>
      </c>
      <c r="G70" s="108"/>
      <c r="H70" s="108"/>
      <c r="I70" s="109">
        <f t="shared" si="9"/>
        <v>10610.9</v>
      </c>
    </row>
    <row r="71" spans="1:11" ht="15" customHeight="1">
      <c r="A71" s="65" t="e">
        <f t="shared" si="10"/>
        <v>#REF!</v>
      </c>
      <c r="B71" s="104">
        <f t="shared" si="7"/>
        <v>12310</v>
      </c>
      <c r="C71" s="105">
        <f t="shared" si="8"/>
        <v>9.4181672191784997</v>
      </c>
      <c r="D71" s="67">
        <f t="shared" si="11"/>
        <v>4</v>
      </c>
      <c r="E71" s="106"/>
      <c r="F71" s="73"/>
      <c r="G71" s="108"/>
      <c r="H71" s="108"/>
      <c r="I71" s="109">
        <f t="shared" si="9"/>
        <v>10676.7</v>
      </c>
    </row>
    <row r="72" spans="1:11" ht="15" customHeight="1">
      <c r="A72" s="65" t="e">
        <f t="shared" si="10"/>
        <v>#REF!</v>
      </c>
      <c r="B72" s="104">
        <f t="shared" si="7"/>
        <v>12027</v>
      </c>
      <c r="C72" s="105">
        <f t="shared" si="8"/>
        <v>9.3949094013106169</v>
      </c>
      <c r="D72" s="67">
        <f t="shared" si="11"/>
        <v>5</v>
      </c>
      <c r="E72" s="106" t="s">
        <v>81</v>
      </c>
      <c r="F72" s="72"/>
      <c r="G72" s="108"/>
      <c r="H72" s="108"/>
      <c r="I72" s="109">
        <f t="shared" si="9"/>
        <v>10742.9</v>
      </c>
    </row>
    <row r="73" spans="1:11" ht="15" customHeight="1">
      <c r="A73" s="65" t="e">
        <f t="shared" si="10"/>
        <v>#REF!</v>
      </c>
      <c r="B73" s="104">
        <f t="shared" si="7"/>
        <v>11848</v>
      </c>
      <c r="C73" s="105">
        <f t="shared" si="8"/>
        <v>9.3799143559476352</v>
      </c>
      <c r="D73" s="67">
        <f t="shared" si="11"/>
        <v>6</v>
      </c>
      <c r="E73" s="112"/>
      <c r="F73" s="113"/>
      <c r="G73" s="108"/>
      <c r="H73" s="108"/>
      <c r="I73" s="109">
        <f t="shared" si="9"/>
        <v>10809.5</v>
      </c>
    </row>
    <row r="74" spans="1:11" ht="15" customHeight="1">
      <c r="A74" s="65" t="e">
        <f t="shared" si="10"/>
        <v>#REF!</v>
      </c>
      <c r="B74" s="104">
        <f t="shared" si="7"/>
        <v>11403</v>
      </c>
      <c r="C74" s="105">
        <f t="shared" si="8"/>
        <v>9.3416317576573586</v>
      </c>
      <c r="D74" s="67">
        <f t="shared" si="11"/>
        <v>7</v>
      </c>
      <c r="E74" s="114"/>
      <c r="F74" s="113"/>
      <c r="G74" s="108"/>
      <c r="H74" s="108"/>
      <c r="I74" s="109">
        <f t="shared" si="9"/>
        <v>10876.6</v>
      </c>
    </row>
    <row r="75" spans="1:11" ht="15" customHeight="1">
      <c r="A75" s="65" t="e">
        <f t="shared" si="10"/>
        <v>#REF!</v>
      </c>
      <c r="B75" s="104">
        <f t="shared" si="7"/>
        <v>11136</v>
      </c>
      <c r="C75" s="105">
        <f t="shared" si="8"/>
        <v>9.3179383825742015</v>
      </c>
      <c r="D75" s="67">
        <f t="shared" si="11"/>
        <v>8</v>
      </c>
      <c r="E75" s="114"/>
      <c r="F75" s="113"/>
      <c r="G75" s="108"/>
      <c r="H75" s="108"/>
      <c r="I75" s="109">
        <f t="shared" si="9"/>
        <v>10944</v>
      </c>
    </row>
    <row r="76" spans="1:11" ht="15" customHeight="1">
      <c r="A76" s="65" t="e">
        <f t="shared" si="10"/>
        <v>#REF!</v>
      </c>
      <c r="B76" s="104">
        <f t="shared" si="7"/>
        <v>11152</v>
      </c>
      <c r="C76" s="105">
        <f t="shared" si="8"/>
        <v>9.3193741330003057</v>
      </c>
      <c r="D76" s="67">
        <f t="shared" si="11"/>
        <v>9</v>
      </c>
      <c r="E76" s="108"/>
      <c r="F76" s="108"/>
      <c r="G76" s="115"/>
      <c r="H76" s="108"/>
      <c r="I76" s="109">
        <f t="shared" si="9"/>
        <v>11011.8</v>
      </c>
    </row>
    <row r="77" spans="1:11" s="100" customFormat="1" ht="15" customHeight="1" thickBot="1">
      <c r="A77" s="97" t="e">
        <f t="shared" si="10"/>
        <v>#REF!</v>
      </c>
      <c r="B77" s="116">
        <f t="shared" si="7"/>
        <v>11080</v>
      </c>
      <c r="C77" s="117">
        <f t="shared" si="8"/>
        <v>9.3128969603012752</v>
      </c>
      <c r="D77" s="99">
        <f t="shared" si="11"/>
        <v>10</v>
      </c>
      <c r="E77" s="118"/>
      <c r="F77" s="118"/>
      <c r="G77" s="119"/>
      <c r="H77" s="118"/>
      <c r="I77" s="120">
        <f t="shared" si="9"/>
        <v>11080.1</v>
      </c>
    </row>
    <row r="78" spans="1:11" s="78" customFormat="1" ht="15" customHeight="1" thickTop="1">
      <c r="A78" s="80">
        <v>2008</v>
      </c>
      <c r="B78" s="81">
        <f t="shared" ref="B78:B95" si="12">ROUND(F$69*(1+F$68)^D78,0)</f>
        <v>11149</v>
      </c>
      <c r="C78" s="121">
        <f t="shared" si="8"/>
        <v>9.3191050867675713</v>
      </c>
      <c r="D78" s="77">
        <f t="shared" si="11"/>
        <v>11</v>
      </c>
      <c r="E78" s="259"/>
      <c r="F78" s="259"/>
      <c r="G78" s="260"/>
      <c r="H78" s="259"/>
      <c r="I78" s="123">
        <f t="shared" si="9"/>
        <v>11148.8</v>
      </c>
    </row>
    <row r="79" spans="1:11" ht="15" customHeight="1">
      <c r="A79" s="80">
        <v>2009</v>
      </c>
      <c r="B79" s="81">
        <f t="shared" si="12"/>
        <v>11218</v>
      </c>
      <c r="C79" s="105">
        <f t="shared" si="8"/>
        <v>9.3252749100682824</v>
      </c>
      <c r="D79" s="67">
        <f t="shared" si="11"/>
        <v>12</v>
      </c>
      <c r="E79" s="83"/>
      <c r="F79" s="69"/>
      <c r="G79" s="69"/>
      <c r="H79" s="69"/>
      <c r="I79" s="109">
        <f t="shared" si="9"/>
        <v>11217.9</v>
      </c>
    </row>
    <row r="80" spans="1:11" ht="15" customHeight="1">
      <c r="A80" s="80">
        <v>2010</v>
      </c>
      <c r="B80" s="81">
        <f t="shared" si="12"/>
        <v>11287</v>
      </c>
      <c r="C80" s="105">
        <f t="shared" si="8"/>
        <v>9.3314068999556259</v>
      </c>
      <c r="D80" s="67">
        <f t="shared" si="11"/>
        <v>13</v>
      </c>
      <c r="E80" s="83"/>
      <c r="F80" s="69"/>
      <c r="G80" s="69"/>
      <c r="H80" s="69"/>
      <c r="I80" s="109">
        <f t="shared" si="9"/>
        <v>11287.5</v>
      </c>
    </row>
    <row r="81" spans="1:9" ht="15" customHeight="1">
      <c r="A81" s="80">
        <v>2011</v>
      </c>
      <c r="B81" s="81">
        <f t="shared" si="12"/>
        <v>11357</v>
      </c>
      <c r="C81" s="105">
        <f t="shared" si="8"/>
        <v>9.3375895728916465</v>
      </c>
      <c r="D81" s="67">
        <f t="shared" si="11"/>
        <v>14</v>
      </c>
      <c r="E81" s="83"/>
      <c r="F81" s="69"/>
      <c r="G81" s="69"/>
      <c r="H81" s="69"/>
      <c r="I81" s="109">
        <f t="shared" si="9"/>
        <v>11357.5</v>
      </c>
    </row>
    <row r="82" spans="1:9" ht="15" customHeight="1">
      <c r="A82" s="80">
        <v>2012</v>
      </c>
      <c r="B82" s="81">
        <f t="shared" si="12"/>
        <v>11428</v>
      </c>
      <c r="C82" s="105">
        <f t="shared" si="8"/>
        <v>9.3438217633506628</v>
      </c>
      <c r="D82" s="67">
        <f t="shared" si="11"/>
        <v>15</v>
      </c>
      <c r="E82" s="83"/>
      <c r="F82" s="69"/>
      <c r="G82" s="69"/>
      <c r="H82" s="69"/>
      <c r="I82" s="109">
        <f t="shared" si="9"/>
        <v>11427.9</v>
      </c>
    </row>
    <row r="83" spans="1:9" ht="15" customHeight="1">
      <c r="A83" s="80">
        <v>2013</v>
      </c>
      <c r="B83" s="81">
        <f t="shared" si="12"/>
        <v>11499</v>
      </c>
      <c r="C83" s="105">
        <f t="shared" si="8"/>
        <v>9.350015354048665</v>
      </c>
      <c r="D83" s="67">
        <f t="shared" si="11"/>
        <v>16</v>
      </c>
      <c r="E83" s="83"/>
      <c r="F83" s="69"/>
      <c r="G83" s="69"/>
      <c r="H83" s="69"/>
      <c r="I83" s="109">
        <f t="shared" si="9"/>
        <v>11498.7</v>
      </c>
    </row>
    <row r="84" spans="1:9" ht="15" customHeight="1">
      <c r="A84" s="80">
        <v>2014</v>
      </c>
      <c r="B84" s="81">
        <f t="shared" si="12"/>
        <v>11570</v>
      </c>
      <c r="C84" s="105">
        <f t="shared" si="8"/>
        <v>9.3561708201877227</v>
      </c>
      <c r="D84" s="67">
        <f t="shared" si="11"/>
        <v>17</v>
      </c>
      <c r="E84" s="83"/>
      <c r="F84" s="69"/>
      <c r="G84" s="69"/>
      <c r="H84" s="69"/>
      <c r="I84" s="109">
        <f t="shared" si="9"/>
        <v>11570</v>
      </c>
    </row>
    <row r="85" spans="1:9" ht="15" customHeight="1">
      <c r="A85" s="80">
        <v>2015</v>
      </c>
      <c r="B85" s="81">
        <f t="shared" si="12"/>
        <v>11642</v>
      </c>
      <c r="C85" s="105">
        <f t="shared" si="8"/>
        <v>9.3623745278316814</v>
      </c>
      <c r="D85" s="67">
        <f t="shared" si="11"/>
        <v>18</v>
      </c>
      <c r="E85" s="83"/>
      <c r="F85" s="69"/>
      <c r="G85" s="69"/>
      <c r="H85" s="69"/>
      <c r="I85" s="109">
        <f t="shared" si="9"/>
        <v>11641.8</v>
      </c>
    </row>
    <row r="86" spans="1:9" ht="15" customHeight="1">
      <c r="A86" s="80">
        <v>2016</v>
      </c>
      <c r="B86" s="81">
        <f t="shared" si="12"/>
        <v>11714</v>
      </c>
      <c r="C86" s="105">
        <f t="shared" si="8"/>
        <v>9.3685399866497274</v>
      </c>
      <c r="D86" s="67">
        <f t="shared" si="11"/>
        <v>19</v>
      </c>
      <c r="E86" s="83"/>
      <c r="F86" s="69"/>
      <c r="G86" s="69"/>
      <c r="H86" s="69"/>
      <c r="I86" s="109">
        <f t="shared" si="9"/>
        <v>11713.9</v>
      </c>
    </row>
    <row r="87" spans="1:9" ht="15" customHeight="1">
      <c r="A87" s="80">
        <v>2017</v>
      </c>
      <c r="B87" s="81">
        <f t="shared" si="12"/>
        <v>11787</v>
      </c>
      <c r="C87" s="105">
        <f t="shared" si="8"/>
        <v>9.3747525082265692</v>
      </c>
      <c r="D87" s="67">
        <f t="shared" si="11"/>
        <v>20</v>
      </c>
      <c r="E87" s="83"/>
      <c r="F87" s="69"/>
      <c r="G87" s="69"/>
      <c r="H87" s="69"/>
      <c r="I87" s="109">
        <f t="shared" si="9"/>
        <v>11786.6</v>
      </c>
    </row>
    <row r="88" spans="1:9" ht="15" customHeight="1">
      <c r="A88" s="80">
        <v>2018</v>
      </c>
      <c r="B88" s="81">
        <f t="shared" si="12"/>
        <v>11860</v>
      </c>
      <c r="C88" s="105">
        <f t="shared" si="8"/>
        <v>9.3809266725517162</v>
      </c>
      <c r="D88" s="67">
        <f t="shared" si="11"/>
        <v>21</v>
      </c>
      <c r="E88" s="83"/>
      <c r="F88" s="69"/>
      <c r="G88" s="69"/>
      <c r="H88" s="69"/>
      <c r="I88" s="109">
        <f t="shared" si="9"/>
        <v>11859.6</v>
      </c>
    </row>
    <row r="89" spans="1:9" ht="15" customHeight="1">
      <c r="A89" s="80">
        <v>2019</v>
      </c>
      <c r="B89" s="81">
        <f t="shared" si="12"/>
        <v>11933</v>
      </c>
      <c r="C89" s="105">
        <f t="shared" si="8"/>
        <v>9.3870629503696552</v>
      </c>
      <c r="D89" s="67">
        <f t="shared" si="11"/>
        <v>22</v>
      </c>
      <c r="E89" s="83"/>
      <c r="F89" s="69"/>
      <c r="G89" s="69"/>
      <c r="H89" s="69"/>
      <c r="I89" s="109">
        <f t="shared" si="9"/>
        <v>11933.2</v>
      </c>
    </row>
    <row r="90" spans="1:9" ht="15" customHeight="1">
      <c r="A90" s="80">
        <v>2020</v>
      </c>
      <c r="B90" s="81">
        <f t="shared" si="12"/>
        <v>12007</v>
      </c>
      <c r="C90" s="105">
        <f t="shared" si="8"/>
        <v>9.3932450920307176</v>
      </c>
      <c r="D90" s="67">
        <f t="shared" si="11"/>
        <v>23</v>
      </c>
      <c r="E90" s="83"/>
      <c r="F90" s="69"/>
      <c r="G90" s="69"/>
      <c r="H90" s="69"/>
      <c r="I90" s="109">
        <f t="shared" si="9"/>
        <v>12007.2</v>
      </c>
    </row>
    <row r="91" spans="1:9" ht="15" customHeight="1">
      <c r="A91" s="80">
        <v>2021</v>
      </c>
      <c r="B91" s="81">
        <f t="shared" si="12"/>
        <v>12082</v>
      </c>
      <c r="C91" s="105">
        <f t="shared" si="8"/>
        <v>9.3994720206986866</v>
      </c>
      <c r="D91" s="67">
        <f t="shared" si="11"/>
        <v>24</v>
      </c>
      <c r="E91" s="83"/>
      <c r="F91" s="69"/>
      <c r="G91" s="69"/>
      <c r="H91" s="69"/>
      <c r="I91" s="109">
        <f t="shared" si="9"/>
        <v>12081.6</v>
      </c>
    </row>
    <row r="92" spans="1:9" ht="15" customHeight="1">
      <c r="A92" s="80">
        <v>2022</v>
      </c>
      <c r="B92" s="81">
        <f t="shared" si="12"/>
        <v>12157</v>
      </c>
      <c r="C92" s="105">
        <f t="shared" si="8"/>
        <v>9.4056604145557934</v>
      </c>
      <c r="D92" s="67">
        <f t="shared" si="11"/>
        <v>25</v>
      </c>
      <c r="E92" s="83"/>
      <c r="F92" s="69"/>
      <c r="G92" s="69"/>
      <c r="H92" s="69"/>
      <c r="I92" s="109">
        <f t="shared" si="9"/>
        <v>12156.5</v>
      </c>
    </row>
    <row r="93" spans="1:9" ht="15" customHeight="1">
      <c r="A93" s="80">
        <v>2023</v>
      </c>
      <c r="B93" s="81">
        <f t="shared" si="12"/>
        <v>12232</v>
      </c>
      <c r="C93" s="105">
        <f t="shared" si="8"/>
        <v>9.4118107476088984</v>
      </c>
      <c r="D93" s="67">
        <f t="shared" si="11"/>
        <v>26</v>
      </c>
      <c r="E93" s="83"/>
      <c r="F93" s="69"/>
      <c r="G93" s="69"/>
      <c r="H93" s="69"/>
      <c r="I93" s="109">
        <f t="shared" si="9"/>
        <v>12231.9</v>
      </c>
    </row>
    <row r="94" spans="1:9" ht="15" customHeight="1">
      <c r="A94" s="80">
        <v>2024</v>
      </c>
      <c r="B94" s="81">
        <f t="shared" si="12"/>
        <v>12308</v>
      </c>
      <c r="C94" s="105">
        <f t="shared" si="8"/>
        <v>9.418004736441933</v>
      </c>
      <c r="D94" s="67">
        <f t="shared" si="11"/>
        <v>27</v>
      </c>
      <c r="E94" s="69"/>
      <c r="F94" s="69"/>
      <c r="G94" s="69"/>
      <c r="H94" s="69"/>
      <c r="I94" s="109">
        <f t="shared" si="9"/>
        <v>12307.7</v>
      </c>
    </row>
    <row r="95" spans="1:9" ht="15" customHeight="1">
      <c r="A95" s="85">
        <v>2025</v>
      </c>
      <c r="B95" s="86">
        <f t="shared" si="12"/>
        <v>12384</v>
      </c>
      <c r="C95" s="124">
        <f t="shared" si="8"/>
        <v>9.4241605958295089</v>
      </c>
      <c r="D95" s="87">
        <f t="shared" si="11"/>
        <v>28</v>
      </c>
      <c r="E95" s="89"/>
      <c r="F95" s="89"/>
      <c r="G95" s="89"/>
      <c r="H95" s="89"/>
      <c r="I95" s="125">
        <f t="shared" si="9"/>
        <v>12384</v>
      </c>
    </row>
    <row r="96" spans="1:9" ht="15" customHeight="1">
      <c r="A96" s="56" t="s">
        <v>82</v>
      </c>
      <c r="B96" s="57"/>
    </row>
    <row r="97" spans="1:9" ht="15" customHeight="1">
      <c r="A97" s="58" t="s">
        <v>32</v>
      </c>
      <c r="B97" s="59" t="s">
        <v>40</v>
      </c>
      <c r="C97" s="59" t="s">
        <v>83</v>
      </c>
      <c r="D97" s="59" t="s">
        <v>33</v>
      </c>
      <c r="E97" s="59" t="s">
        <v>35</v>
      </c>
      <c r="F97" s="103"/>
      <c r="G97" s="60"/>
      <c r="H97" s="63" t="s">
        <v>250</v>
      </c>
      <c r="I97" s="64">
        <f>RSQ(I98:I108,B98:B108)</f>
        <v>0.20112298696468692</v>
      </c>
    </row>
    <row r="98" spans="1:9" ht="15" customHeight="1">
      <c r="A98" s="65">
        <v>1997</v>
      </c>
      <c r="B98" s="104">
        <f t="shared" ref="B98:B108" si="13">B5</f>
        <v>10416</v>
      </c>
      <c r="C98" s="126"/>
      <c r="D98" s="67">
        <v>0</v>
      </c>
      <c r="E98" s="67"/>
      <c r="F98" s="106"/>
      <c r="G98" s="53"/>
      <c r="H98" s="265"/>
      <c r="I98" s="267">
        <f>$B$98+$G$103*D98^$G$99</f>
        <v>10416</v>
      </c>
    </row>
    <row r="99" spans="1:9" ht="15" customHeight="1">
      <c r="A99" s="65" t="e">
        <f t="shared" ref="A99:A108" si="14">A6</f>
        <v>#REF!</v>
      </c>
      <c r="B99" s="104">
        <f t="shared" si="13"/>
        <v>10645</v>
      </c>
      <c r="C99" s="126">
        <f t="shared" ref="C99:C108" si="15">LN(-B$98+B99)</f>
        <v>5.43372200355424</v>
      </c>
      <c r="D99" s="67">
        <f>+D98+1</f>
        <v>1</v>
      </c>
      <c r="E99" s="67">
        <f t="shared" ref="E99:E108" si="16">LN(D99)</f>
        <v>0</v>
      </c>
      <c r="F99" s="106" t="s">
        <v>75</v>
      </c>
      <c r="G99" s="73">
        <f>INDEX(LINEST(C99:C108,E99:E108),1)</f>
        <v>0.19290259882506575</v>
      </c>
      <c r="H99" s="127"/>
      <c r="I99" s="128">
        <f t="shared" ref="I99:I126" si="17">$B$98+$G$103*D99^$G$99</f>
        <v>11169.329123162042</v>
      </c>
    </row>
    <row r="100" spans="1:9" ht="15" customHeight="1">
      <c r="A100" s="65" t="e">
        <f t="shared" si="14"/>
        <v>#REF!</v>
      </c>
      <c r="B100" s="104">
        <f t="shared" si="13"/>
        <v>11923</v>
      </c>
      <c r="C100" s="126">
        <f t="shared" si="15"/>
        <v>7.3178761986264957</v>
      </c>
      <c r="D100" s="67">
        <f t="shared" ref="D100:D126" si="18">D99+1</f>
        <v>2</v>
      </c>
      <c r="E100" s="67">
        <f t="shared" si="16"/>
        <v>0.69314718055994529</v>
      </c>
      <c r="F100" s="106" t="s">
        <v>76</v>
      </c>
      <c r="G100" s="73">
        <f>INDEX(LINEST(C99:C108,E99:E108),2)</f>
        <v>6.6245022148596533</v>
      </c>
      <c r="H100" s="129" t="s">
        <v>84</v>
      </c>
      <c r="I100" s="128">
        <f t="shared" si="17"/>
        <v>11277.101262077147</v>
      </c>
    </row>
    <row r="101" spans="1:9" ht="15" customHeight="1">
      <c r="A101" s="65" t="e">
        <f t="shared" si="14"/>
        <v>#REF!</v>
      </c>
      <c r="B101" s="104">
        <f t="shared" si="13"/>
        <v>12487</v>
      </c>
      <c r="C101" s="126">
        <f t="shared" si="15"/>
        <v>7.6357868613955846</v>
      </c>
      <c r="D101" s="67">
        <f t="shared" si="18"/>
        <v>3</v>
      </c>
      <c r="E101" s="67">
        <f t="shared" si="16"/>
        <v>1.0986122886681098</v>
      </c>
      <c r="F101" s="69"/>
      <c r="G101" s="130"/>
      <c r="H101" s="127"/>
      <c r="I101" s="128">
        <f t="shared" si="17"/>
        <v>11347.156517204388</v>
      </c>
    </row>
    <row r="102" spans="1:9" ht="15" customHeight="1">
      <c r="A102" s="65" t="e">
        <f t="shared" si="14"/>
        <v>#REF!</v>
      </c>
      <c r="B102" s="104">
        <f t="shared" si="13"/>
        <v>12310</v>
      </c>
      <c r="C102" s="126">
        <f t="shared" si="15"/>
        <v>7.5464462737460236</v>
      </c>
      <c r="D102" s="67">
        <f t="shared" si="18"/>
        <v>4</v>
      </c>
      <c r="E102" s="67">
        <f t="shared" si="16"/>
        <v>1.3862943611198906</v>
      </c>
      <c r="F102" s="106" t="s">
        <v>77</v>
      </c>
      <c r="G102" s="73">
        <f>I97</f>
        <v>0.20112298696468692</v>
      </c>
      <c r="H102" s="127"/>
      <c r="I102" s="128">
        <f t="shared" si="17"/>
        <v>11400.291408300376</v>
      </c>
    </row>
    <row r="103" spans="1:9" ht="15" customHeight="1">
      <c r="A103" s="65" t="e">
        <f t="shared" si="14"/>
        <v>#REF!</v>
      </c>
      <c r="B103" s="104">
        <f t="shared" si="13"/>
        <v>12027</v>
      </c>
      <c r="C103" s="126">
        <f t="shared" si="15"/>
        <v>7.384610383176974</v>
      </c>
      <c r="D103" s="67">
        <f t="shared" si="18"/>
        <v>5</v>
      </c>
      <c r="E103" s="67">
        <f t="shared" si="16"/>
        <v>1.6094379124341003</v>
      </c>
      <c r="F103" s="106" t="s">
        <v>38</v>
      </c>
      <c r="G103" s="131">
        <f>EXP(G100)</f>
        <v>753.32912316204317</v>
      </c>
      <c r="H103" s="127"/>
      <c r="I103" s="128">
        <f t="shared" si="17"/>
        <v>11443.585311159046</v>
      </c>
    </row>
    <row r="104" spans="1:9" ht="15" customHeight="1">
      <c r="A104" s="65" t="e">
        <f t="shared" si="14"/>
        <v>#REF!</v>
      </c>
      <c r="B104" s="104">
        <f t="shared" si="13"/>
        <v>11848</v>
      </c>
      <c r="C104" s="126">
        <f t="shared" si="15"/>
        <v>7.2668273475205911</v>
      </c>
      <c r="D104" s="67">
        <f t="shared" si="18"/>
        <v>6</v>
      </c>
      <c r="E104" s="67">
        <f t="shared" si="16"/>
        <v>1.791759469228055</v>
      </c>
      <c r="F104" s="106"/>
      <c r="G104" s="53"/>
      <c r="H104" s="127"/>
      <c r="I104" s="128">
        <f t="shared" si="17"/>
        <v>11480.368849554732</v>
      </c>
    </row>
    <row r="105" spans="1:9" ht="15" customHeight="1">
      <c r="A105" s="65" t="e">
        <f t="shared" si="14"/>
        <v>#REF!</v>
      </c>
      <c r="B105" s="104">
        <f t="shared" si="13"/>
        <v>11403</v>
      </c>
      <c r="C105" s="126">
        <f t="shared" si="15"/>
        <v>6.8946700394334819</v>
      </c>
      <c r="D105" s="67">
        <f t="shared" si="18"/>
        <v>7</v>
      </c>
      <c r="E105" s="67">
        <f t="shared" si="16"/>
        <v>1.9459101490553132</v>
      </c>
      <c r="F105" s="106"/>
      <c r="G105" s="53"/>
      <c r="H105" s="127"/>
      <c r="I105" s="128">
        <f t="shared" si="17"/>
        <v>11512.494267331571</v>
      </c>
    </row>
    <row r="106" spans="1:9" ht="15" customHeight="1">
      <c r="A106" s="65" t="e">
        <f t="shared" si="14"/>
        <v>#REF!</v>
      </c>
      <c r="B106" s="104">
        <f t="shared" si="13"/>
        <v>11136</v>
      </c>
      <c r="C106" s="126">
        <f t="shared" si="15"/>
        <v>6.5792512120101012</v>
      </c>
      <c r="D106" s="67">
        <f t="shared" si="18"/>
        <v>8</v>
      </c>
      <c r="E106" s="67">
        <f t="shared" si="16"/>
        <v>2.0794415416798357</v>
      </c>
      <c r="F106" s="132" t="s">
        <v>85</v>
      </c>
      <c r="G106" s="53"/>
      <c r="H106" s="127"/>
      <c r="I106" s="128">
        <f t="shared" si="17"/>
        <v>11541.105279856318</v>
      </c>
    </row>
    <row r="107" spans="1:9" ht="15" customHeight="1">
      <c r="A107" s="65" t="e">
        <f t="shared" si="14"/>
        <v>#REF!</v>
      </c>
      <c r="B107" s="104">
        <f t="shared" si="13"/>
        <v>11152</v>
      </c>
      <c r="C107" s="126">
        <f t="shared" si="15"/>
        <v>6.6012301187288767</v>
      </c>
      <c r="D107" s="67">
        <f t="shared" si="18"/>
        <v>9</v>
      </c>
      <c r="E107" s="67">
        <f t="shared" si="16"/>
        <v>2.1972245773362196</v>
      </c>
      <c r="F107" s="132" t="s">
        <v>86</v>
      </c>
      <c r="G107" s="53"/>
      <c r="H107" s="127"/>
      <c r="I107" s="128">
        <f t="shared" si="17"/>
        <v>11566.961024701686</v>
      </c>
    </row>
    <row r="108" spans="1:9" s="100" customFormat="1" ht="15" customHeight="1" thickBot="1">
      <c r="A108" s="97" t="e">
        <f t="shared" si="14"/>
        <v>#REF!</v>
      </c>
      <c r="B108" s="116">
        <f t="shared" si="13"/>
        <v>11080</v>
      </c>
      <c r="C108" s="126">
        <f t="shared" si="15"/>
        <v>6.4982821494764336</v>
      </c>
      <c r="D108" s="99">
        <f t="shared" si="18"/>
        <v>10</v>
      </c>
      <c r="E108" s="99">
        <f t="shared" si="16"/>
        <v>2.3025850929940459</v>
      </c>
      <c r="F108" s="182"/>
      <c r="G108" s="101"/>
      <c r="H108" s="143"/>
      <c r="I108" s="144">
        <f t="shared" si="17"/>
        <v>11590.592858718746</v>
      </c>
    </row>
    <row r="109" spans="1:9" s="78" customFormat="1" ht="15" customHeight="1" thickTop="1">
      <c r="A109" s="80">
        <v>2008</v>
      </c>
      <c r="B109" s="81">
        <f>ROUND(LOOKUP(0,D$98:D$108,B$98:B$108)+G$103*D109^G$99,0)</f>
        <v>11612</v>
      </c>
      <c r="C109" s="257"/>
      <c r="D109" s="77">
        <f t="shared" si="18"/>
        <v>11</v>
      </c>
      <c r="E109" s="77"/>
      <c r="F109" s="266"/>
      <c r="G109" s="256"/>
      <c r="H109" s="258"/>
      <c r="I109" s="133">
        <f t="shared" si="17"/>
        <v>11612.388177158251</v>
      </c>
    </row>
    <row r="110" spans="1:9" ht="15" customHeight="1">
      <c r="A110" s="80">
        <v>2009</v>
      </c>
      <c r="B110" s="81">
        <f t="shared" ref="B110:B126" si="19">ROUND(LOOKUP(0,D$98:D$108,B$98:B$108)+G$103*D110^G$99,0)</f>
        <v>11633</v>
      </c>
      <c r="C110" s="134"/>
      <c r="D110" s="67">
        <f t="shared" si="18"/>
        <v>12</v>
      </c>
      <c r="E110" s="67"/>
      <c r="F110" s="83"/>
      <c r="G110" s="69"/>
      <c r="H110" s="84"/>
      <c r="I110" s="128">
        <f t="shared" si="17"/>
        <v>11632.638692820101</v>
      </c>
    </row>
    <row r="111" spans="1:9" ht="15" customHeight="1">
      <c r="A111" s="80">
        <v>2010</v>
      </c>
      <c r="B111" s="81">
        <f t="shared" si="19"/>
        <v>11652</v>
      </c>
      <c r="C111" s="134"/>
      <c r="D111" s="67">
        <f t="shared" si="18"/>
        <v>13</v>
      </c>
      <c r="E111" s="67"/>
      <c r="F111" s="83"/>
      <c r="G111" s="69"/>
      <c r="H111" s="84"/>
      <c r="I111" s="128">
        <f t="shared" si="17"/>
        <v>11651.569914401152</v>
      </c>
    </row>
    <row r="112" spans="1:9" ht="15" customHeight="1">
      <c r="A112" s="80">
        <v>2011</v>
      </c>
      <c r="B112" s="81">
        <f t="shared" si="19"/>
        <v>11669</v>
      </c>
      <c r="C112" s="134"/>
      <c r="D112" s="67">
        <f t="shared" si="18"/>
        <v>14</v>
      </c>
      <c r="E112" s="67"/>
      <c r="F112" s="83"/>
      <c r="G112" s="69"/>
      <c r="H112" s="84"/>
      <c r="I112" s="128">
        <f t="shared" si="17"/>
        <v>11669.360010159164</v>
      </c>
    </row>
    <row r="113" spans="1:9" ht="15" customHeight="1">
      <c r="A113" s="80">
        <v>2012</v>
      </c>
      <c r="B113" s="81">
        <f t="shared" si="19"/>
        <v>11686</v>
      </c>
      <c r="C113" s="134"/>
      <c r="D113" s="67">
        <f t="shared" si="18"/>
        <v>15</v>
      </c>
      <c r="E113" s="67"/>
      <c r="F113" s="83"/>
      <c r="G113" s="69"/>
      <c r="H113" s="84"/>
      <c r="I113" s="128">
        <f t="shared" si="17"/>
        <v>11686.152354462241</v>
      </c>
    </row>
    <row r="114" spans="1:9" ht="15" customHeight="1">
      <c r="A114" s="80">
        <v>2013</v>
      </c>
      <c r="B114" s="81">
        <f t="shared" si="19"/>
        <v>11702</v>
      </c>
      <c r="C114" s="134"/>
      <c r="D114" s="67">
        <f t="shared" si="18"/>
        <v>16</v>
      </c>
      <c r="E114" s="67"/>
      <c r="F114" s="83"/>
      <c r="G114" s="69"/>
      <c r="H114" s="84"/>
      <c r="I114" s="128">
        <f t="shared" si="17"/>
        <v>11702.064147350824</v>
      </c>
    </row>
    <row r="115" spans="1:9" ht="15" customHeight="1">
      <c r="A115" s="80">
        <v>2014</v>
      </c>
      <c r="B115" s="81">
        <f t="shared" si="19"/>
        <v>11717</v>
      </c>
      <c r="C115" s="134"/>
      <c r="D115" s="67">
        <f t="shared" si="18"/>
        <v>17</v>
      </c>
      <c r="E115" s="67"/>
      <c r="F115" s="83"/>
      <c r="G115" s="69"/>
      <c r="H115" s="84"/>
      <c r="I115" s="128">
        <f t="shared" si="17"/>
        <v>11717.192501667614</v>
      </c>
    </row>
    <row r="116" spans="1:9" ht="15" customHeight="1">
      <c r="A116" s="80">
        <v>2015</v>
      </c>
      <c r="B116" s="81">
        <f t="shared" si="19"/>
        <v>11732</v>
      </c>
      <c r="C116" s="134"/>
      <c r="D116" s="67">
        <f t="shared" si="18"/>
        <v>18</v>
      </c>
      <c r="E116" s="67"/>
      <c r="F116" s="83"/>
      <c r="G116" s="69"/>
      <c r="H116" s="84"/>
      <c r="I116" s="128">
        <f t="shared" si="17"/>
        <v>11731.618845070245</v>
      </c>
    </row>
    <row r="117" spans="1:9" ht="15" customHeight="1">
      <c r="A117" s="80">
        <v>2016</v>
      </c>
      <c r="B117" s="81">
        <f t="shared" si="19"/>
        <v>11745</v>
      </c>
      <c r="C117" s="134"/>
      <c r="D117" s="67">
        <f t="shared" si="18"/>
        <v>19</v>
      </c>
      <c r="E117" s="67"/>
      <c r="F117" s="83"/>
      <c r="G117" s="69"/>
      <c r="H117" s="84"/>
      <c r="I117" s="128">
        <f t="shared" si="17"/>
        <v>11745.412169935273</v>
      </c>
    </row>
    <row r="118" spans="1:9" ht="15" customHeight="1">
      <c r="A118" s="80">
        <v>2017</v>
      </c>
      <c r="B118" s="81">
        <f t="shared" si="19"/>
        <v>11759</v>
      </c>
      <c r="C118" s="134"/>
      <c r="D118" s="67">
        <f t="shared" si="18"/>
        <v>20</v>
      </c>
      <c r="E118" s="67"/>
      <c r="F118" s="83"/>
      <c r="G118" s="69"/>
      <c r="H118" s="84"/>
      <c r="I118" s="128">
        <f t="shared" si="17"/>
        <v>11758.631476696477</v>
      </c>
    </row>
    <row r="119" spans="1:9" ht="15" customHeight="1">
      <c r="A119" s="80">
        <v>2018</v>
      </c>
      <c r="B119" s="81">
        <f t="shared" si="19"/>
        <v>11771</v>
      </c>
      <c r="C119" s="134"/>
      <c r="D119" s="67">
        <f t="shared" si="18"/>
        <v>21</v>
      </c>
      <c r="E119" s="67"/>
      <c r="F119" s="83"/>
      <c r="G119" s="69"/>
      <c r="H119" s="84"/>
      <c r="I119" s="128">
        <f t="shared" si="17"/>
        <v>11771.327640616681</v>
      </c>
    </row>
    <row r="120" spans="1:9" ht="15" customHeight="1">
      <c r="A120" s="80">
        <v>2019</v>
      </c>
      <c r="B120" s="81">
        <f t="shared" si="19"/>
        <v>11784</v>
      </c>
      <c r="C120" s="134"/>
      <c r="D120" s="67">
        <f t="shared" si="18"/>
        <v>22</v>
      </c>
      <c r="E120" s="67"/>
      <c r="F120" s="83"/>
      <c r="G120" s="69"/>
      <c r="H120" s="84"/>
      <c r="I120" s="128">
        <f t="shared" si="17"/>
        <v>11783.544858694579</v>
      </c>
    </row>
    <row r="121" spans="1:9" ht="15" customHeight="1">
      <c r="A121" s="80">
        <v>2020</v>
      </c>
      <c r="B121" s="81">
        <f t="shared" si="19"/>
        <v>11795</v>
      </c>
      <c r="C121" s="134"/>
      <c r="D121" s="67">
        <f t="shared" si="18"/>
        <v>23</v>
      </c>
      <c r="E121" s="67"/>
      <c r="F121" s="83"/>
      <c r="G121" s="69"/>
      <c r="H121" s="84"/>
      <c r="I121" s="128">
        <f t="shared" si="17"/>
        <v>11795.321785707793</v>
      </c>
    </row>
    <row r="122" spans="1:9" ht="15" customHeight="1">
      <c r="A122" s="80">
        <v>2021</v>
      </c>
      <c r="B122" s="81">
        <f t="shared" si="19"/>
        <v>11807</v>
      </c>
      <c r="C122" s="134"/>
      <c r="D122" s="67">
        <f t="shared" si="18"/>
        <v>24</v>
      </c>
      <c r="E122" s="67"/>
      <c r="F122" s="83"/>
      <c r="G122" s="69"/>
      <c r="H122" s="84"/>
      <c r="I122" s="128">
        <f t="shared" si="17"/>
        <v>11806.69243663626</v>
      </c>
    </row>
    <row r="123" spans="1:9" ht="15" customHeight="1">
      <c r="A123" s="80">
        <v>2022</v>
      </c>
      <c r="B123" s="81">
        <f t="shared" si="19"/>
        <v>11818</v>
      </c>
      <c r="C123" s="134"/>
      <c r="D123" s="67">
        <f t="shared" si="18"/>
        <v>25</v>
      </c>
      <c r="E123" s="67"/>
      <c r="F123" s="83"/>
      <c r="G123" s="69"/>
      <c r="H123" s="84"/>
      <c r="I123" s="128">
        <f t="shared" si="17"/>
        <v>11817.686911130739</v>
      </c>
    </row>
    <row r="124" spans="1:9" ht="15" customHeight="1">
      <c r="A124" s="80">
        <v>2023</v>
      </c>
      <c r="B124" s="81">
        <f t="shared" si="19"/>
        <v>11828</v>
      </c>
      <c r="C124" s="134"/>
      <c r="D124" s="67">
        <f t="shared" si="18"/>
        <v>26</v>
      </c>
      <c r="E124" s="67"/>
      <c r="F124" s="83"/>
      <c r="G124" s="69"/>
      <c r="H124" s="84"/>
      <c r="I124" s="128">
        <f t="shared" si="17"/>
        <v>11828.331980754348</v>
      </c>
    </row>
    <row r="125" spans="1:9" ht="15" customHeight="1">
      <c r="A125" s="80">
        <v>2024</v>
      </c>
      <c r="B125" s="81">
        <f t="shared" si="19"/>
        <v>11839</v>
      </c>
      <c r="C125" s="135"/>
      <c r="D125" s="67">
        <f t="shared" si="18"/>
        <v>27</v>
      </c>
      <c r="E125" s="67"/>
      <c r="F125" s="69"/>
      <c r="G125" s="69"/>
      <c r="H125" s="69"/>
      <c r="I125" s="136">
        <f t="shared" si="17"/>
        <v>11838.651569211515</v>
      </c>
    </row>
    <row r="126" spans="1:9" ht="15" customHeight="1">
      <c r="A126" s="85">
        <v>2025</v>
      </c>
      <c r="B126" s="86">
        <f t="shared" si="19"/>
        <v>11849</v>
      </c>
      <c r="C126" s="137"/>
      <c r="D126" s="87">
        <f t="shared" si="18"/>
        <v>28</v>
      </c>
      <c r="E126" s="87"/>
      <c r="F126" s="89"/>
      <c r="G126" s="89"/>
      <c r="H126" s="89"/>
      <c r="I126" s="138">
        <f t="shared" si="17"/>
        <v>11848.667148264394</v>
      </c>
    </row>
    <row r="127" spans="1:9" ht="15" customHeight="1">
      <c r="A127" s="56" t="s">
        <v>87</v>
      </c>
      <c r="B127" s="57"/>
    </row>
    <row r="128" spans="1:9" ht="15" customHeight="1">
      <c r="A128" s="58" t="s">
        <v>32</v>
      </c>
      <c r="B128" s="59" t="s">
        <v>40</v>
      </c>
      <c r="C128" s="59" t="s">
        <v>36</v>
      </c>
      <c r="D128" s="59" t="s">
        <v>33</v>
      </c>
      <c r="E128" s="103"/>
      <c r="F128" s="60"/>
      <c r="G128" s="61"/>
      <c r="H128" s="63" t="s">
        <v>250</v>
      </c>
      <c r="I128" s="64">
        <f>RSQ(I129:I139,B129:B139)</f>
        <v>2.5263467196611275E-4</v>
      </c>
    </row>
    <row r="129" spans="1:9" ht="15" customHeight="1">
      <c r="A129" s="65">
        <v>1997</v>
      </c>
      <c r="B129" s="104">
        <f t="shared" ref="B129:B139" si="20">+B5</f>
        <v>10416</v>
      </c>
      <c r="C129" s="126">
        <f t="shared" ref="C129:C139" si="21">LN(F$133/B129-1)</f>
        <v>0.3347975852298527</v>
      </c>
      <c r="D129" s="67">
        <v>0</v>
      </c>
      <c r="E129" s="106"/>
      <c r="F129" s="53"/>
      <c r="G129" s="69"/>
      <c r="H129" s="265"/>
      <c r="I129" s="267">
        <f t="shared" ref="I129:I157" si="22">$F$133/(1+EXP($F$131+$F$130*D129))</f>
        <v>11470.943774310863</v>
      </c>
    </row>
    <row r="130" spans="1:9" ht="15" customHeight="1">
      <c r="A130" s="65" t="e">
        <f t="shared" ref="A130:A139" si="23">A6</f>
        <v>#REF!</v>
      </c>
      <c r="B130" s="104">
        <f t="shared" si="20"/>
        <v>10645</v>
      </c>
      <c r="C130" s="126">
        <f t="shared" si="21"/>
        <v>0.29719515738902308</v>
      </c>
      <c r="D130" s="67">
        <f>+D129+1</f>
        <v>1</v>
      </c>
      <c r="E130" s="106" t="s">
        <v>75</v>
      </c>
      <c r="F130" s="139">
        <f>INDEX(LINEST(C129:C139,D129:D139),1)</f>
        <v>-6.3544800383884032E-4</v>
      </c>
      <c r="G130" s="140" t="s">
        <v>88</v>
      </c>
      <c r="H130" s="127"/>
      <c r="I130" s="128">
        <f t="shared" si="22"/>
        <v>11474.885027659708</v>
      </c>
    </row>
    <row r="131" spans="1:9" ht="15" customHeight="1">
      <c r="A131" s="65" t="e">
        <f t="shared" si="23"/>
        <v>#REF!</v>
      </c>
      <c r="B131" s="104">
        <f t="shared" si="20"/>
        <v>11923</v>
      </c>
      <c r="C131" s="126">
        <f t="shared" si="21"/>
        <v>9.0395451361395721E-2</v>
      </c>
      <c r="D131" s="67">
        <f t="shared" ref="D131:D157" si="24">D130+1</f>
        <v>2</v>
      </c>
      <c r="E131" s="106" t="s">
        <v>76</v>
      </c>
      <c r="F131" s="139">
        <f>INDEX(LINEST(C129:C139,D129:D139),2)</f>
        <v>0.1630988371744522</v>
      </c>
      <c r="G131" s="69"/>
      <c r="H131" s="127"/>
      <c r="I131" s="128">
        <f t="shared" si="22"/>
        <v>11478.826484009129</v>
      </c>
    </row>
    <row r="132" spans="1:9" ht="15" customHeight="1">
      <c r="A132" s="65" t="e">
        <f t="shared" si="23"/>
        <v>#REF!</v>
      </c>
      <c r="B132" s="104">
        <f t="shared" si="20"/>
        <v>12487</v>
      </c>
      <c r="C132" s="126">
        <f t="shared" si="21"/>
        <v>0</v>
      </c>
      <c r="D132" s="67">
        <f t="shared" si="24"/>
        <v>3</v>
      </c>
      <c r="E132" s="106" t="s">
        <v>77</v>
      </c>
      <c r="F132" s="73">
        <f>I128</f>
        <v>2.5263467196611275E-4</v>
      </c>
      <c r="G132" s="69"/>
      <c r="H132" s="127"/>
      <c r="I132" s="128">
        <f t="shared" si="22"/>
        <v>11482.768142578985</v>
      </c>
    </row>
    <row r="133" spans="1:9" ht="15" customHeight="1">
      <c r="A133" s="65" t="e">
        <f t="shared" si="23"/>
        <v>#REF!</v>
      </c>
      <c r="B133" s="104">
        <f t="shared" si="20"/>
        <v>12310</v>
      </c>
      <c r="C133" s="126">
        <f t="shared" si="21"/>
        <v>2.8351382382348769E-2</v>
      </c>
      <c r="D133" s="67">
        <f t="shared" si="24"/>
        <v>4</v>
      </c>
      <c r="E133" s="106" t="s">
        <v>39</v>
      </c>
      <c r="F133" s="110">
        <f>MAX(B129:B139)*2</f>
        <v>24974</v>
      </c>
      <c r="G133" s="69"/>
      <c r="H133" s="127"/>
      <c r="I133" s="128">
        <f t="shared" si="22"/>
        <v>11486.710002588974</v>
      </c>
    </row>
    <row r="134" spans="1:9" ht="15" customHeight="1">
      <c r="A134" s="65" t="e">
        <f t="shared" si="23"/>
        <v>#REF!</v>
      </c>
      <c r="B134" s="104">
        <f t="shared" si="20"/>
        <v>12027</v>
      </c>
      <c r="C134" s="126">
        <f t="shared" si="21"/>
        <v>7.3709978748030605E-2</v>
      </c>
      <c r="D134" s="67">
        <f t="shared" si="24"/>
        <v>5</v>
      </c>
      <c r="E134" s="106"/>
      <c r="F134" s="53"/>
      <c r="G134" s="69"/>
      <c r="H134" s="127"/>
      <c r="I134" s="128">
        <f t="shared" si="22"/>
        <v>11490.652063258616</v>
      </c>
    </row>
    <row r="135" spans="1:9" ht="15" customHeight="1">
      <c r="A135" s="65" t="e">
        <f t="shared" si="23"/>
        <v>#REF!</v>
      </c>
      <c r="B135" s="104">
        <f t="shared" si="20"/>
        <v>11848</v>
      </c>
      <c r="C135" s="126">
        <f t="shared" si="21"/>
        <v>0.10243591908603351</v>
      </c>
      <c r="D135" s="67">
        <f t="shared" si="24"/>
        <v>6</v>
      </c>
      <c r="E135" s="106"/>
      <c r="F135" s="53"/>
      <c r="G135" s="69"/>
      <c r="H135" s="127"/>
      <c r="I135" s="128">
        <f t="shared" si="22"/>
        <v>11494.594323807294</v>
      </c>
    </row>
    <row r="136" spans="1:9" ht="15" customHeight="1">
      <c r="A136" s="65" t="e">
        <f t="shared" si="23"/>
        <v>#REF!</v>
      </c>
      <c r="B136" s="104">
        <f t="shared" si="20"/>
        <v>11403</v>
      </c>
      <c r="C136" s="126">
        <f t="shared" si="21"/>
        <v>0.1740586844240124</v>
      </c>
      <c r="D136" s="67">
        <f t="shared" si="24"/>
        <v>7</v>
      </c>
      <c r="E136" s="132" t="s">
        <v>89</v>
      </c>
      <c r="F136" s="53"/>
      <c r="G136" s="69"/>
      <c r="H136" s="127"/>
      <c r="I136" s="128">
        <f t="shared" si="22"/>
        <v>11498.53678345421</v>
      </c>
    </row>
    <row r="137" spans="1:9" ht="15" customHeight="1">
      <c r="A137" s="65" t="e">
        <f t="shared" si="23"/>
        <v>#REF!</v>
      </c>
      <c r="B137" s="104">
        <f t="shared" si="20"/>
        <v>11136</v>
      </c>
      <c r="C137" s="126">
        <f t="shared" si="21"/>
        <v>0.21723532748455535</v>
      </c>
      <c r="D137" s="67">
        <f t="shared" si="24"/>
        <v>8</v>
      </c>
      <c r="E137" s="132" t="s">
        <v>90</v>
      </c>
      <c r="F137" s="53"/>
      <c r="G137" s="69"/>
      <c r="H137" s="127"/>
      <c r="I137" s="128">
        <f t="shared" si="22"/>
        <v>11502.479441418418</v>
      </c>
    </row>
    <row r="138" spans="1:9" ht="15" customHeight="1">
      <c r="A138" s="65" t="e">
        <f t="shared" si="23"/>
        <v>#REF!</v>
      </c>
      <c r="B138" s="104">
        <f t="shared" si="20"/>
        <v>11152</v>
      </c>
      <c r="C138" s="126">
        <f t="shared" si="21"/>
        <v>0.2146426716510344</v>
      </c>
      <c r="D138" s="67">
        <f t="shared" si="24"/>
        <v>9</v>
      </c>
      <c r="E138" s="132"/>
      <c r="F138" s="53"/>
      <c r="G138" s="69"/>
      <c r="H138" s="127"/>
      <c r="I138" s="128">
        <f t="shared" si="22"/>
        <v>11506.422296918814</v>
      </c>
    </row>
    <row r="139" spans="1:9" ht="15" customHeight="1" thickBot="1">
      <c r="A139" s="97" t="e">
        <f t="shared" si="23"/>
        <v>#REF!</v>
      </c>
      <c r="B139" s="116">
        <f t="shared" si="20"/>
        <v>11080</v>
      </c>
      <c r="C139" s="141">
        <f t="shared" si="21"/>
        <v>0.22631541095155147</v>
      </c>
      <c r="D139" s="99">
        <f t="shared" si="24"/>
        <v>10</v>
      </c>
      <c r="E139" s="182"/>
      <c r="F139" s="101"/>
      <c r="G139" s="100"/>
      <c r="H139" s="143"/>
      <c r="I139" s="144">
        <f t="shared" si="22"/>
        <v>11510.365349174132</v>
      </c>
    </row>
    <row r="140" spans="1:9" ht="15" customHeight="1" thickTop="1">
      <c r="A140" s="80">
        <v>2008</v>
      </c>
      <c r="B140" s="81">
        <f t="shared" ref="B140:B157" si="25">ROUND(F$133/(1+EXP(F$131+F$130*D140)),0)</f>
        <v>11514</v>
      </c>
      <c r="C140" s="257"/>
      <c r="D140" s="77">
        <f t="shared" si="24"/>
        <v>11</v>
      </c>
      <c r="E140" s="266"/>
      <c r="F140" s="256"/>
      <c r="G140" s="78"/>
      <c r="H140" s="258"/>
      <c r="I140" s="133">
        <f t="shared" si="22"/>
        <v>11514.308597402947</v>
      </c>
    </row>
    <row r="141" spans="1:9" ht="15" customHeight="1">
      <c r="A141" s="80">
        <v>2009</v>
      </c>
      <c r="B141" s="81">
        <f t="shared" si="25"/>
        <v>11518</v>
      </c>
      <c r="C141" s="134"/>
      <c r="D141" s="67">
        <f t="shared" si="24"/>
        <v>12</v>
      </c>
      <c r="E141" s="83"/>
      <c r="F141" s="69"/>
      <c r="G141" s="69"/>
      <c r="H141" s="84"/>
      <c r="I141" s="128">
        <f t="shared" si="22"/>
        <v>11518.252040823681</v>
      </c>
    </row>
    <row r="142" spans="1:9" ht="15" customHeight="1">
      <c r="A142" s="80">
        <v>2010</v>
      </c>
      <c r="B142" s="81">
        <f t="shared" si="25"/>
        <v>11522</v>
      </c>
      <c r="C142" s="134"/>
      <c r="D142" s="67">
        <f t="shared" si="24"/>
        <v>13</v>
      </c>
      <c r="E142" s="83"/>
      <c r="F142" s="69"/>
      <c r="G142" s="69"/>
      <c r="H142" s="84"/>
      <c r="I142" s="128">
        <f t="shared" si="22"/>
        <v>11522.195678654603</v>
      </c>
    </row>
    <row r="143" spans="1:9" ht="15" customHeight="1">
      <c r="A143" s="80">
        <v>2011</v>
      </c>
      <c r="B143" s="81">
        <f t="shared" si="25"/>
        <v>11526</v>
      </c>
      <c r="C143" s="134"/>
      <c r="D143" s="67">
        <f t="shared" si="24"/>
        <v>14</v>
      </c>
      <c r="E143" s="83"/>
      <c r="F143" s="69"/>
      <c r="G143" s="69"/>
      <c r="H143" s="84"/>
      <c r="I143" s="128">
        <f t="shared" si="22"/>
        <v>11526.139510113819</v>
      </c>
    </row>
    <row r="144" spans="1:9" ht="15" customHeight="1">
      <c r="A144" s="80">
        <v>2012</v>
      </c>
      <c r="B144" s="81">
        <f t="shared" si="25"/>
        <v>11530</v>
      </c>
      <c r="C144" s="134"/>
      <c r="D144" s="67">
        <f t="shared" si="24"/>
        <v>15</v>
      </c>
      <c r="E144" s="83"/>
      <c r="F144" s="69"/>
      <c r="G144" s="69"/>
      <c r="H144" s="84"/>
      <c r="I144" s="128">
        <f t="shared" si="22"/>
        <v>11530.083534419284</v>
      </c>
    </row>
    <row r="145" spans="1:10" ht="15" customHeight="1">
      <c r="A145" s="80">
        <v>2013</v>
      </c>
      <c r="B145" s="81">
        <f t="shared" si="25"/>
        <v>11534</v>
      </c>
      <c r="C145" s="134"/>
      <c r="D145" s="67">
        <f t="shared" si="24"/>
        <v>16</v>
      </c>
      <c r="E145" s="83"/>
      <c r="F145" s="69"/>
      <c r="G145" s="69"/>
      <c r="H145" s="84"/>
      <c r="I145" s="128">
        <f t="shared" si="22"/>
        <v>11534.027750788795</v>
      </c>
    </row>
    <row r="146" spans="1:10" ht="15" customHeight="1">
      <c r="A146" s="80">
        <v>2014</v>
      </c>
      <c r="B146" s="81">
        <f t="shared" si="25"/>
        <v>11538</v>
      </c>
      <c r="C146" s="134"/>
      <c r="D146" s="67">
        <f t="shared" si="24"/>
        <v>17</v>
      </c>
      <c r="E146" s="83"/>
      <c r="F146" s="69"/>
      <c r="G146" s="69"/>
      <c r="H146" s="84"/>
      <c r="I146" s="128">
        <f t="shared" si="22"/>
        <v>11537.972158439999</v>
      </c>
    </row>
    <row r="147" spans="1:10" ht="15" customHeight="1">
      <c r="A147" s="80">
        <v>2015</v>
      </c>
      <c r="B147" s="81">
        <f t="shared" si="25"/>
        <v>11542</v>
      </c>
      <c r="C147" s="134"/>
      <c r="D147" s="67">
        <f t="shared" si="24"/>
        <v>18</v>
      </c>
      <c r="E147" s="83"/>
      <c r="F147" s="69"/>
      <c r="G147" s="69"/>
      <c r="H147" s="84"/>
      <c r="I147" s="128">
        <f t="shared" si="22"/>
        <v>11541.916756590394</v>
      </c>
    </row>
    <row r="148" spans="1:10" ht="15" customHeight="1">
      <c r="A148" s="80">
        <v>2016</v>
      </c>
      <c r="B148" s="81">
        <f t="shared" si="25"/>
        <v>11546</v>
      </c>
      <c r="C148" s="134"/>
      <c r="D148" s="67">
        <f t="shared" si="24"/>
        <v>19</v>
      </c>
      <c r="E148" s="83"/>
      <c r="F148" s="69"/>
      <c r="G148" s="69"/>
      <c r="H148" s="84"/>
      <c r="I148" s="128">
        <f t="shared" si="22"/>
        <v>11545.861544457315</v>
      </c>
    </row>
    <row r="149" spans="1:10" ht="15" customHeight="1">
      <c r="A149" s="80">
        <v>2017</v>
      </c>
      <c r="B149" s="81">
        <f t="shared" si="25"/>
        <v>11550</v>
      </c>
      <c r="C149" s="134"/>
      <c r="D149" s="67">
        <f t="shared" si="24"/>
        <v>20</v>
      </c>
      <c r="E149" s="83"/>
      <c r="F149" s="69"/>
      <c r="G149" s="69"/>
      <c r="H149" s="84"/>
      <c r="I149" s="128">
        <f t="shared" si="22"/>
        <v>11549.806521257949</v>
      </c>
    </row>
    <row r="150" spans="1:10" ht="15" customHeight="1">
      <c r="A150" s="80">
        <v>2018</v>
      </c>
      <c r="B150" s="81">
        <f t="shared" si="25"/>
        <v>11554</v>
      </c>
      <c r="C150" s="134"/>
      <c r="D150" s="67">
        <f t="shared" si="24"/>
        <v>21</v>
      </c>
      <c r="E150" s="83"/>
      <c r="F150" s="69"/>
      <c r="G150" s="69"/>
      <c r="H150" s="84"/>
      <c r="I150" s="128">
        <f t="shared" si="22"/>
        <v>11553.751686209338</v>
      </c>
    </row>
    <row r="151" spans="1:10" ht="15" customHeight="1">
      <c r="A151" s="80">
        <v>2019</v>
      </c>
      <c r="B151" s="81">
        <f t="shared" si="25"/>
        <v>11558</v>
      </c>
      <c r="C151" s="134"/>
      <c r="D151" s="67">
        <f t="shared" si="24"/>
        <v>22</v>
      </c>
      <c r="E151" s="83"/>
      <c r="F151" s="69"/>
      <c r="G151" s="69"/>
      <c r="H151" s="84"/>
      <c r="I151" s="128">
        <f t="shared" si="22"/>
        <v>11557.697038528366</v>
      </c>
    </row>
    <row r="152" spans="1:10" ht="15" customHeight="1">
      <c r="A152" s="80">
        <v>2020</v>
      </c>
      <c r="B152" s="81">
        <f t="shared" si="25"/>
        <v>11562</v>
      </c>
      <c r="C152" s="134"/>
      <c r="D152" s="67">
        <f t="shared" si="24"/>
        <v>23</v>
      </c>
      <c r="E152" s="83"/>
      <c r="F152" s="69"/>
      <c r="G152" s="69"/>
      <c r="H152" s="84"/>
      <c r="I152" s="128">
        <f t="shared" si="22"/>
        <v>11561.642577431774</v>
      </c>
    </row>
    <row r="153" spans="1:10" ht="15" customHeight="1">
      <c r="A153" s="80">
        <v>2021</v>
      </c>
      <c r="B153" s="81">
        <f t="shared" si="25"/>
        <v>11566</v>
      </c>
      <c r="C153" s="134"/>
      <c r="D153" s="67">
        <f t="shared" si="24"/>
        <v>24</v>
      </c>
      <c r="E153" s="83"/>
      <c r="F153" s="69"/>
      <c r="G153" s="69"/>
      <c r="H153" s="84"/>
      <c r="I153" s="128">
        <f t="shared" si="22"/>
        <v>11565.588302136141</v>
      </c>
    </row>
    <row r="154" spans="1:10" ht="15" customHeight="1">
      <c r="A154" s="80">
        <v>2022</v>
      </c>
      <c r="B154" s="81">
        <f t="shared" si="25"/>
        <v>11570</v>
      </c>
      <c r="C154" s="134"/>
      <c r="D154" s="67">
        <f t="shared" si="24"/>
        <v>25</v>
      </c>
      <c r="E154" s="83"/>
      <c r="F154" s="69"/>
      <c r="G154" s="69"/>
      <c r="H154" s="84"/>
      <c r="I154" s="128">
        <f t="shared" si="22"/>
        <v>11569.534211857914</v>
      </c>
    </row>
    <row r="155" spans="1:10" ht="15" customHeight="1">
      <c r="A155" s="80">
        <v>2023</v>
      </c>
      <c r="B155" s="81">
        <f t="shared" si="25"/>
        <v>11573</v>
      </c>
      <c r="C155" s="134"/>
      <c r="D155" s="67">
        <f t="shared" si="24"/>
        <v>26</v>
      </c>
      <c r="E155" s="83"/>
      <c r="F155" s="69"/>
      <c r="G155" s="69"/>
      <c r="H155" s="84"/>
      <c r="I155" s="128">
        <f t="shared" si="22"/>
        <v>11573.480305813377</v>
      </c>
    </row>
    <row r="156" spans="1:10" ht="15" customHeight="1">
      <c r="A156" s="80">
        <v>2024</v>
      </c>
      <c r="B156" s="81">
        <f t="shared" si="25"/>
        <v>11577</v>
      </c>
      <c r="C156" s="135"/>
      <c r="D156" s="67">
        <f t="shared" si="24"/>
        <v>27</v>
      </c>
      <c r="E156" s="69"/>
      <c r="F156" s="69"/>
      <c r="G156" s="69"/>
      <c r="H156" s="69"/>
      <c r="I156" s="136">
        <f t="shared" si="22"/>
        <v>11577.426583218674</v>
      </c>
    </row>
    <row r="157" spans="1:10" ht="15" customHeight="1">
      <c r="A157" s="85">
        <v>2025</v>
      </c>
      <c r="B157" s="86">
        <f t="shared" si="25"/>
        <v>11581</v>
      </c>
      <c r="C157" s="137"/>
      <c r="D157" s="87">
        <f t="shared" si="24"/>
        <v>28</v>
      </c>
      <c r="E157" s="89"/>
      <c r="F157" s="89"/>
      <c r="G157" s="89"/>
      <c r="H157" s="89"/>
      <c r="I157" s="138">
        <f t="shared" si="22"/>
        <v>11581.373043289801</v>
      </c>
    </row>
    <row r="158" spans="1:10" ht="15" customHeight="1">
      <c r="A158" s="56" t="s">
        <v>251</v>
      </c>
      <c r="B158" s="57"/>
    </row>
    <row r="159" spans="1:10" ht="15" customHeight="1">
      <c r="A159" s="56"/>
      <c r="B159" s="57"/>
    </row>
    <row r="160" spans="1:10" ht="24">
      <c r="A160" s="145" t="s">
        <v>32</v>
      </c>
      <c r="B160" s="146" t="s">
        <v>91</v>
      </c>
      <c r="C160" s="147" t="s">
        <v>72</v>
      </c>
      <c r="D160" s="147" t="s">
        <v>92</v>
      </c>
      <c r="E160" s="147" t="s">
        <v>93</v>
      </c>
      <c r="F160" s="147" t="s">
        <v>94</v>
      </c>
      <c r="G160" s="147" t="s">
        <v>95</v>
      </c>
      <c r="H160" s="148" t="s">
        <v>96</v>
      </c>
      <c r="I160" s="149" t="s">
        <v>252</v>
      </c>
      <c r="J160" s="150" t="s">
        <v>253</v>
      </c>
    </row>
    <row r="161" spans="1:12" ht="20.100000000000001" customHeight="1">
      <c r="A161" s="65">
        <v>2008</v>
      </c>
      <c r="B161" s="151">
        <f t="shared" ref="B161:B178" si="26">B16</f>
        <v>11146</v>
      </c>
      <c r="C161" s="152">
        <f t="shared" ref="C161:C178" si="27">B47</f>
        <v>11513</v>
      </c>
      <c r="D161" s="152">
        <f t="shared" ref="D161:D178" si="28">B78</f>
        <v>11149</v>
      </c>
      <c r="E161" s="268">
        <f>+B109</f>
        <v>11612</v>
      </c>
      <c r="F161" s="152">
        <f t="shared" ref="F161:F178" si="29">B140</f>
        <v>11514</v>
      </c>
      <c r="G161" s="152">
        <f t="shared" ref="G161:G178" si="30">ROUND(AVERAGE(B161:F161),1)</f>
        <v>11386.8</v>
      </c>
      <c r="H161" s="152">
        <f t="shared" ref="H161:H178" si="31">ROUND((SUM(B161:F161)-MAX(B161:F161)-MIN(B161:F161))/(COUNT(B161:F161)-2),1)</f>
        <v>11392</v>
      </c>
      <c r="I161" s="153">
        <f t="shared" ref="I161:I178" si="32">ROUND(SUMIF(B$179:H$179,"○",B161:H161),0)</f>
        <v>11387</v>
      </c>
      <c r="J161" s="261"/>
    </row>
    <row r="162" spans="1:12" ht="20.100000000000001" customHeight="1">
      <c r="A162" s="80">
        <v>2009</v>
      </c>
      <c r="B162" s="151">
        <f t="shared" si="26"/>
        <v>11213</v>
      </c>
      <c r="C162" s="152">
        <f t="shared" si="27"/>
        <v>11516</v>
      </c>
      <c r="D162" s="152">
        <f t="shared" si="28"/>
        <v>11218</v>
      </c>
      <c r="E162" s="268">
        <f t="shared" ref="E162:E178" si="33">+B110</f>
        <v>11633</v>
      </c>
      <c r="F162" s="152">
        <f t="shared" si="29"/>
        <v>11518</v>
      </c>
      <c r="G162" s="152">
        <f t="shared" si="30"/>
        <v>11419.6</v>
      </c>
      <c r="H162" s="152">
        <f t="shared" si="31"/>
        <v>11417.3</v>
      </c>
      <c r="I162" s="153">
        <f t="shared" si="32"/>
        <v>11420</v>
      </c>
      <c r="J162" s="154"/>
    </row>
    <row r="163" spans="1:12" ht="20.100000000000001" customHeight="1">
      <c r="A163" s="80">
        <v>2010</v>
      </c>
      <c r="B163" s="151">
        <f t="shared" si="26"/>
        <v>11279</v>
      </c>
      <c r="C163" s="152">
        <f t="shared" si="27"/>
        <v>11519</v>
      </c>
      <c r="D163" s="152">
        <f t="shared" si="28"/>
        <v>11287</v>
      </c>
      <c r="E163" s="268">
        <f t="shared" si="33"/>
        <v>11652</v>
      </c>
      <c r="F163" s="152">
        <f t="shared" si="29"/>
        <v>11522</v>
      </c>
      <c r="G163" s="152">
        <f t="shared" si="30"/>
        <v>11451.8</v>
      </c>
      <c r="H163" s="152">
        <f t="shared" si="31"/>
        <v>11442.7</v>
      </c>
      <c r="I163" s="153">
        <f t="shared" si="32"/>
        <v>11452</v>
      </c>
      <c r="J163" s="154"/>
    </row>
    <row r="164" spans="1:12" ht="20.100000000000001" customHeight="1">
      <c r="A164" s="80">
        <v>2011</v>
      </c>
      <c r="B164" s="151">
        <f t="shared" si="26"/>
        <v>11346</v>
      </c>
      <c r="C164" s="152">
        <f t="shared" si="27"/>
        <v>11523</v>
      </c>
      <c r="D164" s="152">
        <f t="shared" si="28"/>
        <v>11357</v>
      </c>
      <c r="E164" s="268">
        <f t="shared" si="33"/>
        <v>11669</v>
      </c>
      <c r="F164" s="152">
        <f t="shared" si="29"/>
        <v>11526</v>
      </c>
      <c r="G164" s="152">
        <f t="shared" si="30"/>
        <v>11484.2</v>
      </c>
      <c r="H164" s="152">
        <f t="shared" si="31"/>
        <v>11468.7</v>
      </c>
      <c r="I164" s="153">
        <f t="shared" si="32"/>
        <v>11484</v>
      </c>
      <c r="J164" s="154"/>
    </row>
    <row r="165" spans="1:12" ht="20.100000000000001" customHeight="1">
      <c r="A165" s="80">
        <v>2012</v>
      </c>
      <c r="B165" s="151">
        <f t="shared" si="26"/>
        <v>11412</v>
      </c>
      <c r="C165" s="152">
        <f t="shared" si="27"/>
        <v>11526</v>
      </c>
      <c r="D165" s="152">
        <f t="shared" si="28"/>
        <v>11428</v>
      </c>
      <c r="E165" s="268">
        <f t="shared" si="33"/>
        <v>11686</v>
      </c>
      <c r="F165" s="152">
        <f t="shared" si="29"/>
        <v>11530</v>
      </c>
      <c r="G165" s="152">
        <f t="shared" si="30"/>
        <v>11516.4</v>
      </c>
      <c r="H165" s="152">
        <f t="shared" si="31"/>
        <v>11494.7</v>
      </c>
      <c r="I165" s="153">
        <f t="shared" si="32"/>
        <v>11516</v>
      </c>
      <c r="J165" s="154"/>
    </row>
    <row r="166" spans="1:12" ht="20.100000000000001" customHeight="1">
      <c r="A166" s="80">
        <v>2013</v>
      </c>
      <c r="B166" s="151">
        <f t="shared" si="26"/>
        <v>11478</v>
      </c>
      <c r="C166" s="152">
        <f t="shared" si="27"/>
        <v>11529</v>
      </c>
      <c r="D166" s="152">
        <f t="shared" si="28"/>
        <v>11499</v>
      </c>
      <c r="E166" s="268">
        <f t="shared" si="33"/>
        <v>11702</v>
      </c>
      <c r="F166" s="152">
        <f t="shared" si="29"/>
        <v>11534</v>
      </c>
      <c r="G166" s="152">
        <f t="shared" si="30"/>
        <v>11548.4</v>
      </c>
      <c r="H166" s="152">
        <f t="shared" si="31"/>
        <v>11520.7</v>
      </c>
      <c r="I166" s="153">
        <f t="shared" si="32"/>
        <v>11548</v>
      </c>
      <c r="J166" s="154"/>
    </row>
    <row r="167" spans="1:12" ht="20.100000000000001" customHeight="1">
      <c r="A167" s="80">
        <v>2014</v>
      </c>
      <c r="B167" s="151">
        <f t="shared" si="26"/>
        <v>11545</v>
      </c>
      <c r="C167" s="152">
        <f t="shared" si="27"/>
        <v>11532</v>
      </c>
      <c r="D167" s="152">
        <f t="shared" si="28"/>
        <v>11570</v>
      </c>
      <c r="E167" s="268">
        <f t="shared" si="33"/>
        <v>11717</v>
      </c>
      <c r="F167" s="152">
        <f t="shared" si="29"/>
        <v>11538</v>
      </c>
      <c r="G167" s="152">
        <f t="shared" si="30"/>
        <v>11580.4</v>
      </c>
      <c r="H167" s="152">
        <f t="shared" si="31"/>
        <v>11551</v>
      </c>
      <c r="I167" s="153">
        <f t="shared" si="32"/>
        <v>11580</v>
      </c>
      <c r="J167" s="154"/>
    </row>
    <row r="168" spans="1:12" ht="20.100000000000001" customHeight="1">
      <c r="A168" s="80">
        <v>2015</v>
      </c>
      <c r="B168" s="151">
        <f t="shared" si="26"/>
        <v>11611</v>
      </c>
      <c r="C168" s="152">
        <f t="shared" si="27"/>
        <v>11536</v>
      </c>
      <c r="D168" s="152">
        <f t="shared" si="28"/>
        <v>11642</v>
      </c>
      <c r="E168" s="268">
        <f t="shared" si="33"/>
        <v>11732</v>
      </c>
      <c r="F168" s="152">
        <f t="shared" si="29"/>
        <v>11542</v>
      </c>
      <c r="G168" s="152">
        <f t="shared" si="30"/>
        <v>11612.6</v>
      </c>
      <c r="H168" s="152">
        <f t="shared" si="31"/>
        <v>11598.3</v>
      </c>
      <c r="I168" s="153">
        <f t="shared" si="32"/>
        <v>11613</v>
      </c>
      <c r="J168" s="154"/>
    </row>
    <row r="169" spans="1:12" ht="20.100000000000001" customHeight="1">
      <c r="A169" s="80">
        <v>2016</v>
      </c>
      <c r="B169" s="151">
        <f t="shared" si="26"/>
        <v>11678</v>
      </c>
      <c r="C169" s="152">
        <f t="shared" si="27"/>
        <v>11539</v>
      </c>
      <c r="D169" s="152">
        <f t="shared" si="28"/>
        <v>11714</v>
      </c>
      <c r="E169" s="268">
        <f t="shared" si="33"/>
        <v>11745</v>
      </c>
      <c r="F169" s="152">
        <f t="shared" si="29"/>
        <v>11546</v>
      </c>
      <c r="G169" s="152">
        <f t="shared" si="30"/>
        <v>11644.4</v>
      </c>
      <c r="H169" s="152">
        <f t="shared" si="31"/>
        <v>11646</v>
      </c>
      <c r="I169" s="153">
        <f t="shared" si="32"/>
        <v>11644</v>
      </c>
      <c r="J169" s="154"/>
    </row>
    <row r="170" spans="1:12" ht="20.100000000000001" customHeight="1">
      <c r="A170" s="80">
        <v>2017</v>
      </c>
      <c r="B170" s="151">
        <f t="shared" si="26"/>
        <v>11744</v>
      </c>
      <c r="C170" s="152">
        <f t="shared" si="27"/>
        <v>11542</v>
      </c>
      <c r="D170" s="152">
        <f t="shared" si="28"/>
        <v>11787</v>
      </c>
      <c r="E170" s="268">
        <f t="shared" si="33"/>
        <v>11759</v>
      </c>
      <c r="F170" s="152">
        <f t="shared" si="29"/>
        <v>11550</v>
      </c>
      <c r="G170" s="152">
        <f t="shared" si="30"/>
        <v>11676.4</v>
      </c>
      <c r="H170" s="152">
        <f t="shared" si="31"/>
        <v>11684.3</v>
      </c>
      <c r="I170" s="153">
        <f t="shared" si="32"/>
        <v>11676</v>
      </c>
      <c r="J170" s="154"/>
    </row>
    <row r="171" spans="1:12" ht="20.100000000000001" customHeight="1">
      <c r="A171" s="80">
        <v>2018</v>
      </c>
      <c r="B171" s="151">
        <f t="shared" si="26"/>
        <v>11810</v>
      </c>
      <c r="C171" s="152">
        <f t="shared" si="27"/>
        <v>11545</v>
      </c>
      <c r="D171" s="152">
        <f t="shared" si="28"/>
        <v>11860</v>
      </c>
      <c r="E171" s="268">
        <f t="shared" si="33"/>
        <v>11771</v>
      </c>
      <c r="F171" s="152">
        <f t="shared" si="29"/>
        <v>11554</v>
      </c>
      <c r="G171" s="152">
        <f t="shared" si="30"/>
        <v>11708</v>
      </c>
      <c r="H171" s="152">
        <f t="shared" si="31"/>
        <v>11711.7</v>
      </c>
      <c r="I171" s="153">
        <f t="shared" si="32"/>
        <v>11708</v>
      </c>
      <c r="J171" s="154"/>
    </row>
    <row r="172" spans="1:12" ht="20.100000000000001" customHeight="1">
      <c r="A172" s="80">
        <v>2019</v>
      </c>
      <c r="B172" s="151">
        <f t="shared" si="26"/>
        <v>11877</v>
      </c>
      <c r="C172" s="152">
        <f t="shared" si="27"/>
        <v>11549</v>
      </c>
      <c r="D172" s="152">
        <f t="shared" si="28"/>
        <v>11933</v>
      </c>
      <c r="E172" s="268">
        <f t="shared" si="33"/>
        <v>11784</v>
      </c>
      <c r="F172" s="152">
        <f t="shared" si="29"/>
        <v>11558</v>
      </c>
      <c r="G172" s="152">
        <f t="shared" si="30"/>
        <v>11740.2</v>
      </c>
      <c r="H172" s="152">
        <f t="shared" si="31"/>
        <v>11739.7</v>
      </c>
      <c r="I172" s="153">
        <f t="shared" si="32"/>
        <v>11740</v>
      </c>
      <c r="J172" s="154"/>
    </row>
    <row r="173" spans="1:12" ht="20.100000000000001" customHeight="1">
      <c r="A173" s="80">
        <v>2020</v>
      </c>
      <c r="B173" s="151">
        <f t="shared" si="26"/>
        <v>11943</v>
      </c>
      <c r="C173" s="152">
        <f t="shared" si="27"/>
        <v>11552</v>
      </c>
      <c r="D173" s="152">
        <f t="shared" si="28"/>
        <v>12007</v>
      </c>
      <c r="E173" s="268">
        <f t="shared" si="33"/>
        <v>11795</v>
      </c>
      <c r="F173" s="152">
        <f t="shared" si="29"/>
        <v>11562</v>
      </c>
      <c r="G173" s="152">
        <f t="shared" si="30"/>
        <v>11771.8</v>
      </c>
      <c r="H173" s="152">
        <f t="shared" si="31"/>
        <v>11766.7</v>
      </c>
      <c r="I173" s="153">
        <f t="shared" si="32"/>
        <v>11772</v>
      </c>
      <c r="J173" s="154"/>
    </row>
    <row r="174" spans="1:12" ht="20.100000000000001" customHeight="1">
      <c r="A174" s="80">
        <v>2021</v>
      </c>
      <c r="B174" s="151">
        <f t="shared" si="26"/>
        <v>12010</v>
      </c>
      <c r="C174" s="152">
        <f t="shared" si="27"/>
        <v>11555</v>
      </c>
      <c r="D174" s="152">
        <f t="shared" si="28"/>
        <v>12082</v>
      </c>
      <c r="E174" s="268">
        <f t="shared" si="33"/>
        <v>11807</v>
      </c>
      <c r="F174" s="152">
        <f t="shared" si="29"/>
        <v>11566</v>
      </c>
      <c r="G174" s="152">
        <f t="shared" si="30"/>
        <v>11804</v>
      </c>
      <c r="H174" s="152">
        <f t="shared" si="31"/>
        <v>11794.3</v>
      </c>
      <c r="I174" s="153">
        <f t="shared" si="32"/>
        <v>11804</v>
      </c>
      <c r="J174" s="154"/>
    </row>
    <row r="175" spans="1:12" ht="20.100000000000001" customHeight="1">
      <c r="A175" s="80">
        <v>2022</v>
      </c>
      <c r="B175" s="151">
        <f t="shared" si="26"/>
        <v>12076</v>
      </c>
      <c r="C175" s="152">
        <f t="shared" si="27"/>
        <v>11558</v>
      </c>
      <c r="D175" s="152">
        <f t="shared" si="28"/>
        <v>12157</v>
      </c>
      <c r="E175" s="268">
        <f t="shared" si="33"/>
        <v>11818</v>
      </c>
      <c r="F175" s="152">
        <f t="shared" si="29"/>
        <v>11570</v>
      </c>
      <c r="G175" s="152">
        <f t="shared" si="30"/>
        <v>11835.8</v>
      </c>
      <c r="H175" s="152">
        <f t="shared" si="31"/>
        <v>11821.3</v>
      </c>
      <c r="I175" s="153">
        <f t="shared" si="32"/>
        <v>11836</v>
      </c>
      <c r="J175" s="154"/>
    </row>
    <row r="176" spans="1:12" ht="20.100000000000001" customHeight="1">
      <c r="A176" s="80">
        <v>2023</v>
      </c>
      <c r="B176" s="151">
        <f t="shared" si="26"/>
        <v>12142</v>
      </c>
      <c r="C176" s="152">
        <f t="shared" si="27"/>
        <v>11562</v>
      </c>
      <c r="D176" s="152">
        <f t="shared" si="28"/>
        <v>12232</v>
      </c>
      <c r="E176" s="268">
        <f t="shared" si="33"/>
        <v>11828</v>
      </c>
      <c r="F176" s="152">
        <f t="shared" si="29"/>
        <v>11573</v>
      </c>
      <c r="G176" s="152">
        <f t="shared" si="30"/>
        <v>11867.4</v>
      </c>
      <c r="H176" s="152">
        <f t="shared" si="31"/>
        <v>11847.7</v>
      </c>
      <c r="I176" s="153">
        <f t="shared" si="32"/>
        <v>11867</v>
      </c>
      <c r="J176" s="154"/>
      <c r="L176" s="55">
        <v>806200</v>
      </c>
    </row>
    <row r="177" spans="1:41" ht="20.100000000000001" customHeight="1">
      <c r="A177" s="80">
        <v>2024</v>
      </c>
      <c r="B177" s="151">
        <f t="shared" si="26"/>
        <v>12209</v>
      </c>
      <c r="C177" s="152">
        <f t="shared" si="27"/>
        <v>11565</v>
      </c>
      <c r="D177" s="152">
        <f t="shared" si="28"/>
        <v>12308</v>
      </c>
      <c r="E177" s="268">
        <f t="shared" si="33"/>
        <v>11839</v>
      </c>
      <c r="F177" s="152">
        <f t="shared" si="29"/>
        <v>11577</v>
      </c>
      <c r="G177" s="152">
        <f t="shared" si="30"/>
        <v>11899.6</v>
      </c>
      <c r="H177" s="152">
        <f t="shared" si="31"/>
        <v>11875</v>
      </c>
      <c r="I177" s="153">
        <f t="shared" si="32"/>
        <v>11900</v>
      </c>
      <c r="J177" s="154"/>
      <c r="K177" s="55">
        <v>51000</v>
      </c>
      <c r="L177" s="75">
        <f>+K177+E177</f>
        <v>62839</v>
      </c>
      <c r="M177" s="75"/>
    </row>
    <row r="178" spans="1:41" ht="20.100000000000001" customHeight="1">
      <c r="A178" s="80">
        <v>2025</v>
      </c>
      <c r="B178" s="151">
        <f t="shared" si="26"/>
        <v>12275</v>
      </c>
      <c r="C178" s="152">
        <f t="shared" si="27"/>
        <v>11568</v>
      </c>
      <c r="D178" s="152">
        <f t="shared" si="28"/>
        <v>12384</v>
      </c>
      <c r="E178" s="268">
        <f t="shared" si="33"/>
        <v>11849</v>
      </c>
      <c r="F178" s="152">
        <f t="shared" si="29"/>
        <v>11581</v>
      </c>
      <c r="G178" s="152">
        <f t="shared" si="30"/>
        <v>11931.4</v>
      </c>
      <c r="H178" s="152">
        <f t="shared" si="31"/>
        <v>11901.7</v>
      </c>
      <c r="I178" s="153">
        <f t="shared" si="32"/>
        <v>11931</v>
      </c>
      <c r="J178" s="154"/>
      <c r="L178" s="75">
        <f>+L176-L177</f>
        <v>743361</v>
      </c>
      <c r="M178" s="75"/>
    </row>
    <row r="179" spans="1:41" ht="20.100000000000001" customHeight="1">
      <c r="A179" s="155" t="s">
        <v>97</v>
      </c>
      <c r="B179" s="156"/>
      <c r="C179" s="157"/>
      <c r="D179" s="157"/>
      <c r="E179" s="157"/>
      <c r="F179" s="156"/>
      <c r="G179" s="269" t="s">
        <v>254</v>
      </c>
      <c r="H179" s="157"/>
      <c r="I179" s="159"/>
      <c r="J179" s="160"/>
      <c r="K179" s="161"/>
      <c r="L179" s="162">
        <f>+B129</f>
        <v>10416</v>
      </c>
      <c r="M179" s="162">
        <f>+B130</f>
        <v>10645</v>
      </c>
      <c r="N179" s="162">
        <f>B131</f>
        <v>11923</v>
      </c>
      <c r="O179" s="161">
        <f>B132</f>
        <v>12487</v>
      </c>
      <c r="P179" s="162">
        <f>B133</f>
        <v>12310</v>
      </c>
      <c r="Q179" s="161">
        <f>B134</f>
        <v>12027</v>
      </c>
      <c r="R179" s="162">
        <f>B135</f>
        <v>11848</v>
      </c>
      <c r="S179" s="162">
        <f>B136</f>
        <v>11403</v>
      </c>
      <c r="T179" s="162">
        <f>B137</f>
        <v>11136</v>
      </c>
      <c r="U179" s="162">
        <f>B138</f>
        <v>11152</v>
      </c>
      <c r="V179" s="162">
        <f>B139</f>
        <v>11080</v>
      </c>
      <c r="W179" s="162">
        <f>B16</f>
        <v>11146</v>
      </c>
      <c r="X179" s="162"/>
      <c r="Y179" s="161"/>
      <c r="Z179" s="161"/>
      <c r="AA179" s="161"/>
      <c r="AB179" s="161"/>
      <c r="AC179" s="161"/>
      <c r="AD179" s="161"/>
      <c r="AE179" s="161"/>
      <c r="AF179" s="161"/>
      <c r="AG179" s="161"/>
      <c r="AH179" s="161"/>
      <c r="AI179" s="161"/>
      <c r="AJ179" s="161"/>
      <c r="AK179" s="161"/>
      <c r="AL179" s="161"/>
      <c r="AM179" s="161"/>
      <c r="AN179" s="161"/>
    </row>
    <row r="180" spans="1:41" ht="20.100000000000001" hidden="1" customHeight="1">
      <c r="A180" s="85"/>
      <c r="B180" s="163"/>
      <c r="C180" s="164"/>
      <c r="D180" s="164"/>
      <c r="E180" s="164"/>
      <c r="F180" s="164"/>
      <c r="G180" s="164"/>
      <c r="H180" s="164"/>
      <c r="I180" s="165"/>
      <c r="J180" s="166"/>
      <c r="K180" s="161"/>
      <c r="L180" s="161"/>
      <c r="M180" s="161"/>
      <c r="N180" s="161"/>
      <c r="O180" s="161"/>
      <c r="P180" s="161"/>
      <c r="Q180" s="161"/>
      <c r="R180" s="161"/>
      <c r="S180" s="161"/>
      <c r="T180" s="161"/>
      <c r="U180" s="161"/>
      <c r="V180" s="161"/>
      <c r="W180" s="161"/>
      <c r="X180" s="161"/>
      <c r="Y180" s="161"/>
      <c r="Z180" s="161"/>
      <c r="AA180" s="161"/>
      <c r="AB180" s="161"/>
      <c r="AC180" s="161"/>
      <c r="AD180" s="161"/>
      <c r="AE180" s="161"/>
      <c r="AF180" s="161"/>
      <c r="AG180" s="161"/>
      <c r="AH180" s="161"/>
      <c r="AI180" s="161"/>
      <c r="AJ180" s="161"/>
      <c r="AK180" s="161"/>
      <c r="AL180" s="161"/>
      <c r="AM180" s="161"/>
      <c r="AN180" s="161"/>
    </row>
    <row r="181" spans="1:41" s="161" customFormat="1" ht="20.100000000000001" customHeight="1">
      <c r="A181" s="167" t="s">
        <v>98</v>
      </c>
      <c r="B181" s="168">
        <f>I4</f>
        <v>2.54473527976408E-4</v>
      </c>
      <c r="C181" s="169">
        <f>I35</f>
        <v>2.5447352797668403E-4</v>
      </c>
      <c r="D181" s="169">
        <f>I66</f>
        <v>7.9123343906098336E-5</v>
      </c>
      <c r="E181" s="169"/>
      <c r="F181" s="169">
        <f>I128</f>
        <v>2.5263467196611275E-4</v>
      </c>
      <c r="G181" s="170"/>
      <c r="H181" s="171"/>
      <c r="I181" s="172"/>
      <c r="J181" s="173"/>
      <c r="K181" s="174">
        <f>MAX(B181:I181,F181)</f>
        <v>2.5447352797668403E-4</v>
      </c>
      <c r="L181" s="161">
        <v>1997</v>
      </c>
      <c r="M181" s="161">
        <v>1998</v>
      </c>
      <c r="N181" s="161">
        <v>1999</v>
      </c>
      <c r="O181" s="161">
        <f t="shared" ref="O181:AN181" si="34">+N181+1</f>
        <v>2000</v>
      </c>
      <c r="P181" s="161">
        <f t="shared" si="34"/>
        <v>2001</v>
      </c>
      <c r="Q181" s="161">
        <f t="shared" si="34"/>
        <v>2002</v>
      </c>
      <c r="R181" s="161">
        <f t="shared" si="34"/>
        <v>2003</v>
      </c>
      <c r="S181" s="161">
        <f t="shared" si="34"/>
        <v>2004</v>
      </c>
      <c r="T181" s="161">
        <f t="shared" si="34"/>
        <v>2005</v>
      </c>
      <c r="U181" s="161">
        <f t="shared" si="34"/>
        <v>2006</v>
      </c>
      <c r="V181" s="161">
        <f t="shared" si="34"/>
        <v>2007</v>
      </c>
      <c r="W181" s="161">
        <f t="shared" si="34"/>
        <v>2008</v>
      </c>
      <c r="X181" s="161">
        <f t="shared" si="34"/>
        <v>2009</v>
      </c>
      <c r="Y181" s="161">
        <f t="shared" si="34"/>
        <v>2010</v>
      </c>
      <c r="Z181" s="161">
        <f t="shared" si="34"/>
        <v>2011</v>
      </c>
      <c r="AA181" s="161">
        <f t="shared" si="34"/>
        <v>2012</v>
      </c>
      <c r="AB181" s="161">
        <f t="shared" si="34"/>
        <v>2013</v>
      </c>
      <c r="AC181" s="161">
        <f t="shared" si="34"/>
        <v>2014</v>
      </c>
      <c r="AD181" s="161">
        <f t="shared" si="34"/>
        <v>2015</v>
      </c>
      <c r="AE181" s="161">
        <f t="shared" si="34"/>
        <v>2016</v>
      </c>
      <c r="AF181" s="161">
        <f t="shared" si="34"/>
        <v>2017</v>
      </c>
      <c r="AG181" s="161">
        <f t="shared" si="34"/>
        <v>2018</v>
      </c>
      <c r="AH181" s="161">
        <f t="shared" si="34"/>
        <v>2019</v>
      </c>
      <c r="AI181" s="161">
        <f t="shared" si="34"/>
        <v>2020</v>
      </c>
      <c r="AJ181" s="161">
        <f t="shared" si="34"/>
        <v>2021</v>
      </c>
      <c r="AK181" s="161">
        <f t="shared" si="34"/>
        <v>2022</v>
      </c>
      <c r="AL181" s="161">
        <f t="shared" si="34"/>
        <v>2023</v>
      </c>
      <c r="AM181" s="161">
        <f t="shared" si="34"/>
        <v>2024</v>
      </c>
      <c r="AN181" s="161">
        <f t="shared" si="34"/>
        <v>2025</v>
      </c>
    </row>
    <row r="182" spans="1:41" ht="20.100000000000001" customHeight="1">
      <c r="K182" s="161" t="s">
        <v>99</v>
      </c>
      <c r="L182" s="161"/>
      <c r="M182" s="161"/>
      <c r="N182" s="161"/>
      <c r="O182" s="161"/>
      <c r="P182" s="161"/>
      <c r="Q182" s="161"/>
      <c r="R182" s="161"/>
      <c r="S182" s="161"/>
      <c r="T182" s="161"/>
      <c r="U182" s="161"/>
      <c r="V182" s="162">
        <f>+V179</f>
        <v>11080</v>
      </c>
      <c r="W182" s="175">
        <f>+B16</f>
        <v>11146</v>
      </c>
      <c r="X182" s="162">
        <f>B17</f>
        <v>11213</v>
      </c>
      <c r="Y182" s="162">
        <f>B18</f>
        <v>11279</v>
      </c>
      <c r="Z182" s="162">
        <f>B19</f>
        <v>11346</v>
      </c>
      <c r="AA182" s="162">
        <f>B20</f>
        <v>11412</v>
      </c>
      <c r="AB182" s="162">
        <f>B21</f>
        <v>11478</v>
      </c>
      <c r="AC182" s="162">
        <f>B22</f>
        <v>11545</v>
      </c>
      <c r="AD182" s="162">
        <f>B23</f>
        <v>11611</v>
      </c>
      <c r="AE182" s="162">
        <f>B24</f>
        <v>11678</v>
      </c>
      <c r="AF182" s="162">
        <f>B25</f>
        <v>11744</v>
      </c>
      <c r="AG182" s="162">
        <f>B26</f>
        <v>11810</v>
      </c>
      <c r="AH182" s="162">
        <f>B27</f>
        <v>11877</v>
      </c>
      <c r="AI182" s="162">
        <f>B28</f>
        <v>11943</v>
      </c>
      <c r="AJ182" s="162">
        <f>B29</f>
        <v>12010</v>
      </c>
      <c r="AK182" s="162">
        <f>B30</f>
        <v>12076</v>
      </c>
      <c r="AL182" s="162">
        <f>B31</f>
        <v>12142</v>
      </c>
      <c r="AM182" s="162">
        <f>B32</f>
        <v>12209</v>
      </c>
      <c r="AN182" s="162">
        <f>B33</f>
        <v>12275</v>
      </c>
      <c r="AO182" s="161" t="s">
        <v>99</v>
      </c>
    </row>
    <row r="183" spans="1:41" ht="20.100000000000001" customHeight="1">
      <c r="K183" s="161" t="s">
        <v>100</v>
      </c>
      <c r="L183" s="161"/>
      <c r="M183" s="161"/>
      <c r="N183" s="161"/>
      <c r="O183" s="161"/>
      <c r="P183" s="161"/>
      <c r="Q183" s="161"/>
      <c r="R183" s="161"/>
      <c r="S183" s="161"/>
      <c r="T183" s="161"/>
      <c r="U183" s="161"/>
      <c r="V183" s="162">
        <f>+V182</f>
        <v>11080</v>
      </c>
      <c r="W183" s="175">
        <f>+B47</f>
        <v>11513</v>
      </c>
      <c r="X183" s="162">
        <f>B48</f>
        <v>11516</v>
      </c>
      <c r="Y183" s="162">
        <f>B49</f>
        <v>11519</v>
      </c>
      <c r="Z183" s="162">
        <f>B50</f>
        <v>11523</v>
      </c>
      <c r="AA183" s="162">
        <f>B51</f>
        <v>11526</v>
      </c>
      <c r="AB183" s="162">
        <f>B52</f>
        <v>11529</v>
      </c>
      <c r="AC183" s="162">
        <f>B53</f>
        <v>11532</v>
      </c>
      <c r="AD183" s="162">
        <f>B54</f>
        <v>11536</v>
      </c>
      <c r="AE183" s="162">
        <f>B55</f>
        <v>11539</v>
      </c>
      <c r="AF183" s="162">
        <f>B56</f>
        <v>11542</v>
      </c>
      <c r="AG183" s="162">
        <f>B57</f>
        <v>11545</v>
      </c>
      <c r="AH183" s="162">
        <f>B58</f>
        <v>11549</v>
      </c>
      <c r="AI183" s="162">
        <f>B59</f>
        <v>11552</v>
      </c>
      <c r="AJ183" s="162">
        <f>B60</f>
        <v>11555</v>
      </c>
      <c r="AK183" s="162">
        <f>B61</f>
        <v>11558</v>
      </c>
      <c r="AL183" s="162">
        <f>B62</f>
        <v>11562</v>
      </c>
      <c r="AM183" s="162">
        <f>B63</f>
        <v>11565</v>
      </c>
      <c r="AN183" s="162">
        <f>B64</f>
        <v>11568</v>
      </c>
      <c r="AO183" s="161" t="s">
        <v>100</v>
      </c>
    </row>
    <row r="184" spans="1:41" ht="20.100000000000001" customHeight="1">
      <c r="K184" s="161" t="s">
        <v>101</v>
      </c>
      <c r="L184" s="161"/>
      <c r="M184" s="161"/>
      <c r="N184" s="161"/>
      <c r="O184" s="161"/>
      <c r="P184" s="161"/>
      <c r="Q184" s="161"/>
      <c r="R184" s="161"/>
      <c r="S184" s="161"/>
      <c r="T184" s="161"/>
      <c r="U184" s="161"/>
      <c r="V184" s="162">
        <f>+V183</f>
        <v>11080</v>
      </c>
      <c r="W184" s="175">
        <f>+B78</f>
        <v>11149</v>
      </c>
      <c r="X184" s="162">
        <f>B79</f>
        <v>11218</v>
      </c>
      <c r="Y184" s="162">
        <f>B80</f>
        <v>11287</v>
      </c>
      <c r="Z184" s="162">
        <f>B81</f>
        <v>11357</v>
      </c>
      <c r="AA184" s="162">
        <f>B82</f>
        <v>11428</v>
      </c>
      <c r="AB184" s="162">
        <f>B83</f>
        <v>11499</v>
      </c>
      <c r="AC184" s="162">
        <f>B84</f>
        <v>11570</v>
      </c>
      <c r="AD184" s="162">
        <f>B85</f>
        <v>11642</v>
      </c>
      <c r="AE184" s="162">
        <f>B86</f>
        <v>11714</v>
      </c>
      <c r="AF184" s="162">
        <f>B87</f>
        <v>11787</v>
      </c>
      <c r="AG184" s="162">
        <f>B88</f>
        <v>11860</v>
      </c>
      <c r="AH184" s="162">
        <f>B89</f>
        <v>11933</v>
      </c>
      <c r="AI184" s="162">
        <f>B90</f>
        <v>12007</v>
      </c>
      <c r="AJ184" s="162">
        <f>B91</f>
        <v>12082</v>
      </c>
      <c r="AK184" s="162">
        <f>B92</f>
        <v>12157</v>
      </c>
      <c r="AL184" s="162">
        <f>B93</f>
        <v>12232</v>
      </c>
      <c r="AM184" s="162">
        <f>B94</f>
        <v>12308</v>
      </c>
      <c r="AN184" s="162">
        <f>B95</f>
        <v>12384</v>
      </c>
      <c r="AO184" s="161" t="s">
        <v>101</v>
      </c>
    </row>
    <row r="185" spans="1:41" ht="20.100000000000001" customHeight="1">
      <c r="K185" s="161" t="s">
        <v>102</v>
      </c>
      <c r="L185" s="161"/>
      <c r="M185" s="161"/>
      <c r="N185" s="161"/>
      <c r="O185" s="161"/>
      <c r="P185" s="161"/>
      <c r="Q185" s="161"/>
      <c r="R185" s="161"/>
      <c r="S185" s="161"/>
      <c r="T185" s="161"/>
      <c r="U185" s="161"/>
      <c r="V185" s="162">
        <f>+V184</f>
        <v>11080</v>
      </c>
      <c r="W185" s="175">
        <f>+B109</f>
        <v>11612</v>
      </c>
      <c r="X185" s="162">
        <f>+B110</f>
        <v>11633</v>
      </c>
      <c r="Y185" s="162">
        <f>+B111</f>
        <v>11652</v>
      </c>
      <c r="Z185" s="162">
        <f>+B112</f>
        <v>11669</v>
      </c>
      <c r="AA185" s="162">
        <f>+B113</f>
        <v>11686</v>
      </c>
      <c r="AB185" s="162">
        <f>+B114</f>
        <v>11702</v>
      </c>
      <c r="AC185" s="162">
        <f>+B115</f>
        <v>11717</v>
      </c>
      <c r="AD185" s="162">
        <f>+B116</f>
        <v>11732</v>
      </c>
      <c r="AE185" s="162">
        <f>+B117</f>
        <v>11745</v>
      </c>
      <c r="AF185" s="162">
        <f>+B118</f>
        <v>11759</v>
      </c>
      <c r="AG185" s="162">
        <f>+B119</f>
        <v>11771</v>
      </c>
      <c r="AH185" s="162">
        <f>+B120</f>
        <v>11784</v>
      </c>
      <c r="AI185" s="162">
        <f>+B121</f>
        <v>11795</v>
      </c>
      <c r="AJ185" s="162">
        <f>+B122</f>
        <v>11807</v>
      </c>
      <c r="AK185" s="162">
        <f>+B123</f>
        <v>11818</v>
      </c>
      <c r="AL185" s="162">
        <f>+B124</f>
        <v>11828</v>
      </c>
      <c r="AM185" s="162">
        <f>+B125</f>
        <v>11839</v>
      </c>
      <c r="AN185" s="162">
        <f>+B126</f>
        <v>11849</v>
      </c>
      <c r="AO185" s="161" t="s">
        <v>102</v>
      </c>
    </row>
    <row r="186" spans="1:41" ht="20.100000000000001" customHeight="1">
      <c r="K186" s="161" t="s">
        <v>103</v>
      </c>
      <c r="L186" s="161"/>
      <c r="M186" s="161"/>
      <c r="N186" s="161"/>
      <c r="O186" s="161"/>
      <c r="P186" s="161"/>
      <c r="Q186" s="161"/>
      <c r="R186" s="161"/>
      <c r="S186" s="161"/>
      <c r="T186" s="161"/>
      <c r="U186" s="161"/>
      <c r="V186" s="162">
        <f>+V185</f>
        <v>11080</v>
      </c>
      <c r="W186" s="175">
        <f>+B140</f>
        <v>11514</v>
      </c>
      <c r="X186" s="162">
        <f>B141</f>
        <v>11518</v>
      </c>
      <c r="Y186" s="162">
        <f>B142</f>
        <v>11522</v>
      </c>
      <c r="Z186" s="162">
        <f>B143</f>
        <v>11526</v>
      </c>
      <c r="AA186" s="162">
        <f>B144</f>
        <v>11530</v>
      </c>
      <c r="AB186" s="162">
        <f>B145</f>
        <v>11534</v>
      </c>
      <c r="AC186" s="162">
        <f>B146</f>
        <v>11538</v>
      </c>
      <c r="AD186" s="162">
        <f>B147</f>
        <v>11542</v>
      </c>
      <c r="AE186" s="162">
        <f>B148</f>
        <v>11546</v>
      </c>
      <c r="AF186" s="162">
        <f>B149</f>
        <v>11550</v>
      </c>
      <c r="AG186" s="162">
        <f>B150</f>
        <v>11554</v>
      </c>
      <c r="AH186" s="162">
        <f>B151</f>
        <v>11558</v>
      </c>
      <c r="AI186" s="162">
        <f>B152</f>
        <v>11562</v>
      </c>
      <c r="AJ186" s="162">
        <f>B153</f>
        <v>11566</v>
      </c>
      <c r="AK186" s="162">
        <f>B154</f>
        <v>11570</v>
      </c>
      <c r="AL186" s="162">
        <f>B155</f>
        <v>11573</v>
      </c>
      <c r="AM186" s="162">
        <f>B156</f>
        <v>11577</v>
      </c>
      <c r="AN186" s="162">
        <f>B157</f>
        <v>11581</v>
      </c>
      <c r="AO186" s="161" t="s">
        <v>103</v>
      </c>
    </row>
    <row r="187" spans="1:41" ht="20.100000000000001" customHeight="1">
      <c r="K187" s="161" t="s">
        <v>95</v>
      </c>
      <c r="L187" s="161"/>
      <c r="M187" s="161"/>
      <c r="N187" s="161"/>
      <c r="O187" s="161"/>
      <c r="P187" s="161"/>
      <c r="Q187" s="161"/>
      <c r="R187" s="161"/>
      <c r="S187" s="161"/>
      <c r="T187" s="161"/>
      <c r="U187" s="161"/>
      <c r="V187" s="162">
        <f>+V186</f>
        <v>11080</v>
      </c>
      <c r="W187" s="175">
        <f>+G161</f>
        <v>11386.8</v>
      </c>
      <c r="X187" s="206">
        <f>+G162</f>
        <v>11419.6</v>
      </c>
      <c r="Y187" s="206">
        <f>+G163</f>
        <v>11451.8</v>
      </c>
      <c r="Z187" s="206">
        <f>+F164</f>
        <v>11526</v>
      </c>
      <c r="AA187" s="206">
        <f>+F165</f>
        <v>11530</v>
      </c>
      <c r="AB187" s="206">
        <f>+F166</f>
        <v>11534</v>
      </c>
      <c r="AC187" s="206">
        <f>+F167</f>
        <v>11538</v>
      </c>
      <c r="AD187" s="206">
        <f>+F168</f>
        <v>11542</v>
      </c>
      <c r="AE187" s="206">
        <f>+F169</f>
        <v>11546</v>
      </c>
      <c r="AF187" s="206">
        <f>+F170</f>
        <v>11550</v>
      </c>
      <c r="AG187" s="206">
        <f>+F171</f>
        <v>11554</v>
      </c>
      <c r="AH187" s="206">
        <f>+F172</f>
        <v>11558</v>
      </c>
      <c r="AI187" s="206">
        <f>+F173</f>
        <v>11562</v>
      </c>
      <c r="AJ187" s="206">
        <f>+F174</f>
        <v>11566</v>
      </c>
      <c r="AK187" s="206">
        <f>+F175</f>
        <v>11570</v>
      </c>
      <c r="AL187" s="206">
        <f>+F176</f>
        <v>11573</v>
      </c>
      <c r="AM187" s="206">
        <f>+F177</f>
        <v>11577</v>
      </c>
      <c r="AN187" s="206">
        <f>+F178</f>
        <v>11581</v>
      </c>
      <c r="AO187" s="161" t="s">
        <v>95</v>
      </c>
    </row>
    <row r="188" spans="1:41" ht="20.100000000000001" customHeight="1"/>
    <row r="189" spans="1:41" ht="20.100000000000001" customHeight="1"/>
    <row r="190" spans="1:41" ht="20.100000000000001" customHeight="1"/>
    <row r="191" spans="1:41" ht="20.100000000000001" customHeight="1"/>
    <row r="192" spans="1:41" ht="20.100000000000001" customHeight="1"/>
    <row r="193" ht="20.100000000000001" customHeight="1"/>
    <row r="194" ht="20.100000000000001" customHeight="1"/>
    <row r="195" ht="20.100000000000001" customHeight="1"/>
    <row r="196" ht="20.100000000000001" customHeight="1"/>
    <row r="197" ht="20.100000000000001" customHeight="1"/>
    <row r="198" ht="20.100000000000001" customHeight="1"/>
    <row r="199" ht="20.100000000000001" customHeight="1"/>
    <row r="200" ht="20.100000000000001" customHeight="1"/>
    <row r="201" ht="20.100000000000001" customHeight="1"/>
    <row r="202" ht="20.100000000000001" customHeight="1"/>
    <row r="203" ht="20.100000000000001" customHeight="1"/>
    <row r="204" ht="20.100000000000001" customHeight="1"/>
  </sheetData>
  <phoneticPr fontId="50" type="noConversion"/>
  <pageMargins left="0.74803149606299213" right="0.74803149606299213" top="0.78740157480314965" bottom="0.78740157480314965" header="0.51181102362204722" footer="0.51181102362204722"/>
  <pageSetup paperSize="9" scale="70" fitToHeight="3" orientation="portrait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>
  <sheetPr codeName="Sheet52">
    <tabColor indexed="22"/>
  </sheetPr>
  <dimension ref="A1:AO179"/>
  <sheetViews>
    <sheetView workbookViewId="0"/>
  </sheetViews>
  <sheetFormatPr defaultRowHeight="15" customHeight="1"/>
  <cols>
    <col min="1" max="1" width="8.88671875" style="55"/>
    <col min="2" max="2" width="9.21875" style="55" customWidth="1"/>
    <col min="3" max="3" width="9.5546875" style="55" customWidth="1"/>
    <col min="4" max="4" width="9" style="55" customWidth="1"/>
    <col min="5" max="5" width="11.33203125" style="55" customWidth="1"/>
    <col min="6" max="6" width="9.44140625" style="55" customWidth="1"/>
    <col min="7" max="7" width="15.109375" style="55" bestFit="1" customWidth="1"/>
    <col min="8" max="8" width="12.88671875" style="55" bestFit="1" customWidth="1"/>
    <col min="9" max="9" width="11.5546875" style="55" bestFit="1" customWidth="1"/>
    <col min="10" max="16384" width="8.88671875" style="55"/>
  </cols>
  <sheetData>
    <row r="1" spans="1:12" ht="15" customHeight="1">
      <c r="A1" s="54" t="s">
        <v>308</v>
      </c>
    </row>
    <row r="2" spans="1:12" ht="15" customHeight="1">
      <c r="A2" s="54"/>
    </row>
    <row r="3" spans="1:12" ht="15" customHeight="1">
      <c r="A3" s="56" t="s">
        <v>74</v>
      </c>
      <c r="B3" s="57"/>
    </row>
    <row r="4" spans="1:12" ht="15" customHeight="1">
      <c r="A4" s="58" t="s">
        <v>32</v>
      </c>
      <c r="B4" s="59" t="s">
        <v>40</v>
      </c>
      <c r="C4" s="59" t="s">
        <v>33</v>
      </c>
      <c r="D4" s="60"/>
      <c r="E4" s="60"/>
      <c r="F4" s="61"/>
      <c r="G4" s="62"/>
      <c r="H4" s="63" t="s">
        <v>266</v>
      </c>
      <c r="I4" s="64">
        <f>RSQ(I6:I11,B6:B11)</f>
        <v>0.83785366671292527</v>
      </c>
    </row>
    <row r="5" spans="1:12" ht="15" customHeight="1">
      <c r="A5" s="176">
        <v>2002</v>
      </c>
      <c r="B5" s="183">
        <f>+북평동10!B10</f>
        <v>12027</v>
      </c>
      <c r="C5" s="177">
        <v>0</v>
      </c>
      <c r="D5" s="178"/>
      <c r="E5" s="178"/>
      <c r="F5" s="179"/>
      <c r="G5" s="262"/>
      <c r="H5" s="263"/>
      <c r="I5" s="70">
        <f t="shared" ref="I5:I28" si="0">$E$6*C5+$E$7</f>
        <v>12027</v>
      </c>
    </row>
    <row r="6" spans="1:12" ht="15" customHeight="1">
      <c r="A6" s="65">
        <v>2003</v>
      </c>
      <c r="B6" s="184">
        <f>+북평동10!B11</f>
        <v>11848</v>
      </c>
      <c r="C6" s="67">
        <f>+C5+1</f>
        <v>1</v>
      </c>
      <c r="D6" s="53" t="s">
        <v>75</v>
      </c>
      <c r="E6" s="68">
        <f>(B10-B5)/C10</f>
        <v>-189.4</v>
      </c>
      <c r="F6" s="69"/>
      <c r="G6" s="53"/>
      <c r="H6" s="69"/>
      <c r="I6" s="70">
        <f t="shared" si="0"/>
        <v>11837.6</v>
      </c>
      <c r="J6" s="71">
        <v>570570</v>
      </c>
      <c r="K6" s="55">
        <v>570570</v>
      </c>
      <c r="L6" s="55">
        <v>766</v>
      </c>
    </row>
    <row r="7" spans="1:12" ht="15" customHeight="1">
      <c r="A7" s="65">
        <v>2004</v>
      </c>
      <c r="B7" s="184">
        <f>+북평동10!B12</f>
        <v>11403</v>
      </c>
      <c r="C7" s="67">
        <f t="shared" ref="C7:C28" si="1">C6+1</f>
        <v>2</v>
      </c>
      <c r="D7" s="53" t="s">
        <v>76</v>
      </c>
      <c r="E7" s="72">
        <f>B5</f>
        <v>12027</v>
      </c>
      <c r="F7" s="69"/>
      <c r="G7" s="53"/>
      <c r="H7" s="69"/>
      <c r="I7" s="70">
        <f t="shared" si="0"/>
        <v>11648.2</v>
      </c>
      <c r="J7" s="71">
        <v>583230</v>
      </c>
      <c r="K7" s="55">
        <v>583230</v>
      </c>
      <c r="L7" s="55">
        <v>1094</v>
      </c>
    </row>
    <row r="8" spans="1:12" ht="15" customHeight="1">
      <c r="A8" s="65">
        <v>2005</v>
      </c>
      <c r="B8" s="184">
        <f>+북평동10!B13</f>
        <v>11136</v>
      </c>
      <c r="C8" s="67">
        <f t="shared" si="1"/>
        <v>3</v>
      </c>
      <c r="D8" s="53" t="s">
        <v>77</v>
      </c>
      <c r="E8" s="73">
        <f>I4</f>
        <v>0.83785366671292527</v>
      </c>
      <c r="F8" s="69"/>
      <c r="G8" s="53"/>
      <c r="H8" s="69"/>
      <c r="I8" s="70">
        <f t="shared" si="0"/>
        <v>11458.8</v>
      </c>
      <c r="J8" s="71">
        <v>590162</v>
      </c>
      <c r="K8" s="55">
        <v>590162</v>
      </c>
      <c r="L8" s="55">
        <v>1277</v>
      </c>
    </row>
    <row r="9" spans="1:12" ht="15" customHeight="1">
      <c r="A9" s="65">
        <v>2006</v>
      </c>
      <c r="B9" s="184">
        <f>+북평동10!B14</f>
        <v>11152</v>
      </c>
      <c r="C9" s="67">
        <f t="shared" si="1"/>
        <v>4</v>
      </c>
      <c r="D9" s="53"/>
      <c r="E9" s="53"/>
      <c r="F9" s="69"/>
      <c r="G9" s="53"/>
      <c r="H9" s="69"/>
      <c r="I9" s="70">
        <f t="shared" si="0"/>
        <v>11269.4</v>
      </c>
      <c r="J9" s="71">
        <v>600343</v>
      </c>
      <c r="K9" s="55">
        <v>600343</v>
      </c>
      <c r="L9" s="55">
        <v>1147</v>
      </c>
    </row>
    <row r="10" spans="1:12" ht="15" customHeight="1" thickBot="1">
      <c r="A10" s="97">
        <v>2007</v>
      </c>
      <c r="B10" s="185">
        <f>+북평동10!B15</f>
        <v>11080</v>
      </c>
      <c r="C10" s="99">
        <f t="shared" si="1"/>
        <v>5</v>
      </c>
      <c r="D10" s="101" t="s">
        <v>73</v>
      </c>
      <c r="E10" s="101"/>
      <c r="F10" s="100"/>
      <c r="G10" s="101"/>
      <c r="H10" s="100"/>
      <c r="I10" s="102">
        <f t="shared" si="0"/>
        <v>11080</v>
      </c>
      <c r="J10" s="71">
        <v>611921</v>
      </c>
      <c r="K10" s="55">
        <v>611921</v>
      </c>
      <c r="L10" s="55">
        <v>1355</v>
      </c>
    </row>
    <row r="11" spans="1:12" ht="15" customHeight="1" thickTop="1">
      <c r="A11" s="255">
        <v>2008</v>
      </c>
      <c r="B11" s="81">
        <f t="shared" ref="B11:B28" si="2">ROUND($E$6*C11+$E$7,0)</f>
        <v>10891</v>
      </c>
      <c r="C11" s="77">
        <f t="shared" si="1"/>
        <v>6</v>
      </c>
      <c r="D11" s="256"/>
      <c r="E11" s="256"/>
      <c r="F11" s="78"/>
      <c r="G11" s="256"/>
      <c r="H11" s="78"/>
      <c r="I11" s="79">
        <f t="shared" si="0"/>
        <v>10890.6</v>
      </c>
      <c r="J11" s="74">
        <v>622238</v>
      </c>
      <c r="K11" s="55">
        <v>622238</v>
      </c>
      <c r="L11" s="55">
        <v>1717</v>
      </c>
    </row>
    <row r="12" spans="1:12" ht="15" customHeight="1">
      <c r="A12" s="80">
        <v>2009</v>
      </c>
      <c r="B12" s="81">
        <f t="shared" si="2"/>
        <v>10701</v>
      </c>
      <c r="C12" s="67">
        <f t="shared" si="1"/>
        <v>7</v>
      </c>
      <c r="D12" s="69"/>
      <c r="E12" s="69"/>
      <c r="F12" s="69"/>
      <c r="G12" s="69"/>
      <c r="H12" s="69"/>
      <c r="I12" s="70">
        <f t="shared" si="0"/>
        <v>10701.2</v>
      </c>
    </row>
    <row r="13" spans="1:12" ht="15" customHeight="1">
      <c r="A13" s="186">
        <v>2010</v>
      </c>
      <c r="B13" s="187">
        <f t="shared" si="2"/>
        <v>10512</v>
      </c>
      <c r="C13" s="188">
        <f t="shared" si="1"/>
        <v>8</v>
      </c>
      <c r="D13" s="189"/>
      <c r="E13" s="189"/>
      <c r="F13" s="189"/>
      <c r="G13" s="189"/>
      <c r="H13" s="189"/>
      <c r="I13" s="190">
        <f t="shared" si="0"/>
        <v>10511.8</v>
      </c>
    </row>
    <row r="14" spans="1:12" ht="15" customHeight="1">
      <c r="A14" s="80">
        <v>2011</v>
      </c>
      <c r="B14" s="81">
        <f t="shared" si="2"/>
        <v>10322</v>
      </c>
      <c r="C14" s="82">
        <f t="shared" si="1"/>
        <v>9</v>
      </c>
      <c r="D14" s="69"/>
      <c r="E14" s="69"/>
      <c r="F14" s="69"/>
      <c r="G14" s="69"/>
      <c r="H14" s="69"/>
      <c r="I14" s="70">
        <f t="shared" si="0"/>
        <v>10322.4</v>
      </c>
    </row>
    <row r="15" spans="1:12" ht="15" customHeight="1">
      <c r="A15" s="80">
        <v>2012</v>
      </c>
      <c r="B15" s="81">
        <f t="shared" si="2"/>
        <v>10133</v>
      </c>
      <c r="C15" s="82">
        <f t="shared" si="1"/>
        <v>10</v>
      </c>
      <c r="D15" s="69"/>
      <c r="E15" s="69"/>
      <c r="F15" s="69"/>
      <c r="G15" s="69"/>
      <c r="H15" s="69"/>
      <c r="I15" s="70">
        <f t="shared" si="0"/>
        <v>10133</v>
      </c>
    </row>
    <row r="16" spans="1:12" ht="15" customHeight="1">
      <c r="A16" s="80">
        <v>2013</v>
      </c>
      <c r="B16" s="81">
        <f t="shared" si="2"/>
        <v>9944</v>
      </c>
      <c r="C16" s="82">
        <f t="shared" si="1"/>
        <v>11</v>
      </c>
      <c r="D16" s="69"/>
      <c r="E16" s="69"/>
      <c r="F16" s="69"/>
      <c r="G16" s="69"/>
      <c r="H16" s="69"/>
      <c r="I16" s="70">
        <f t="shared" si="0"/>
        <v>9943.6</v>
      </c>
    </row>
    <row r="17" spans="1:9" ht="15" customHeight="1">
      <c r="A17" s="80">
        <v>2014</v>
      </c>
      <c r="B17" s="81">
        <f t="shared" si="2"/>
        <v>9754</v>
      </c>
      <c r="C17" s="82">
        <f t="shared" si="1"/>
        <v>12</v>
      </c>
      <c r="D17" s="69"/>
      <c r="E17" s="69"/>
      <c r="F17" s="69"/>
      <c r="G17" s="69"/>
      <c r="H17" s="69"/>
      <c r="I17" s="70">
        <f t="shared" si="0"/>
        <v>9754.2000000000007</v>
      </c>
    </row>
    <row r="18" spans="1:9" ht="15" customHeight="1">
      <c r="A18" s="186">
        <v>2015</v>
      </c>
      <c r="B18" s="187">
        <f t="shared" si="2"/>
        <v>9565</v>
      </c>
      <c r="C18" s="188">
        <f t="shared" si="1"/>
        <v>13</v>
      </c>
      <c r="D18" s="189"/>
      <c r="E18" s="189"/>
      <c r="F18" s="189"/>
      <c r="G18" s="189"/>
      <c r="H18" s="189"/>
      <c r="I18" s="190">
        <f t="shared" si="0"/>
        <v>9564.7999999999993</v>
      </c>
    </row>
    <row r="19" spans="1:9" ht="15" customHeight="1">
      <c r="A19" s="80">
        <v>2016</v>
      </c>
      <c r="B19" s="81">
        <f t="shared" si="2"/>
        <v>9375</v>
      </c>
      <c r="C19" s="82">
        <f t="shared" si="1"/>
        <v>14</v>
      </c>
      <c r="D19" s="69"/>
      <c r="E19" s="69"/>
      <c r="F19" s="69"/>
      <c r="G19" s="69"/>
      <c r="H19" s="69"/>
      <c r="I19" s="70">
        <f t="shared" si="0"/>
        <v>9375.4</v>
      </c>
    </row>
    <row r="20" spans="1:9" ht="15" customHeight="1">
      <c r="A20" s="80">
        <v>2017</v>
      </c>
      <c r="B20" s="81">
        <f t="shared" si="2"/>
        <v>9186</v>
      </c>
      <c r="C20" s="82">
        <f t="shared" si="1"/>
        <v>15</v>
      </c>
      <c r="D20" s="69"/>
      <c r="E20" s="69"/>
      <c r="F20" s="69"/>
      <c r="G20" s="69"/>
      <c r="H20" s="69"/>
      <c r="I20" s="70">
        <f t="shared" si="0"/>
        <v>9186</v>
      </c>
    </row>
    <row r="21" spans="1:9" ht="15" customHeight="1">
      <c r="A21" s="80">
        <v>2018</v>
      </c>
      <c r="B21" s="81">
        <f t="shared" si="2"/>
        <v>8997</v>
      </c>
      <c r="C21" s="82">
        <f t="shared" si="1"/>
        <v>16</v>
      </c>
      <c r="D21" s="69"/>
      <c r="E21" s="69"/>
      <c r="F21" s="69"/>
      <c r="G21" s="69"/>
      <c r="H21" s="69"/>
      <c r="I21" s="70">
        <f t="shared" si="0"/>
        <v>8996.6</v>
      </c>
    </row>
    <row r="22" spans="1:9" ht="15" customHeight="1">
      <c r="A22" s="80">
        <v>2019</v>
      </c>
      <c r="B22" s="81">
        <f t="shared" si="2"/>
        <v>8807</v>
      </c>
      <c r="C22" s="82">
        <f t="shared" si="1"/>
        <v>17</v>
      </c>
      <c r="D22" s="69"/>
      <c r="E22" s="69"/>
      <c r="F22" s="69"/>
      <c r="G22" s="69"/>
      <c r="H22" s="69"/>
      <c r="I22" s="70">
        <f t="shared" si="0"/>
        <v>8807.2000000000007</v>
      </c>
    </row>
    <row r="23" spans="1:9" ht="15" customHeight="1">
      <c r="A23" s="186">
        <v>2020</v>
      </c>
      <c r="B23" s="187">
        <f t="shared" si="2"/>
        <v>8618</v>
      </c>
      <c r="C23" s="188">
        <f t="shared" si="1"/>
        <v>18</v>
      </c>
      <c r="D23" s="189"/>
      <c r="E23" s="189"/>
      <c r="F23" s="189"/>
      <c r="G23" s="189"/>
      <c r="H23" s="189"/>
      <c r="I23" s="190">
        <f t="shared" si="0"/>
        <v>8617.7999999999993</v>
      </c>
    </row>
    <row r="24" spans="1:9" ht="15" customHeight="1">
      <c r="A24" s="80">
        <v>2021</v>
      </c>
      <c r="B24" s="81">
        <f t="shared" si="2"/>
        <v>8428</v>
      </c>
      <c r="C24" s="82">
        <f t="shared" si="1"/>
        <v>19</v>
      </c>
      <c r="D24" s="69"/>
      <c r="E24" s="69"/>
      <c r="F24" s="69"/>
      <c r="G24" s="69"/>
      <c r="H24" s="69"/>
      <c r="I24" s="70">
        <f t="shared" si="0"/>
        <v>8428.4</v>
      </c>
    </row>
    <row r="25" spans="1:9" ht="15" customHeight="1">
      <c r="A25" s="80">
        <v>2022</v>
      </c>
      <c r="B25" s="81">
        <f t="shared" si="2"/>
        <v>8239</v>
      </c>
      <c r="C25" s="82">
        <f t="shared" si="1"/>
        <v>20</v>
      </c>
      <c r="D25" s="69"/>
      <c r="E25" s="69"/>
      <c r="F25" s="69"/>
      <c r="G25" s="69"/>
      <c r="H25" s="69"/>
      <c r="I25" s="70">
        <f t="shared" si="0"/>
        <v>8239</v>
      </c>
    </row>
    <row r="26" spans="1:9" ht="15" customHeight="1">
      <c r="A26" s="80">
        <v>2023</v>
      </c>
      <c r="B26" s="81">
        <f t="shared" si="2"/>
        <v>8050</v>
      </c>
      <c r="C26" s="82">
        <f t="shared" si="1"/>
        <v>21</v>
      </c>
      <c r="D26" s="69"/>
      <c r="E26" s="69"/>
      <c r="F26" s="69"/>
      <c r="G26" s="69"/>
      <c r="H26" s="69"/>
      <c r="I26" s="70">
        <f t="shared" si="0"/>
        <v>8049.6</v>
      </c>
    </row>
    <row r="27" spans="1:9" ht="15" customHeight="1">
      <c r="A27" s="80">
        <v>2024</v>
      </c>
      <c r="B27" s="81">
        <f t="shared" si="2"/>
        <v>7860</v>
      </c>
      <c r="C27" s="67">
        <f t="shared" si="1"/>
        <v>22</v>
      </c>
      <c r="D27" s="83"/>
      <c r="E27" s="69"/>
      <c r="F27" s="69"/>
      <c r="G27" s="69"/>
      <c r="H27" s="84"/>
      <c r="I27" s="70">
        <f t="shared" si="0"/>
        <v>7860.2</v>
      </c>
    </row>
    <row r="28" spans="1:9" ht="15" customHeight="1">
      <c r="A28" s="191">
        <v>2025</v>
      </c>
      <c r="B28" s="192">
        <f t="shared" si="2"/>
        <v>7671</v>
      </c>
      <c r="C28" s="193">
        <f t="shared" si="1"/>
        <v>23</v>
      </c>
      <c r="D28" s="194"/>
      <c r="E28" s="195"/>
      <c r="F28" s="195"/>
      <c r="G28" s="195"/>
      <c r="H28" s="196"/>
      <c r="I28" s="197">
        <f t="shared" si="0"/>
        <v>7670.8</v>
      </c>
    </row>
    <row r="29" spans="1:9" ht="15" customHeight="1">
      <c r="A29" s="56" t="s">
        <v>78</v>
      </c>
      <c r="B29" s="92"/>
      <c r="I29" s="89"/>
    </row>
    <row r="30" spans="1:9" ht="15" customHeight="1">
      <c r="A30" s="58" t="s">
        <v>32</v>
      </c>
      <c r="B30" s="59" t="s">
        <v>40</v>
      </c>
      <c r="C30" s="59" t="s">
        <v>33</v>
      </c>
      <c r="D30" s="60"/>
      <c r="E30" s="60"/>
      <c r="F30" s="61"/>
      <c r="G30" s="62"/>
      <c r="H30" s="63" t="s">
        <v>266</v>
      </c>
      <c r="I30" s="64">
        <f>RSQ(I32:I37,B32:B37)</f>
        <v>0.87459954486628599</v>
      </c>
    </row>
    <row r="31" spans="1:9" ht="15" customHeight="1">
      <c r="A31" s="65">
        <v>2002</v>
      </c>
      <c r="B31" s="93">
        <f t="shared" ref="B31:B36" si="3">B5</f>
        <v>12027</v>
      </c>
      <c r="C31" s="67">
        <v>0</v>
      </c>
      <c r="D31" s="53"/>
      <c r="E31" s="53"/>
      <c r="F31" s="69"/>
      <c r="G31" s="264"/>
      <c r="H31" s="265"/>
      <c r="I31" s="94">
        <f t="shared" ref="I31:I54" si="4">$E$32*C31+$E$33</f>
        <v>11947.428571428572</v>
      </c>
    </row>
    <row r="32" spans="1:9" ht="15" customHeight="1">
      <c r="A32" s="65">
        <f t="shared" ref="A32:A37" si="5">A6</f>
        <v>2003</v>
      </c>
      <c r="B32" s="93">
        <f t="shared" si="3"/>
        <v>11848</v>
      </c>
      <c r="C32" s="67">
        <f>+C31+1</f>
        <v>1</v>
      </c>
      <c r="D32" s="53" t="s">
        <v>75</v>
      </c>
      <c r="E32" s="68">
        <f>INDEX(LINEST(B31:B36,C31:C36),1)</f>
        <v>-202.57142857142861</v>
      </c>
      <c r="F32" s="69"/>
      <c r="G32" s="53"/>
      <c r="H32" s="69"/>
      <c r="I32" s="70">
        <f t="shared" si="4"/>
        <v>11744.857142857143</v>
      </c>
    </row>
    <row r="33" spans="1:9" ht="15" customHeight="1">
      <c r="A33" s="65">
        <f t="shared" si="5"/>
        <v>2004</v>
      </c>
      <c r="B33" s="93">
        <f t="shared" si="3"/>
        <v>11403</v>
      </c>
      <c r="C33" s="67">
        <f t="shared" ref="C33:C54" si="6">C32+1</f>
        <v>2</v>
      </c>
      <c r="D33" s="53" t="s">
        <v>76</v>
      </c>
      <c r="E33" s="72">
        <f>INDEX(LINEST(B31:B36,C31:C36),2)</f>
        <v>11947.428571428572</v>
      </c>
      <c r="F33" s="69"/>
      <c r="G33" s="53"/>
      <c r="H33" s="69"/>
      <c r="I33" s="70">
        <f t="shared" si="4"/>
        <v>11542.285714285716</v>
      </c>
    </row>
    <row r="34" spans="1:9" ht="15" customHeight="1">
      <c r="A34" s="65">
        <f t="shared" si="5"/>
        <v>2005</v>
      </c>
      <c r="B34" s="93">
        <f t="shared" si="3"/>
        <v>11136</v>
      </c>
      <c r="C34" s="67">
        <f t="shared" si="6"/>
        <v>3</v>
      </c>
      <c r="D34" s="53" t="s">
        <v>77</v>
      </c>
      <c r="E34" s="73">
        <f>I30</f>
        <v>0.87459954486628599</v>
      </c>
      <c r="F34" s="69"/>
      <c r="G34" s="53"/>
      <c r="H34" s="69"/>
      <c r="I34" s="70">
        <f t="shared" si="4"/>
        <v>11339.714285714286</v>
      </c>
    </row>
    <row r="35" spans="1:9" ht="15" customHeight="1">
      <c r="A35" s="65">
        <f t="shared" si="5"/>
        <v>2006</v>
      </c>
      <c r="B35" s="93">
        <f t="shared" si="3"/>
        <v>11152</v>
      </c>
      <c r="C35" s="67">
        <f t="shared" si="6"/>
        <v>4</v>
      </c>
      <c r="D35" s="53"/>
      <c r="E35" s="53"/>
      <c r="F35" s="69"/>
      <c r="G35" s="53"/>
      <c r="H35" s="69"/>
      <c r="I35" s="70">
        <f t="shared" si="4"/>
        <v>11137.142857142859</v>
      </c>
    </row>
    <row r="36" spans="1:9" ht="15" customHeight="1" thickBot="1">
      <c r="A36" s="97">
        <f t="shared" si="5"/>
        <v>2007</v>
      </c>
      <c r="B36" s="98">
        <f t="shared" si="3"/>
        <v>11080</v>
      </c>
      <c r="C36" s="99">
        <f t="shared" si="6"/>
        <v>5</v>
      </c>
      <c r="D36" s="101" t="s">
        <v>73</v>
      </c>
      <c r="E36" s="101"/>
      <c r="F36" s="100"/>
      <c r="G36" s="270"/>
      <c r="H36" s="100"/>
      <c r="I36" s="102">
        <f t="shared" si="4"/>
        <v>10934.571428571429</v>
      </c>
    </row>
    <row r="37" spans="1:9" ht="15" customHeight="1" thickTop="1">
      <c r="A37" s="255">
        <f t="shared" si="5"/>
        <v>2008</v>
      </c>
      <c r="B37" s="81">
        <f t="shared" ref="B37:B54" si="7">ROUND(E$32*C37+E$33,0)</f>
        <v>10732</v>
      </c>
      <c r="C37" s="77">
        <f t="shared" si="6"/>
        <v>6</v>
      </c>
      <c r="D37" s="256"/>
      <c r="E37" s="256"/>
      <c r="F37" s="78"/>
      <c r="G37" s="256"/>
      <c r="H37" s="78"/>
      <c r="I37" s="79">
        <f t="shared" si="4"/>
        <v>10732</v>
      </c>
    </row>
    <row r="38" spans="1:9" ht="15" customHeight="1">
      <c r="A38" s="80">
        <v>2009</v>
      </c>
      <c r="B38" s="81">
        <f t="shared" si="7"/>
        <v>10529</v>
      </c>
      <c r="C38" s="67">
        <f t="shared" si="6"/>
        <v>7</v>
      </c>
      <c r="D38" s="69"/>
      <c r="E38" s="69"/>
      <c r="F38" s="69"/>
      <c r="G38" s="69"/>
      <c r="H38" s="69"/>
      <c r="I38" s="70">
        <f t="shared" si="4"/>
        <v>10529.428571428572</v>
      </c>
    </row>
    <row r="39" spans="1:9" ht="15" customHeight="1">
      <c r="A39" s="186">
        <v>2010</v>
      </c>
      <c r="B39" s="187">
        <f t="shared" si="7"/>
        <v>10327</v>
      </c>
      <c r="C39" s="188">
        <f t="shared" si="6"/>
        <v>8</v>
      </c>
      <c r="D39" s="189"/>
      <c r="E39" s="189"/>
      <c r="F39" s="189"/>
      <c r="G39" s="189"/>
      <c r="H39" s="189"/>
      <c r="I39" s="190">
        <f t="shared" si="4"/>
        <v>10326.857142857143</v>
      </c>
    </row>
    <row r="40" spans="1:9" ht="15" customHeight="1">
      <c r="A40" s="80">
        <v>2011</v>
      </c>
      <c r="B40" s="81">
        <f t="shared" si="7"/>
        <v>10124</v>
      </c>
      <c r="C40" s="82">
        <f t="shared" si="6"/>
        <v>9</v>
      </c>
      <c r="D40" s="69"/>
      <c r="E40" s="69"/>
      <c r="F40" s="69"/>
      <c r="G40" s="69"/>
      <c r="H40" s="69"/>
      <c r="I40" s="70">
        <f t="shared" si="4"/>
        <v>10124.285714285716</v>
      </c>
    </row>
    <row r="41" spans="1:9" ht="15" customHeight="1">
      <c r="A41" s="80">
        <v>2012</v>
      </c>
      <c r="B41" s="81">
        <f t="shared" si="7"/>
        <v>9922</v>
      </c>
      <c r="C41" s="82">
        <f t="shared" si="6"/>
        <v>10</v>
      </c>
      <c r="D41" s="69"/>
      <c r="E41" s="69"/>
      <c r="F41" s="69"/>
      <c r="G41" s="69"/>
      <c r="H41" s="69"/>
      <c r="I41" s="70">
        <f t="shared" si="4"/>
        <v>9921.7142857142862</v>
      </c>
    </row>
    <row r="42" spans="1:9" ht="15" customHeight="1">
      <c r="A42" s="80">
        <v>2013</v>
      </c>
      <c r="B42" s="81">
        <f t="shared" si="7"/>
        <v>9719</v>
      </c>
      <c r="C42" s="82">
        <f t="shared" si="6"/>
        <v>11</v>
      </c>
      <c r="D42" s="69"/>
      <c r="E42" s="69"/>
      <c r="F42" s="69"/>
      <c r="G42" s="69"/>
      <c r="H42" s="69"/>
      <c r="I42" s="70">
        <f t="shared" si="4"/>
        <v>9719.1428571428587</v>
      </c>
    </row>
    <row r="43" spans="1:9" ht="15" customHeight="1">
      <c r="A43" s="80">
        <v>2014</v>
      </c>
      <c r="B43" s="81">
        <f t="shared" si="7"/>
        <v>9517</v>
      </c>
      <c r="C43" s="82">
        <f t="shared" si="6"/>
        <v>12</v>
      </c>
      <c r="D43" s="69"/>
      <c r="E43" s="69"/>
      <c r="F43" s="69"/>
      <c r="G43" s="69"/>
      <c r="H43" s="69"/>
      <c r="I43" s="70">
        <f t="shared" si="4"/>
        <v>9516.5714285714294</v>
      </c>
    </row>
    <row r="44" spans="1:9" ht="15" customHeight="1">
      <c r="A44" s="186">
        <v>2015</v>
      </c>
      <c r="B44" s="187">
        <f t="shared" si="7"/>
        <v>9314</v>
      </c>
      <c r="C44" s="188">
        <f t="shared" si="6"/>
        <v>13</v>
      </c>
      <c r="D44" s="189"/>
      <c r="E44" s="189"/>
      <c r="F44" s="189"/>
      <c r="G44" s="189"/>
      <c r="H44" s="189"/>
      <c r="I44" s="190">
        <f t="shared" si="4"/>
        <v>9314</v>
      </c>
    </row>
    <row r="45" spans="1:9" ht="15" customHeight="1">
      <c r="A45" s="80">
        <v>2016</v>
      </c>
      <c r="B45" s="81">
        <f t="shared" si="7"/>
        <v>9111</v>
      </c>
      <c r="C45" s="82">
        <f t="shared" si="6"/>
        <v>14</v>
      </c>
      <c r="D45" s="69"/>
      <c r="E45" s="69"/>
      <c r="F45" s="69"/>
      <c r="G45" s="69"/>
      <c r="H45" s="69"/>
      <c r="I45" s="70">
        <f t="shared" si="4"/>
        <v>9111.4285714285725</v>
      </c>
    </row>
    <row r="46" spans="1:9" ht="15" customHeight="1">
      <c r="A46" s="80">
        <v>2017</v>
      </c>
      <c r="B46" s="81">
        <f t="shared" si="7"/>
        <v>8909</v>
      </c>
      <c r="C46" s="82">
        <f t="shared" si="6"/>
        <v>15</v>
      </c>
      <c r="D46" s="69"/>
      <c r="E46" s="69"/>
      <c r="F46" s="69"/>
      <c r="G46" s="69"/>
      <c r="H46" s="69"/>
      <c r="I46" s="70">
        <f t="shared" si="4"/>
        <v>8908.8571428571431</v>
      </c>
    </row>
    <row r="47" spans="1:9" ht="15" customHeight="1">
      <c r="A47" s="80">
        <v>2018</v>
      </c>
      <c r="B47" s="81">
        <f t="shared" si="7"/>
        <v>8706</v>
      </c>
      <c r="C47" s="82">
        <f t="shared" si="6"/>
        <v>16</v>
      </c>
      <c r="D47" s="69"/>
      <c r="E47" s="69"/>
      <c r="F47" s="69"/>
      <c r="G47" s="69"/>
      <c r="H47" s="69"/>
      <c r="I47" s="70">
        <f t="shared" si="4"/>
        <v>8706.2857142857138</v>
      </c>
    </row>
    <row r="48" spans="1:9" ht="15" customHeight="1">
      <c r="A48" s="80">
        <v>2019</v>
      </c>
      <c r="B48" s="81">
        <f t="shared" si="7"/>
        <v>8504</v>
      </c>
      <c r="C48" s="82">
        <f t="shared" si="6"/>
        <v>17</v>
      </c>
      <c r="D48" s="69"/>
      <c r="E48" s="69"/>
      <c r="F48" s="69"/>
      <c r="G48" s="69"/>
      <c r="H48" s="69"/>
      <c r="I48" s="70">
        <f t="shared" si="4"/>
        <v>8503.7142857142862</v>
      </c>
    </row>
    <row r="49" spans="1:11" ht="15" customHeight="1">
      <c r="A49" s="186">
        <v>2020</v>
      </c>
      <c r="B49" s="187">
        <f t="shared" si="7"/>
        <v>8301</v>
      </c>
      <c r="C49" s="188">
        <f t="shared" si="6"/>
        <v>18</v>
      </c>
      <c r="D49" s="189"/>
      <c r="E49" s="189"/>
      <c r="F49" s="189"/>
      <c r="G49" s="189"/>
      <c r="H49" s="189"/>
      <c r="I49" s="190">
        <f t="shared" si="4"/>
        <v>8301.1428571428569</v>
      </c>
    </row>
    <row r="50" spans="1:11" ht="15" customHeight="1">
      <c r="A50" s="80">
        <v>2021</v>
      </c>
      <c r="B50" s="81">
        <f t="shared" si="7"/>
        <v>8099</v>
      </c>
      <c r="C50" s="82">
        <f t="shared" si="6"/>
        <v>19</v>
      </c>
      <c r="D50" s="69"/>
      <c r="E50" s="69"/>
      <c r="F50" s="69"/>
      <c r="G50" s="69"/>
      <c r="H50" s="69"/>
      <c r="I50" s="70">
        <f t="shared" si="4"/>
        <v>8098.5714285714294</v>
      </c>
    </row>
    <row r="51" spans="1:11" ht="15" customHeight="1">
      <c r="A51" s="80">
        <v>2022</v>
      </c>
      <c r="B51" s="81">
        <f t="shared" si="7"/>
        <v>7896</v>
      </c>
      <c r="C51" s="82">
        <f t="shared" si="6"/>
        <v>20</v>
      </c>
      <c r="D51" s="69"/>
      <c r="E51" s="69"/>
      <c r="F51" s="69"/>
      <c r="G51" s="69"/>
      <c r="H51" s="69"/>
      <c r="I51" s="70">
        <f t="shared" si="4"/>
        <v>7896</v>
      </c>
    </row>
    <row r="52" spans="1:11" ht="15" customHeight="1">
      <c r="A52" s="80">
        <v>2023</v>
      </c>
      <c r="B52" s="81">
        <f t="shared" si="7"/>
        <v>7693</v>
      </c>
      <c r="C52" s="82">
        <f t="shared" si="6"/>
        <v>21</v>
      </c>
      <c r="D52" s="69"/>
      <c r="E52" s="69"/>
      <c r="F52" s="69"/>
      <c r="G52" s="69"/>
      <c r="H52" s="69"/>
      <c r="I52" s="70">
        <f t="shared" si="4"/>
        <v>7693.4285714285716</v>
      </c>
    </row>
    <row r="53" spans="1:11" ht="15" customHeight="1">
      <c r="A53" s="80">
        <v>2024</v>
      </c>
      <c r="B53" s="81">
        <f t="shared" si="7"/>
        <v>7491</v>
      </c>
      <c r="C53" s="67">
        <f t="shared" si="6"/>
        <v>22</v>
      </c>
      <c r="D53" s="69"/>
      <c r="E53" s="69"/>
      <c r="F53" s="69"/>
      <c r="G53" s="69"/>
      <c r="H53" s="69"/>
      <c r="I53" s="70">
        <f t="shared" si="4"/>
        <v>7490.8571428571431</v>
      </c>
    </row>
    <row r="54" spans="1:11" ht="15" customHeight="1">
      <c r="A54" s="191">
        <v>2025</v>
      </c>
      <c r="B54" s="192">
        <f t="shared" si="7"/>
        <v>7288</v>
      </c>
      <c r="C54" s="193">
        <f t="shared" si="6"/>
        <v>23</v>
      </c>
      <c r="D54" s="195"/>
      <c r="E54" s="195"/>
      <c r="F54" s="195"/>
      <c r="G54" s="195"/>
      <c r="H54" s="195"/>
      <c r="I54" s="197">
        <f t="shared" si="4"/>
        <v>7288.2857142857147</v>
      </c>
    </row>
    <row r="55" spans="1:11" ht="15" customHeight="1">
      <c r="A55" s="56" t="s">
        <v>79</v>
      </c>
      <c r="B55" s="57"/>
    </row>
    <row r="56" spans="1:11" ht="15" customHeight="1">
      <c r="A56" s="58" t="s">
        <v>32</v>
      </c>
      <c r="B56" s="59" t="s">
        <v>40</v>
      </c>
      <c r="C56" s="59" t="s">
        <v>34</v>
      </c>
      <c r="D56" s="59" t="s">
        <v>33</v>
      </c>
      <c r="E56" s="103"/>
      <c r="F56" s="60"/>
      <c r="G56" s="61"/>
      <c r="H56" s="63" t="s">
        <v>266</v>
      </c>
      <c r="I56" s="64">
        <f>RSQ(I58:I63,B58:B63)</f>
        <v>0.84096297084970251</v>
      </c>
    </row>
    <row r="57" spans="1:11" ht="15" customHeight="1">
      <c r="A57" s="65">
        <v>2002</v>
      </c>
      <c r="B57" s="104">
        <f t="shared" ref="B57:B62" si="8">B5</f>
        <v>12027</v>
      </c>
      <c r="C57" s="105">
        <f t="shared" ref="C57:C80" si="9">LN(B57)</f>
        <v>9.3949094013106169</v>
      </c>
      <c r="D57" s="67">
        <v>0</v>
      </c>
      <c r="E57" s="106"/>
      <c r="F57" s="53"/>
      <c r="G57" s="69"/>
      <c r="H57" s="265"/>
      <c r="I57" s="109">
        <f t="shared" ref="I57:I80" si="10">ROUND($F$59*(1+$F$58)^(D57),1)</f>
        <v>12027</v>
      </c>
    </row>
    <row r="58" spans="1:11" ht="15" customHeight="1">
      <c r="A58" s="65">
        <f t="shared" ref="A58:A63" si="11">A6</f>
        <v>2003</v>
      </c>
      <c r="B58" s="104">
        <f t="shared" si="8"/>
        <v>11848</v>
      </c>
      <c r="C58" s="105">
        <f t="shared" si="9"/>
        <v>9.3799143559476352</v>
      </c>
      <c r="D58" s="67">
        <f>+D57+1</f>
        <v>1</v>
      </c>
      <c r="E58" s="106" t="s">
        <v>37</v>
      </c>
      <c r="F58" s="73">
        <f>ROUND((B62/B57)^(1/D62)-1,5)</f>
        <v>-1.627E-2</v>
      </c>
      <c r="G58" s="107"/>
      <c r="H58" s="108"/>
      <c r="I58" s="109">
        <f t="shared" si="10"/>
        <v>11831.3</v>
      </c>
    </row>
    <row r="59" spans="1:11" ht="15" customHeight="1">
      <c r="A59" s="65">
        <f t="shared" si="11"/>
        <v>2004</v>
      </c>
      <c r="B59" s="104">
        <f t="shared" si="8"/>
        <v>11403</v>
      </c>
      <c r="C59" s="105">
        <f t="shared" si="9"/>
        <v>9.3416317576573586</v>
      </c>
      <c r="D59" s="67">
        <f t="shared" ref="D59:D80" si="12">D58+1</f>
        <v>2</v>
      </c>
      <c r="E59" s="106" t="s">
        <v>80</v>
      </c>
      <c r="F59" s="110">
        <f>B57</f>
        <v>12027</v>
      </c>
      <c r="G59" s="107"/>
      <c r="H59" s="108"/>
      <c r="I59" s="109">
        <f t="shared" si="10"/>
        <v>11638.8</v>
      </c>
      <c r="K59" s="111"/>
    </row>
    <row r="60" spans="1:11" ht="15" customHeight="1">
      <c r="A60" s="65">
        <f t="shared" si="11"/>
        <v>2005</v>
      </c>
      <c r="B60" s="104">
        <f t="shared" si="8"/>
        <v>11136</v>
      </c>
      <c r="C60" s="105">
        <f t="shared" si="9"/>
        <v>9.3179383825742015</v>
      </c>
      <c r="D60" s="67">
        <f t="shared" si="12"/>
        <v>3</v>
      </c>
      <c r="E60" s="106" t="s">
        <v>77</v>
      </c>
      <c r="F60" s="73">
        <f>I56</f>
        <v>0.84096297084970251</v>
      </c>
      <c r="G60" s="108"/>
      <c r="H60" s="108"/>
      <c r="I60" s="109">
        <f t="shared" si="10"/>
        <v>11449.5</v>
      </c>
    </row>
    <row r="61" spans="1:11" ht="15" customHeight="1">
      <c r="A61" s="65">
        <f t="shared" si="11"/>
        <v>2006</v>
      </c>
      <c r="B61" s="104">
        <f t="shared" si="8"/>
        <v>11152</v>
      </c>
      <c r="C61" s="105">
        <f t="shared" si="9"/>
        <v>9.3193741330003057</v>
      </c>
      <c r="D61" s="67">
        <f t="shared" si="12"/>
        <v>4</v>
      </c>
      <c r="E61" s="106"/>
      <c r="F61" s="73"/>
      <c r="G61" s="108"/>
      <c r="H61" s="108"/>
      <c r="I61" s="109">
        <f t="shared" si="10"/>
        <v>11263.2</v>
      </c>
    </row>
    <row r="62" spans="1:11" ht="15" customHeight="1" thickBot="1">
      <c r="A62" s="97">
        <f t="shared" si="11"/>
        <v>2007</v>
      </c>
      <c r="B62" s="116">
        <f t="shared" si="8"/>
        <v>11080</v>
      </c>
      <c r="C62" s="117">
        <f t="shared" si="9"/>
        <v>9.3128969603012752</v>
      </c>
      <c r="D62" s="99">
        <f t="shared" si="12"/>
        <v>5</v>
      </c>
      <c r="E62" s="205" t="s">
        <v>81</v>
      </c>
      <c r="F62" s="271"/>
      <c r="G62" s="118"/>
      <c r="H62" s="118"/>
      <c r="I62" s="120">
        <f t="shared" si="10"/>
        <v>11079.9</v>
      </c>
    </row>
    <row r="63" spans="1:11" ht="15" customHeight="1" thickTop="1">
      <c r="A63" s="255">
        <f t="shared" si="11"/>
        <v>2008</v>
      </c>
      <c r="B63" s="81">
        <f t="shared" ref="B63:B80" si="13">ROUND(F$59*(1+F$58)^D63,0)</f>
        <v>10900</v>
      </c>
      <c r="C63" s="121">
        <f t="shared" si="9"/>
        <v>9.2965180682172353</v>
      </c>
      <c r="D63" s="77">
        <f t="shared" si="12"/>
        <v>6</v>
      </c>
      <c r="E63" s="272"/>
      <c r="F63" s="273"/>
      <c r="G63" s="259"/>
      <c r="H63" s="259"/>
      <c r="I63" s="123">
        <f t="shared" si="10"/>
        <v>10899.7</v>
      </c>
    </row>
    <row r="64" spans="1:11" ht="15" customHeight="1">
      <c r="A64" s="80">
        <v>2009</v>
      </c>
      <c r="B64" s="81">
        <f t="shared" si="13"/>
        <v>10722</v>
      </c>
      <c r="C64" s="105">
        <f t="shared" si="9"/>
        <v>9.2800529843874831</v>
      </c>
      <c r="D64" s="67">
        <f t="shared" si="12"/>
        <v>7</v>
      </c>
      <c r="E64" s="83"/>
      <c r="F64" s="69"/>
      <c r="G64" s="69"/>
      <c r="H64" s="69"/>
      <c r="I64" s="109">
        <f t="shared" si="10"/>
        <v>10722.3</v>
      </c>
    </row>
    <row r="65" spans="1:9" ht="15" customHeight="1">
      <c r="A65" s="186">
        <v>2010</v>
      </c>
      <c r="B65" s="187">
        <f t="shared" si="13"/>
        <v>10548</v>
      </c>
      <c r="C65" s="198">
        <f t="shared" si="9"/>
        <v>9.2636915474731776</v>
      </c>
      <c r="D65" s="199">
        <f t="shared" si="12"/>
        <v>8</v>
      </c>
      <c r="E65" s="200"/>
      <c r="F65" s="189"/>
      <c r="G65" s="189"/>
      <c r="H65" s="189"/>
      <c r="I65" s="201">
        <f t="shared" si="10"/>
        <v>10547.9</v>
      </c>
    </row>
    <row r="66" spans="1:9" ht="15" customHeight="1">
      <c r="A66" s="80">
        <v>2011</v>
      </c>
      <c r="B66" s="81">
        <f t="shared" si="13"/>
        <v>10376</v>
      </c>
      <c r="C66" s="105">
        <f t="shared" si="9"/>
        <v>9.2472507259962793</v>
      </c>
      <c r="D66" s="67">
        <f t="shared" si="12"/>
        <v>9</v>
      </c>
      <c r="E66" s="83"/>
      <c r="F66" s="69"/>
      <c r="G66" s="69"/>
      <c r="H66" s="69"/>
      <c r="I66" s="109">
        <f t="shared" si="10"/>
        <v>10376.299999999999</v>
      </c>
    </row>
    <row r="67" spans="1:9" ht="15" customHeight="1">
      <c r="A67" s="80">
        <v>2012</v>
      </c>
      <c r="B67" s="81">
        <f t="shared" si="13"/>
        <v>10207</v>
      </c>
      <c r="C67" s="105">
        <f t="shared" si="9"/>
        <v>9.230829038403499</v>
      </c>
      <c r="D67" s="67">
        <f t="shared" si="12"/>
        <v>10</v>
      </c>
      <c r="E67" s="83"/>
      <c r="F67" s="69"/>
      <c r="G67" s="69"/>
      <c r="H67" s="69"/>
      <c r="I67" s="109">
        <f t="shared" si="10"/>
        <v>10207.4</v>
      </c>
    </row>
    <row r="68" spans="1:9" ht="15" customHeight="1">
      <c r="A68" s="80">
        <v>2013</v>
      </c>
      <c r="B68" s="81">
        <f t="shared" si="13"/>
        <v>10041</v>
      </c>
      <c r="C68" s="105">
        <f t="shared" si="9"/>
        <v>9.2144319898794365</v>
      </c>
      <c r="D68" s="67">
        <f t="shared" si="12"/>
        <v>11</v>
      </c>
      <c r="E68" s="83"/>
      <c r="F68" s="69"/>
      <c r="G68" s="69"/>
      <c r="H68" s="69"/>
      <c r="I68" s="109">
        <f t="shared" si="10"/>
        <v>10041.4</v>
      </c>
    </row>
    <row r="69" spans="1:9" ht="15" customHeight="1">
      <c r="A69" s="80">
        <v>2014</v>
      </c>
      <c r="B69" s="81">
        <f t="shared" si="13"/>
        <v>9878</v>
      </c>
      <c r="C69" s="105">
        <f t="shared" si="9"/>
        <v>9.1980653411005697</v>
      </c>
      <c r="D69" s="67">
        <f t="shared" si="12"/>
        <v>12</v>
      </c>
      <c r="E69" s="83"/>
      <c r="F69" s="69"/>
      <c r="G69" s="69"/>
      <c r="H69" s="69"/>
      <c r="I69" s="109">
        <f t="shared" si="10"/>
        <v>9878</v>
      </c>
    </row>
    <row r="70" spans="1:9" ht="15" customHeight="1">
      <c r="A70" s="186">
        <v>2015</v>
      </c>
      <c r="B70" s="187">
        <f t="shared" si="13"/>
        <v>9717</v>
      </c>
      <c r="C70" s="198">
        <f t="shared" si="9"/>
        <v>9.1816322078394386</v>
      </c>
      <c r="D70" s="199">
        <f t="shared" si="12"/>
        <v>13</v>
      </c>
      <c r="E70" s="200"/>
      <c r="F70" s="189"/>
      <c r="G70" s="189"/>
      <c r="H70" s="189"/>
      <c r="I70" s="201">
        <f t="shared" si="10"/>
        <v>9717.2999999999993</v>
      </c>
    </row>
    <row r="71" spans="1:9" ht="15" customHeight="1">
      <c r="A71" s="80">
        <v>2016</v>
      </c>
      <c r="B71" s="81">
        <f t="shared" si="13"/>
        <v>9559</v>
      </c>
      <c r="C71" s="105">
        <f t="shared" si="9"/>
        <v>9.1652383980637619</v>
      </c>
      <c r="D71" s="67">
        <f t="shared" si="12"/>
        <v>14</v>
      </c>
      <c r="E71" s="83"/>
      <c r="F71" s="69"/>
      <c r="G71" s="69"/>
      <c r="H71" s="69"/>
      <c r="I71" s="109">
        <f t="shared" si="10"/>
        <v>9559.2000000000007</v>
      </c>
    </row>
    <row r="72" spans="1:9" ht="15" customHeight="1">
      <c r="A72" s="80">
        <v>2017</v>
      </c>
      <c r="B72" s="81">
        <f t="shared" si="13"/>
        <v>9404</v>
      </c>
      <c r="C72" s="105">
        <f t="shared" si="9"/>
        <v>9.1488904096599608</v>
      </c>
      <c r="D72" s="67">
        <f t="shared" si="12"/>
        <v>15</v>
      </c>
      <c r="E72" s="83"/>
      <c r="F72" s="69"/>
      <c r="G72" s="69"/>
      <c r="H72" s="69"/>
      <c r="I72" s="109">
        <f t="shared" si="10"/>
        <v>9403.6</v>
      </c>
    </row>
    <row r="73" spans="1:9" ht="15" customHeight="1">
      <c r="A73" s="80">
        <v>2018</v>
      </c>
      <c r="B73" s="81">
        <f t="shared" si="13"/>
        <v>9251</v>
      </c>
      <c r="C73" s="105">
        <f t="shared" si="9"/>
        <v>9.1324869327713181</v>
      </c>
      <c r="D73" s="67">
        <f t="shared" si="12"/>
        <v>16</v>
      </c>
      <c r="E73" s="83"/>
      <c r="F73" s="69"/>
      <c r="G73" s="69"/>
      <c r="H73" s="69"/>
      <c r="I73" s="109">
        <f t="shared" si="10"/>
        <v>9250.6</v>
      </c>
    </row>
    <row r="74" spans="1:9" ht="15" customHeight="1">
      <c r="A74" s="80">
        <v>2019</v>
      </c>
      <c r="B74" s="81">
        <f t="shared" si="13"/>
        <v>9100</v>
      </c>
      <c r="C74" s="105">
        <f t="shared" si="9"/>
        <v>9.1160296925049416</v>
      </c>
      <c r="D74" s="67">
        <f t="shared" si="12"/>
        <v>17</v>
      </c>
      <c r="E74" s="83"/>
      <c r="F74" s="69"/>
      <c r="G74" s="69"/>
      <c r="H74" s="69"/>
      <c r="I74" s="109">
        <f t="shared" si="10"/>
        <v>9100.1</v>
      </c>
    </row>
    <row r="75" spans="1:9" ht="15" customHeight="1">
      <c r="A75" s="186">
        <v>2020</v>
      </c>
      <c r="B75" s="187">
        <f t="shared" si="13"/>
        <v>8952</v>
      </c>
      <c r="C75" s="198">
        <f t="shared" si="9"/>
        <v>9.0996322499917603</v>
      </c>
      <c r="D75" s="199">
        <f t="shared" si="12"/>
        <v>18</v>
      </c>
      <c r="E75" s="200"/>
      <c r="F75" s="189"/>
      <c r="G75" s="189"/>
      <c r="H75" s="189"/>
      <c r="I75" s="201">
        <f t="shared" si="10"/>
        <v>8952.1</v>
      </c>
    </row>
    <row r="76" spans="1:9" ht="15" customHeight="1">
      <c r="A76" s="80">
        <v>2021</v>
      </c>
      <c r="B76" s="81">
        <f t="shared" si="13"/>
        <v>8806</v>
      </c>
      <c r="C76" s="105">
        <f t="shared" si="9"/>
        <v>9.0831885863156998</v>
      </c>
      <c r="D76" s="67">
        <f t="shared" si="12"/>
        <v>19</v>
      </c>
      <c r="E76" s="83"/>
      <c r="F76" s="69"/>
      <c r="G76" s="69"/>
      <c r="H76" s="69"/>
      <c r="I76" s="109">
        <f t="shared" si="10"/>
        <v>8806.4</v>
      </c>
    </row>
    <row r="77" spans="1:9" ht="15" customHeight="1">
      <c r="A77" s="80">
        <v>2022</v>
      </c>
      <c r="B77" s="81">
        <f t="shared" si="13"/>
        <v>8663</v>
      </c>
      <c r="C77" s="105">
        <f t="shared" si="9"/>
        <v>9.0668163618901403</v>
      </c>
      <c r="D77" s="67">
        <f t="shared" si="12"/>
        <v>20</v>
      </c>
      <c r="E77" s="83"/>
      <c r="F77" s="69"/>
      <c r="G77" s="69"/>
      <c r="H77" s="69"/>
      <c r="I77" s="109">
        <f t="shared" si="10"/>
        <v>8663.1</v>
      </c>
    </row>
    <row r="78" spans="1:9" ht="15" customHeight="1">
      <c r="A78" s="80">
        <v>2023</v>
      </c>
      <c r="B78" s="81">
        <f t="shared" si="13"/>
        <v>8522</v>
      </c>
      <c r="C78" s="105">
        <f t="shared" si="9"/>
        <v>9.0504063340598577</v>
      </c>
      <c r="D78" s="67">
        <f t="shared" si="12"/>
        <v>21</v>
      </c>
      <c r="E78" s="83"/>
      <c r="F78" s="69"/>
      <c r="G78" s="69"/>
      <c r="H78" s="69"/>
      <c r="I78" s="109">
        <f t="shared" si="10"/>
        <v>8522.2000000000007</v>
      </c>
    </row>
    <row r="79" spans="1:9" ht="15" customHeight="1">
      <c r="A79" s="80">
        <v>2024</v>
      </c>
      <c r="B79" s="81">
        <f t="shared" si="13"/>
        <v>8384</v>
      </c>
      <c r="C79" s="105">
        <f t="shared" si="9"/>
        <v>9.0340804065608236</v>
      </c>
      <c r="D79" s="67">
        <f t="shared" si="12"/>
        <v>22</v>
      </c>
      <c r="E79" s="69"/>
      <c r="F79" s="69"/>
      <c r="G79" s="69"/>
      <c r="H79" s="69"/>
      <c r="I79" s="109">
        <f t="shared" si="10"/>
        <v>8383.5</v>
      </c>
    </row>
    <row r="80" spans="1:9" ht="15" customHeight="1">
      <c r="A80" s="191">
        <v>2025</v>
      </c>
      <c r="B80" s="192">
        <f t="shared" si="13"/>
        <v>8247</v>
      </c>
      <c r="C80" s="202">
        <f t="shared" si="9"/>
        <v>9.0176047768333554</v>
      </c>
      <c r="D80" s="193">
        <f t="shared" si="12"/>
        <v>23</v>
      </c>
      <c r="E80" s="195"/>
      <c r="F80" s="195"/>
      <c r="G80" s="195"/>
      <c r="H80" s="195"/>
      <c r="I80" s="203">
        <f t="shared" si="10"/>
        <v>8247.1</v>
      </c>
    </row>
    <row r="81" spans="1:9" ht="15" customHeight="1">
      <c r="A81" s="56" t="s">
        <v>82</v>
      </c>
      <c r="B81" s="57"/>
    </row>
    <row r="82" spans="1:9" ht="15" customHeight="1">
      <c r="A82" s="58" t="s">
        <v>32</v>
      </c>
      <c r="B82" s="59" t="s">
        <v>40</v>
      </c>
      <c r="C82" s="59" t="s">
        <v>83</v>
      </c>
      <c r="D82" s="59" t="s">
        <v>33</v>
      </c>
      <c r="E82" s="59" t="s">
        <v>35</v>
      </c>
      <c r="F82" s="103"/>
      <c r="G82" s="60"/>
      <c r="H82" s="63" t="s">
        <v>266</v>
      </c>
      <c r="I82" s="64" t="e">
        <f>RSQ(I83:I88,B83:B88)</f>
        <v>#VALUE!</v>
      </c>
    </row>
    <row r="83" spans="1:9" ht="15" customHeight="1">
      <c r="A83" s="65">
        <v>2002</v>
      </c>
      <c r="B83" s="104">
        <f t="shared" ref="B83:B88" si="14">B5</f>
        <v>12027</v>
      </c>
      <c r="C83" s="67"/>
      <c r="D83" s="67">
        <v>0</v>
      </c>
      <c r="E83" s="67"/>
      <c r="F83" s="106"/>
      <c r="G83" s="53"/>
      <c r="H83" s="265"/>
      <c r="I83" s="277" t="e">
        <f>$B$83+$G$88*D83^$G$84</f>
        <v>#VALUE!</v>
      </c>
    </row>
    <row r="84" spans="1:9" ht="15" customHeight="1">
      <c r="A84" s="65">
        <f t="shared" ref="A84:A89" si="15">A6</f>
        <v>2003</v>
      </c>
      <c r="B84" s="104">
        <f t="shared" si="14"/>
        <v>11848</v>
      </c>
      <c r="C84" s="126" t="e">
        <f>LN(-B$83+B84)</f>
        <v>#NUM!</v>
      </c>
      <c r="D84" s="67">
        <f>+D83+1</f>
        <v>1</v>
      </c>
      <c r="E84" s="67">
        <f>LN(D84)</f>
        <v>0</v>
      </c>
      <c r="F84" s="106" t="s">
        <v>75</v>
      </c>
      <c r="G84" s="73" t="e">
        <f>INDEX(LINEST(C84:C88,E84:E88),1)</f>
        <v>#VALUE!</v>
      </c>
      <c r="H84" s="127"/>
      <c r="I84" s="278" t="e">
        <f>$B$83+$G$88*D84^$G$84</f>
        <v>#VALUE!</v>
      </c>
    </row>
    <row r="85" spans="1:9" ht="15" customHeight="1">
      <c r="A85" s="65">
        <f t="shared" si="15"/>
        <v>2004</v>
      </c>
      <c r="B85" s="104">
        <f t="shared" si="14"/>
        <v>11403</v>
      </c>
      <c r="C85" s="126" t="e">
        <f>LN(-B$83+B85)</f>
        <v>#NUM!</v>
      </c>
      <c r="D85" s="67">
        <f t="shared" ref="D85:D106" si="16">D84+1</f>
        <v>2</v>
      </c>
      <c r="E85" s="67">
        <f>LN(D85)</f>
        <v>0.69314718055994529</v>
      </c>
      <c r="F85" s="106" t="s">
        <v>76</v>
      </c>
      <c r="G85" s="73" t="e">
        <f>INDEX(LINEST(C84:C88,E84:E88),2)</f>
        <v>#VALUE!</v>
      </c>
      <c r="H85" s="129" t="s">
        <v>306</v>
      </c>
      <c r="I85" s="128" t="e">
        <f t="shared" ref="I85:I106" si="17">$B$84+$G$88*D85^$G$84</f>
        <v>#VALUE!</v>
      </c>
    </row>
    <row r="86" spans="1:9" ht="15" customHeight="1">
      <c r="A86" s="65">
        <f t="shared" si="15"/>
        <v>2005</v>
      </c>
      <c r="B86" s="104">
        <f t="shared" si="14"/>
        <v>11136</v>
      </c>
      <c r="C86" s="126" t="e">
        <f>LN(-B$83+B86)</f>
        <v>#NUM!</v>
      </c>
      <c r="D86" s="67">
        <f t="shared" si="16"/>
        <v>3</v>
      </c>
      <c r="E86" s="67">
        <f>LN(D86)</f>
        <v>1.0986122886681098</v>
      </c>
      <c r="F86" s="69"/>
      <c r="G86" s="130"/>
      <c r="H86" s="127"/>
      <c r="I86" s="128" t="e">
        <f t="shared" si="17"/>
        <v>#VALUE!</v>
      </c>
    </row>
    <row r="87" spans="1:9" ht="15" customHeight="1">
      <c r="A87" s="65">
        <f t="shared" si="15"/>
        <v>2006</v>
      </c>
      <c r="B87" s="104">
        <f t="shared" si="14"/>
        <v>11152</v>
      </c>
      <c r="C87" s="126" t="e">
        <f>LN(-B$83+B87)</f>
        <v>#NUM!</v>
      </c>
      <c r="D87" s="67">
        <f t="shared" si="16"/>
        <v>4</v>
      </c>
      <c r="E87" s="67">
        <f>LN(D87)</f>
        <v>1.3862943611198906</v>
      </c>
      <c r="F87" s="106" t="s">
        <v>77</v>
      </c>
      <c r="G87" s="73" t="e">
        <f>I82</f>
        <v>#VALUE!</v>
      </c>
      <c r="H87" s="127"/>
      <c r="I87" s="128" t="e">
        <f t="shared" si="17"/>
        <v>#VALUE!</v>
      </c>
    </row>
    <row r="88" spans="1:9" ht="15" customHeight="1" thickBot="1">
      <c r="A88" s="97">
        <f t="shared" si="15"/>
        <v>2007</v>
      </c>
      <c r="B88" s="116">
        <f t="shared" si="14"/>
        <v>11080</v>
      </c>
      <c r="C88" s="141" t="e">
        <f>LN(-B$83+B88)</f>
        <v>#NUM!</v>
      </c>
      <c r="D88" s="99">
        <f t="shared" si="16"/>
        <v>5</v>
      </c>
      <c r="E88" s="99">
        <f>LN(D88)</f>
        <v>1.6094379124341003</v>
      </c>
      <c r="F88" s="205" t="s">
        <v>38</v>
      </c>
      <c r="G88" s="274" t="e">
        <f>EXP(G85)</f>
        <v>#VALUE!</v>
      </c>
      <c r="H88" s="143"/>
      <c r="I88" s="144" t="e">
        <f t="shared" si="17"/>
        <v>#VALUE!</v>
      </c>
    </row>
    <row r="89" spans="1:9" ht="15" customHeight="1" thickTop="1">
      <c r="A89" s="255">
        <f t="shared" si="15"/>
        <v>2008</v>
      </c>
      <c r="B89" s="81" t="e">
        <f t="shared" ref="B89:B106" si="18">ROUND(LOOKUP(0,D$83:D$88,B$83:B$88)+G$88*D89^G$84,0)</f>
        <v>#VALUE!</v>
      </c>
      <c r="C89" s="257"/>
      <c r="D89" s="77">
        <f t="shared" si="16"/>
        <v>6</v>
      </c>
      <c r="E89" s="77"/>
      <c r="F89" s="275"/>
      <c r="G89" s="256"/>
      <c r="H89" s="258"/>
      <c r="I89" s="133" t="e">
        <f t="shared" si="17"/>
        <v>#VALUE!</v>
      </c>
    </row>
    <row r="90" spans="1:9" ht="15" customHeight="1">
      <c r="A90" s="80">
        <v>2009</v>
      </c>
      <c r="B90" s="81" t="e">
        <f t="shared" si="18"/>
        <v>#VALUE!</v>
      </c>
      <c r="C90" s="126"/>
      <c r="D90" s="67">
        <f t="shared" si="16"/>
        <v>7</v>
      </c>
      <c r="E90" s="67"/>
      <c r="F90" s="83"/>
      <c r="G90" s="69"/>
      <c r="H90" s="84"/>
      <c r="I90" s="128" t="e">
        <f t="shared" si="17"/>
        <v>#VALUE!</v>
      </c>
    </row>
    <row r="91" spans="1:9" ht="15" customHeight="1">
      <c r="A91" s="80">
        <v>2010</v>
      </c>
      <c r="B91" s="81" t="e">
        <f t="shared" si="18"/>
        <v>#VALUE!</v>
      </c>
      <c r="C91" s="126"/>
      <c r="D91" s="67">
        <f t="shared" si="16"/>
        <v>8</v>
      </c>
      <c r="E91" s="67"/>
      <c r="F91" s="83"/>
      <c r="G91" s="69"/>
      <c r="H91" s="84"/>
      <c r="I91" s="128" t="e">
        <f t="shared" si="17"/>
        <v>#VALUE!</v>
      </c>
    </row>
    <row r="92" spans="1:9" ht="15" customHeight="1">
      <c r="A92" s="80">
        <v>2011</v>
      </c>
      <c r="B92" s="81" t="e">
        <f t="shared" si="18"/>
        <v>#VALUE!</v>
      </c>
      <c r="C92" s="126"/>
      <c r="D92" s="67">
        <f t="shared" si="16"/>
        <v>9</v>
      </c>
      <c r="E92" s="67"/>
      <c r="F92" s="83"/>
      <c r="G92" s="69"/>
      <c r="H92" s="84"/>
      <c r="I92" s="128" t="e">
        <f t="shared" si="17"/>
        <v>#VALUE!</v>
      </c>
    </row>
    <row r="93" spans="1:9" ht="15" customHeight="1">
      <c r="A93" s="80">
        <v>2012</v>
      </c>
      <c r="B93" s="81" t="e">
        <f t="shared" si="18"/>
        <v>#VALUE!</v>
      </c>
      <c r="C93" s="126"/>
      <c r="D93" s="67">
        <f t="shared" si="16"/>
        <v>10</v>
      </c>
      <c r="E93" s="67"/>
      <c r="F93" s="83"/>
      <c r="G93" s="69"/>
      <c r="H93" s="84"/>
      <c r="I93" s="128" t="e">
        <f t="shared" si="17"/>
        <v>#VALUE!</v>
      </c>
    </row>
    <row r="94" spans="1:9" ht="15" customHeight="1">
      <c r="A94" s="80">
        <v>2013</v>
      </c>
      <c r="B94" s="81" t="e">
        <f t="shared" si="18"/>
        <v>#VALUE!</v>
      </c>
      <c r="C94" s="126"/>
      <c r="D94" s="67">
        <f t="shared" si="16"/>
        <v>11</v>
      </c>
      <c r="E94" s="67"/>
      <c r="F94" s="83"/>
      <c r="G94" s="69"/>
      <c r="H94" s="84"/>
      <c r="I94" s="128" t="e">
        <f t="shared" si="17"/>
        <v>#VALUE!</v>
      </c>
    </row>
    <row r="95" spans="1:9" ht="15" customHeight="1">
      <c r="A95" s="80">
        <v>2014</v>
      </c>
      <c r="B95" s="81" t="e">
        <f t="shared" si="18"/>
        <v>#VALUE!</v>
      </c>
      <c r="C95" s="126"/>
      <c r="D95" s="67">
        <f t="shared" si="16"/>
        <v>12</v>
      </c>
      <c r="E95" s="67"/>
      <c r="F95" s="83"/>
      <c r="G95" s="69"/>
      <c r="H95" s="84"/>
      <c r="I95" s="128" t="e">
        <f t="shared" si="17"/>
        <v>#VALUE!</v>
      </c>
    </row>
    <row r="96" spans="1:9" ht="15" customHeight="1">
      <c r="A96" s="80">
        <v>2015</v>
      </c>
      <c r="B96" s="81" t="e">
        <f t="shared" si="18"/>
        <v>#VALUE!</v>
      </c>
      <c r="C96" s="126"/>
      <c r="D96" s="67">
        <f t="shared" si="16"/>
        <v>13</v>
      </c>
      <c r="E96" s="67"/>
      <c r="F96" s="83"/>
      <c r="G96" s="69"/>
      <c r="H96" s="84"/>
      <c r="I96" s="128" t="e">
        <f t="shared" si="17"/>
        <v>#VALUE!</v>
      </c>
    </row>
    <row r="97" spans="1:9" ht="15" customHeight="1">
      <c r="A97" s="80">
        <v>2016</v>
      </c>
      <c r="B97" s="81" t="e">
        <f t="shared" si="18"/>
        <v>#VALUE!</v>
      </c>
      <c r="C97" s="126"/>
      <c r="D97" s="67">
        <f t="shared" si="16"/>
        <v>14</v>
      </c>
      <c r="E97" s="67"/>
      <c r="F97" s="83"/>
      <c r="G97" s="69"/>
      <c r="H97" s="84"/>
      <c r="I97" s="128" t="e">
        <f t="shared" si="17"/>
        <v>#VALUE!</v>
      </c>
    </row>
    <row r="98" spans="1:9" ht="15" customHeight="1">
      <c r="A98" s="80">
        <v>2017</v>
      </c>
      <c r="B98" s="81" t="e">
        <f t="shared" si="18"/>
        <v>#VALUE!</v>
      </c>
      <c r="C98" s="126"/>
      <c r="D98" s="67">
        <f t="shared" si="16"/>
        <v>15</v>
      </c>
      <c r="E98" s="67"/>
      <c r="F98" s="83"/>
      <c r="G98" s="69"/>
      <c r="H98" s="84"/>
      <c r="I98" s="128" t="e">
        <f t="shared" si="17"/>
        <v>#VALUE!</v>
      </c>
    </row>
    <row r="99" spans="1:9" ht="15" customHeight="1">
      <c r="A99" s="80">
        <v>2018</v>
      </c>
      <c r="B99" s="81" t="e">
        <f t="shared" si="18"/>
        <v>#VALUE!</v>
      </c>
      <c r="C99" s="126"/>
      <c r="D99" s="67">
        <f t="shared" si="16"/>
        <v>16</v>
      </c>
      <c r="E99" s="67"/>
      <c r="F99" s="83"/>
      <c r="G99" s="69"/>
      <c r="H99" s="84"/>
      <c r="I99" s="128" t="e">
        <f t="shared" si="17"/>
        <v>#VALUE!</v>
      </c>
    </row>
    <row r="100" spans="1:9" ht="15" customHeight="1">
      <c r="A100" s="80">
        <v>2019</v>
      </c>
      <c r="B100" s="81" t="e">
        <f t="shared" si="18"/>
        <v>#VALUE!</v>
      </c>
      <c r="C100" s="126"/>
      <c r="D100" s="67">
        <f t="shared" si="16"/>
        <v>17</v>
      </c>
      <c r="E100" s="67"/>
      <c r="F100" s="83"/>
      <c r="G100" s="69"/>
      <c r="H100" s="84"/>
      <c r="I100" s="128" t="e">
        <f t="shared" si="17"/>
        <v>#VALUE!</v>
      </c>
    </row>
    <row r="101" spans="1:9" ht="15" customHeight="1">
      <c r="A101" s="80">
        <v>2020</v>
      </c>
      <c r="B101" s="81" t="e">
        <f t="shared" si="18"/>
        <v>#VALUE!</v>
      </c>
      <c r="C101" s="126"/>
      <c r="D101" s="67">
        <f t="shared" si="16"/>
        <v>18</v>
      </c>
      <c r="E101" s="67"/>
      <c r="F101" s="83"/>
      <c r="G101" s="69"/>
      <c r="H101" s="84"/>
      <c r="I101" s="128" t="e">
        <f t="shared" si="17"/>
        <v>#VALUE!</v>
      </c>
    </row>
    <row r="102" spans="1:9" ht="15" customHeight="1">
      <c r="A102" s="80">
        <v>2021</v>
      </c>
      <c r="B102" s="81" t="e">
        <f t="shared" si="18"/>
        <v>#VALUE!</v>
      </c>
      <c r="C102" s="126"/>
      <c r="D102" s="67">
        <f t="shared" si="16"/>
        <v>19</v>
      </c>
      <c r="E102" s="67"/>
      <c r="F102" s="83"/>
      <c r="G102" s="69"/>
      <c r="H102" s="84"/>
      <c r="I102" s="128" t="e">
        <f t="shared" si="17"/>
        <v>#VALUE!</v>
      </c>
    </row>
    <row r="103" spans="1:9" ht="15" customHeight="1">
      <c r="A103" s="80">
        <v>2022</v>
      </c>
      <c r="B103" s="81" t="e">
        <f t="shared" si="18"/>
        <v>#VALUE!</v>
      </c>
      <c r="C103" s="126"/>
      <c r="D103" s="67">
        <f t="shared" si="16"/>
        <v>20</v>
      </c>
      <c r="E103" s="67"/>
      <c r="F103" s="83"/>
      <c r="G103" s="69"/>
      <c r="H103" s="84"/>
      <c r="I103" s="128" t="e">
        <f t="shared" si="17"/>
        <v>#VALUE!</v>
      </c>
    </row>
    <row r="104" spans="1:9" ht="15" customHeight="1">
      <c r="A104" s="80">
        <v>2023</v>
      </c>
      <c r="B104" s="81" t="e">
        <f t="shared" si="18"/>
        <v>#VALUE!</v>
      </c>
      <c r="C104" s="126"/>
      <c r="D104" s="67">
        <f t="shared" si="16"/>
        <v>21</v>
      </c>
      <c r="E104" s="67"/>
      <c r="F104" s="83"/>
      <c r="G104" s="69"/>
      <c r="H104" s="84"/>
      <c r="I104" s="128" t="e">
        <f t="shared" si="17"/>
        <v>#VALUE!</v>
      </c>
    </row>
    <row r="105" spans="1:9" ht="15" customHeight="1">
      <c r="A105" s="80">
        <v>2024</v>
      </c>
      <c r="B105" s="81" t="e">
        <f t="shared" si="18"/>
        <v>#VALUE!</v>
      </c>
      <c r="C105" s="126"/>
      <c r="D105" s="67">
        <f t="shared" si="16"/>
        <v>22</v>
      </c>
      <c r="E105" s="67"/>
      <c r="F105" s="69"/>
      <c r="G105" s="69"/>
      <c r="H105" s="69"/>
      <c r="I105" s="136" t="e">
        <f t="shared" si="17"/>
        <v>#VALUE!</v>
      </c>
    </row>
    <row r="106" spans="1:9" ht="15" customHeight="1">
      <c r="A106" s="85">
        <v>2025</v>
      </c>
      <c r="B106" s="81" t="e">
        <f t="shared" si="18"/>
        <v>#VALUE!</v>
      </c>
      <c r="C106" s="204"/>
      <c r="D106" s="87">
        <f t="shared" si="16"/>
        <v>23</v>
      </c>
      <c r="E106" s="87"/>
      <c r="F106" s="89"/>
      <c r="G106" s="89"/>
      <c r="H106" s="89"/>
      <c r="I106" s="138" t="e">
        <f t="shared" si="17"/>
        <v>#VALUE!</v>
      </c>
    </row>
    <row r="107" spans="1:9" ht="15" customHeight="1">
      <c r="A107" s="56" t="s">
        <v>87</v>
      </c>
      <c r="B107" s="57"/>
    </row>
    <row r="108" spans="1:9" ht="15" customHeight="1">
      <c r="A108" s="58" t="s">
        <v>32</v>
      </c>
      <c r="B108" s="59" t="s">
        <v>40</v>
      </c>
      <c r="C108" s="59" t="s">
        <v>36</v>
      </c>
      <c r="D108" s="59" t="s">
        <v>33</v>
      </c>
      <c r="E108" s="103"/>
      <c r="F108" s="60"/>
      <c r="G108" s="61"/>
      <c r="H108" s="63" t="s">
        <v>266</v>
      </c>
      <c r="I108" s="64">
        <f>RSQ(I109:I114,B109:B114)</f>
        <v>0.87926306752739214</v>
      </c>
    </row>
    <row r="109" spans="1:9" ht="15" customHeight="1">
      <c r="A109" s="65">
        <v>2002</v>
      </c>
      <c r="B109" s="104">
        <f t="shared" ref="B109:B114" si="19">+B5</f>
        <v>12027</v>
      </c>
      <c r="C109" s="126">
        <f t="shared" ref="C109:C114" si="20">LN(F$113/B109-1)</f>
        <v>0</v>
      </c>
      <c r="D109" s="67">
        <v>0</v>
      </c>
      <c r="E109" s="106"/>
      <c r="F109" s="53"/>
      <c r="G109" s="69"/>
      <c r="H109" s="265"/>
      <c r="I109" s="267">
        <f t="shared" ref="I109:I132" si="21">$F$113/(1+EXP($F$111+$F$110*D109))</f>
        <v>11947.583330725731</v>
      </c>
    </row>
    <row r="110" spans="1:9" ht="15" customHeight="1">
      <c r="A110" s="65">
        <f t="shared" ref="A110:A115" si="22">A6</f>
        <v>2003</v>
      </c>
      <c r="B110" s="104">
        <f t="shared" si="19"/>
        <v>11848</v>
      </c>
      <c r="C110" s="126">
        <f t="shared" si="20"/>
        <v>2.9768557156805601E-2</v>
      </c>
      <c r="D110" s="67">
        <f>+D109+1</f>
        <v>1</v>
      </c>
      <c r="E110" s="106" t="s">
        <v>75</v>
      </c>
      <c r="F110" s="139">
        <f>INDEX(LINEST(C109:C114,D109:D114),1)</f>
        <v>3.3759769926421844E-2</v>
      </c>
      <c r="G110" s="140" t="s">
        <v>88</v>
      </c>
      <c r="H110" s="127"/>
      <c r="I110" s="128">
        <f t="shared" si="21"/>
        <v>11744.619705206223</v>
      </c>
    </row>
    <row r="111" spans="1:9" ht="15" customHeight="1">
      <c r="A111" s="65">
        <f t="shared" si="22"/>
        <v>2004</v>
      </c>
      <c r="B111" s="104">
        <f t="shared" si="19"/>
        <v>11403</v>
      </c>
      <c r="C111" s="126">
        <f t="shared" si="20"/>
        <v>0.1038597847573111</v>
      </c>
      <c r="D111" s="67">
        <f t="shared" ref="D111:D132" si="23">D110+1</f>
        <v>2</v>
      </c>
      <c r="E111" s="106" t="s">
        <v>76</v>
      </c>
      <c r="F111" s="139">
        <f>INDEX(LINEST(C109:C114,D109:D114),2)</f>
        <v>1.3206589099935662E-2</v>
      </c>
      <c r="G111" s="69"/>
      <c r="H111" s="127"/>
      <c r="I111" s="128">
        <f t="shared" si="21"/>
        <v>11541.816877986374</v>
      </c>
    </row>
    <row r="112" spans="1:9" ht="15" customHeight="1">
      <c r="A112" s="65">
        <f t="shared" si="22"/>
        <v>2005</v>
      </c>
      <c r="B112" s="104">
        <f t="shared" si="19"/>
        <v>11136</v>
      </c>
      <c r="C112" s="126">
        <f t="shared" si="20"/>
        <v>0.14843858401821711</v>
      </c>
      <c r="D112" s="67">
        <f t="shared" si="23"/>
        <v>3</v>
      </c>
      <c r="E112" s="106" t="s">
        <v>77</v>
      </c>
      <c r="F112" s="73">
        <f>I108</f>
        <v>0.87926306752739214</v>
      </c>
      <c r="G112" s="69"/>
      <c r="H112" s="127"/>
      <c r="I112" s="128">
        <f t="shared" si="21"/>
        <v>11339.290035466278</v>
      </c>
    </row>
    <row r="113" spans="1:9" ht="15" customHeight="1">
      <c r="A113" s="65">
        <f t="shared" si="22"/>
        <v>2006</v>
      </c>
      <c r="B113" s="104">
        <f t="shared" si="19"/>
        <v>11152</v>
      </c>
      <c r="C113" s="126">
        <f t="shared" si="20"/>
        <v>0.14576348409188172</v>
      </c>
      <c r="D113" s="67">
        <f t="shared" si="23"/>
        <v>4</v>
      </c>
      <c r="E113" s="106" t="s">
        <v>39</v>
      </c>
      <c r="F113" s="110">
        <f>MAX(B109:B114)*2</f>
        <v>24054</v>
      </c>
      <c r="G113" s="69"/>
      <c r="H113" s="127"/>
      <c r="I113" s="128">
        <f t="shared" si="21"/>
        <v>11137.153736875838</v>
      </c>
    </row>
    <row r="114" spans="1:9" ht="15" customHeight="1" thickBot="1">
      <c r="A114" s="97">
        <f t="shared" si="22"/>
        <v>2007</v>
      </c>
      <c r="B114" s="116">
        <f t="shared" si="19"/>
        <v>11080</v>
      </c>
      <c r="C114" s="141">
        <f t="shared" si="20"/>
        <v>0.15780567347172608</v>
      </c>
      <c r="D114" s="99">
        <f t="shared" si="23"/>
        <v>5</v>
      </c>
      <c r="E114" s="205"/>
      <c r="F114" s="101"/>
      <c r="G114" s="100"/>
      <c r="H114" s="143"/>
      <c r="I114" s="144">
        <f t="shared" si="21"/>
        <v>10935.521656130564</v>
      </c>
    </row>
    <row r="115" spans="1:9" ht="15" customHeight="1" thickTop="1">
      <c r="A115" s="255">
        <f t="shared" si="22"/>
        <v>2008</v>
      </c>
      <c r="B115" s="81">
        <f t="shared" ref="B115:B132" si="24">ROUND(F$113/(1+EXP(F$111+F$110*D115)),0)</f>
        <v>10735</v>
      </c>
      <c r="C115" s="257"/>
      <c r="D115" s="77">
        <f t="shared" si="23"/>
        <v>6</v>
      </c>
      <c r="E115" s="275"/>
      <c r="F115" s="256"/>
      <c r="G115" s="78"/>
      <c r="H115" s="258"/>
      <c r="I115" s="133">
        <f t="shared" si="21"/>
        <v>10734.506327941845</v>
      </c>
    </row>
    <row r="116" spans="1:9" ht="15" customHeight="1">
      <c r="A116" s="80">
        <v>2009</v>
      </c>
      <c r="B116" s="81">
        <f t="shared" si="24"/>
        <v>10534</v>
      </c>
      <c r="C116" s="134"/>
      <c r="D116" s="67">
        <f t="shared" si="23"/>
        <v>7</v>
      </c>
      <c r="E116" s="83"/>
      <c r="F116" s="69"/>
      <c r="G116" s="69"/>
      <c r="H116" s="84"/>
      <c r="I116" s="128">
        <f t="shared" si="21"/>
        <v>10534.218899377162</v>
      </c>
    </row>
    <row r="117" spans="1:9" ht="15" customHeight="1">
      <c r="A117" s="80">
        <v>2010</v>
      </c>
      <c r="B117" s="81">
        <f t="shared" si="24"/>
        <v>10335</v>
      </c>
      <c r="C117" s="134"/>
      <c r="D117" s="67">
        <f t="shared" si="23"/>
        <v>8</v>
      </c>
      <c r="E117" s="83"/>
      <c r="F117" s="69"/>
      <c r="G117" s="69"/>
      <c r="H117" s="84"/>
      <c r="I117" s="128">
        <f t="shared" si="21"/>
        <v>10334.76888802105</v>
      </c>
    </row>
    <row r="118" spans="1:9" ht="15" customHeight="1">
      <c r="A118" s="80">
        <v>2011</v>
      </c>
      <c r="B118" s="81">
        <f t="shared" si="24"/>
        <v>10136</v>
      </c>
      <c r="C118" s="134"/>
      <c r="D118" s="67">
        <f t="shared" si="23"/>
        <v>9</v>
      </c>
      <c r="E118" s="83"/>
      <c r="F118" s="69"/>
      <c r="G118" s="69"/>
      <c r="H118" s="84"/>
      <c r="I118" s="128">
        <f t="shared" si="21"/>
        <v>10136.263947834133</v>
      </c>
    </row>
    <row r="119" spans="1:9" ht="15" customHeight="1">
      <c r="A119" s="80">
        <v>2012</v>
      </c>
      <c r="B119" s="81">
        <f t="shared" si="24"/>
        <v>9939</v>
      </c>
      <c r="C119" s="134"/>
      <c r="D119" s="67">
        <f t="shared" si="23"/>
        <v>10</v>
      </c>
      <c r="E119" s="83"/>
      <c r="F119" s="69"/>
      <c r="G119" s="69"/>
      <c r="H119" s="84"/>
      <c r="I119" s="128">
        <f t="shared" si="21"/>
        <v>9938.8096437455151</v>
      </c>
    </row>
    <row r="120" spans="1:9" ht="15" customHeight="1">
      <c r="A120" s="80">
        <v>2013</v>
      </c>
      <c r="B120" s="81">
        <f t="shared" si="24"/>
        <v>9743</v>
      </c>
      <c r="C120" s="134"/>
      <c r="D120" s="67">
        <f t="shared" si="23"/>
        <v>11</v>
      </c>
      <c r="E120" s="83"/>
      <c r="F120" s="69"/>
      <c r="G120" s="69"/>
      <c r="H120" s="84"/>
      <c r="I120" s="128">
        <f t="shared" si="21"/>
        <v>9742.5092359442751</v>
      </c>
    </row>
    <row r="121" spans="1:9" ht="15" customHeight="1">
      <c r="A121" s="80">
        <v>2014</v>
      </c>
      <c r="B121" s="81">
        <f t="shared" si="24"/>
        <v>9547</v>
      </c>
      <c r="C121" s="134"/>
      <c r="D121" s="67">
        <f t="shared" si="23"/>
        <v>12</v>
      </c>
      <c r="E121" s="83"/>
      <c r="F121" s="69"/>
      <c r="G121" s="69"/>
      <c r="H121" s="84"/>
      <c r="I121" s="128">
        <f t="shared" si="21"/>
        <v>9547.4634747595301</v>
      </c>
    </row>
    <row r="122" spans="1:9" ht="15" customHeight="1">
      <c r="A122" s="80">
        <v>2015</v>
      </c>
      <c r="B122" s="81">
        <f t="shared" si="24"/>
        <v>9354</v>
      </c>
      <c r="C122" s="134"/>
      <c r="D122" s="67">
        <f t="shared" si="23"/>
        <v>13</v>
      </c>
      <c r="E122" s="83"/>
      <c r="F122" s="69"/>
      <c r="G122" s="69"/>
      <c r="H122" s="84"/>
      <c r="I122" s="128">
        <f t="shared" si="21"/>
        <v>9353.7704069362317</v>
      </c>
    </row>
    <row r="123" spans="1:9" ht="15" customHeight="1">
      <c r="A123" s="80">
        <v>2016</v>
      </c>
      <c r="B123" s="81">
        <f t="shared" si="24"/>
        <v>9162</v>
      </c>
      <c r="C123" s="134"/>
      <c r="D123" s="67">
        <f t="shared" si="23"/>
        <v>14</v>
      </c>
      <c r="E123" s="83"/>
      <c r="F123" s="69"/>
      <c r="G123" s="69"/>
      <c r="H123" s="84"/>
      <c r="I123" s="128">
        <f t="shared" si="21"/>
        <v>9161.5251940269063</v>
      </c>
    </row>
    <row r="124" spans="1:9" ht="15" customHeight="1">
      <c r="A124" s="80">
        <v>2017</v>
      </c>
      <c r="B124" s="81">
        <f t="shared" si="24"/>
        <v>8971</v>
      </c>
      <c r="C124" s="134"/>
      <c r="D124" s="67">
        <f t="shared" si="23"/>
        <v>15</v>
      </c>
      <c r="E124" s="83"/>
      <c r="F124" s="69"/>
      <c r="G124" s="69"/>
      <c r="H124" s="84"/>
      <c r="I124" s="128">
        <f t="shared" si="21"/>
        <v>8970.819943528395</v>
      </c>
    </row>
    <row r="125" spans="1:9" ht="15" customHeight="1">
      <c r="A125" s="80">
        <v>2018</v>
      </c>
      <c r="B125" s="81">
        <f t="shared" si="24"/>
        <v>8782</v>
      </c>
      <c r="C125" s="134"/>
      <c r="D125" s="67">
        <f t="shared" si="23"/>
        <v>16</v>
      </c>
      <c r="E125" s="83"/>
      <c r="F125" s="69"/>
      <c r="G125" s="69"/>
      <c r="H125" s="84"/>
      <c r="I125" s="128">
        <f t="shared" si="21"/>
        <v>8781.7435532989221</v>
      </c>
    </row>
    <row r="126" spans="1:9" ht="15" customHeight="1">
      <c r="A126" s="80">
        <v>2019</v>
      </c>
      <c r="B126" s="81">
        <f t="shared" si="24"/>
        <v>8594</v>
      </c>
      <c r="C126" s="134"/>
      <c r="D126" s="67">
        <f t="shared" si="23"/>
        <v>17</v>
      </c>
      <c r="E126" s="83"/>
      <c r="F126" s="69"/>
      <c r="G126" s="69"/>
      <c r="H126" s="84"/>
      <c r="I126" s="128">
        <f t="shared" si="21"/>
        <v>8594.3815696948877</v>
      </c>
    </row>
    <row r="127" spans="1:9" ht="15" customHeight="1">
      <c r="A127" s="80">
        <v>2020</v>
      </c>
      <c r="B127" s="81">
        <f t="shared" si="24"/>
        <v>8409</v>
      </c>
      <c r="C127" s="134"/>
      <c r="D127" s="67">
        <f t="shared" si="23"/>
        <v>18</v>
      </c>
      <c r="E127" s="83"/>
      <c r="F127" s="69"/>
      <c r="G127" s="69"/>
      <c r="H127" s="84"/>
      <c r="I127" s="128">
        <f t="shared" si="21"/>
        <v>8408.8160597703263</v>
      </c>
    </row>
    <row r="128" spans="1:9" ht="15" customHeight="1">
      <c r="A128" s="80">
        <v>2021</v>
      </c>
      <c r="B128" s="81">
        <f t="shared" si="24"/>
        <v>8225</v>
      </c>
      <c r="C128" s="134"/>
      <c r="D128" s="67">
        <f t="shared" si="23"/>
        <v>19</v>
      </c>
      <c r="E128" s="83"/>
      <c r="F128" s="69"/>
      <c r="G128" s="69"/>
      <c r="H128" s="84"/>
      <c r="I128" s="128">
        <f t="shared" si="21"/>
        <v>8225.125497785375</v>
      </c>
    </row>
    <row r="129" spans="1:10" ht="15" customHeight="1">
      <c r="A129" s="80">
        <v>2022</v>
      </c>
      <c r="B129" s="81">
        <f t="shared" si="24"/>
        <v>8043</v>
      </c>
      <c r="C129" s="134"/>
      <c r="D129" s="67">
        <f t="shared" si="23"/>
        <v>20</v>
      </c>
      <c r="E129" s="83"/>
      <c r="F129" s="69"/>
      <c r="G129" s="69"/>
      <c r="H129" s="84"/>
      <c r="I129" s="128">
        <f t="shared" si="21"/>
        <v>8043.3846661747621</v>
      </c>
    </row>
    <row r="130" spans="1:10" ht="15" customHeight="1">
      <c r="A130" s="80">
        <v>2023</v>
      </c>
      <c r="B130" s="81">
        <f t="shared" si="24"/>
        <v>7864</v>
      </c>
      <c r="C130" s="134"/>
      <c r="D130" s="67">
        <f t="shared" si="23"/>
        <v>21</v>
      </c>
      <c r="E130" s="83"/>
      <c r="F130" s="69"/>
      <c r="G130" s="69"/>
      <c r="H130" s="84"/>
      <c r="I130" s="128">
        <f t="shared" si="21"/>
        <v>7863.6645710339062</v>
      </c>
    </row>
    <row r="131" spans="1:10" ht="15" customHeight="1">
      <c r="A131" s="80">
        <v>2024</v>
      </c>
      <c r="B131" s="81">
        <f t="shared" si="24"/>
        <v>7686</v>
      </c>
      <c r="C131" s="135"/>
      <c r="D131" s="67">
        <f t="shared" si="23"/>
        <v>22</v>
      </c>
      <c r="E131" s="69"/>
      <c r="F131" s="69"/>
      <c r="G131" s="69"/>
      <c r="H131" s="69"/>
      <c r="I131" s="136">
        <f t="shared" si="21"/>
        <v>7686.0323720896604</v>
      </c>
    </row>
    <row r="132" spans="1:10" ht="15" customHeight="1">
      <c r="A132" s="85">
        <v>2025</v>
      </c>
      <c r="B132" s="86">
        <f t="shared" si="24"/>
        <v>7511</v>
      </c>
      <c r="C132" s="137"/>
      <c r="D132" s="87">
        <f t="shared" si="23"/>
        <v>23</v>
      </c>
      <c r="E132" s="89"/>
      <c r="F132" s="89"/>
      <c r="G132" s="89"/>
      <c r="H132" s="89"/>
      <c r="I132" s="138">
        <f t="shared" si="21"/>
        <v>7510.5513270357451</v>
      </c>
    </row>
    <row r="133" spans="1:10" ht="15" customHeight="1">
      <c r="A133" s="56" t="s">
        <v>307</v>
      </c>
      <c r="B133" s="57"/>
    </row>
    <row r="134" spans="1:10" ht="15" customHeight="1">
      <c r="A134" s="56"/>
      <c r="B134" s="57"/>
    </row>
    <row r="135" spans="1:10" ht="24">
      <c r="A135" s="145" t="s">
        <v>32</v>
      </c>
      <c r="B135" s="146" t="s">
        <v>91</v>
      </c>
      <c r="C135" s="147" t="s">
        <v>72</v>
      </c>
      <c r="D135" s="147" t="s">
        <v>92</v>
      </c>
      <c r="E135" s="147" t="s">
        <v>93</v>
      </c>
      <c r="F135" s="147" t="s">
        <v>94</v>
      </c>
      <c r="G135" s="147" t="s">
        <v>95</v>
      </c>
      <c r="H135" s="148" t="s">
        <v>96</v>
      </c>
      <c r="I135" s="149" t="s">
        <v>268</v>
      </c>
      <c r="J135" s="150" t="s">
        <v>269</v>
      </c>
    </row>
    <row r="136" spans="1:10" ht="20.100000000000001" customHeight="1">
      <c r="A136" s="65">
        <v>2008</v>
      </c>
      <c r="B136" s="151">
        <f t="shared" ref="B136:B153" si="25">B11</f>
        <v>10891</v>
      </c>
      <c r="C136" s="152">
        <f t="shared" ref="C136:C153" si="26">B37</f>
        <v>10732</v>
      </c>
      <c r="D136" s="152">
        <f t="shared" ref="D136:D153" si="27">B63</f>
        <v>10900</v>
      </c>
      <c r="E136" s="152"/>
      <c r="F136" s="152">
        <f t="shared" ref="F136:F153" si="28">B115</f>
        <v>10735</v>
      </c>
      <c r="G136" s="152">
        <f t="shared" ref="G136:G153" si="29">ROUND(AVERAGE(B136:F136),1)</f>
        <v>10814.5</v>
      </c>
      <c r="H136" s="152">
        <f t="shared" ref="H136:H153" si="30">ROUND((SUM(B136:F136)-MAX(B136:F136)-MIN(B136:F136))/(COUNT(B136:F136)-2),1)</f>
        <v>10813</v>
      </c>
      <c r="I136" s="153">
        <f t="shared" ref="I136:I153" si="31">ROUND(SUMIF(B$154:H$154,"○",B136:H136),0)</f>
        <v>10815</v>
      </c>
      <c r="J136" s="261"/>
    </row>
    <row r="137" spans="1:10" ht="20.100000000000001" customHeight="1">
      <c r="A137" s="80">
        <v>2009</v>
      </c>
      <c r="B137" s="151">
        <f t="shared" si="25"/>
        <v>10701</v>
      </c>
      <c r="C137" s="152">
        <f t="shared" si="26"/>
        <v>10529</v>
      </c>
      <c r="D137" s="152">
        <f t="shared" si="27"/>
        <v>10722</v>
      </c>
      <c r="E137" s="152"/>
      <c r="F137" s="152">
        <f t="shared" si="28"/>
        <v>10534</v>
      </c>
      <c r="G137" s="152">
        <f t="shared" si="29"/>
        <v>10621.5</v>
      </c>
      <c r="H137" s="152">
        <f t="shared" si="30"/>
        <v>10617.5</v>
      </c>
      <c r="I137" s="153">
        <f t="shared" si="31"/>
        <v>10622</v>
      </c>
      <c r="J137" s="154"/>
    </row>
    <row r="138" spans="1:10" ht="20.100000000000001" customHeight="1">
      <c r="A138" s="80">
        <v>2010</v>
      </c>
      <c r="B138" s="151">
        <f t="shared" si="25"/>
        <v>10512</v>
      </c>
      <c r="C138" s="152">
        <f t="shared" si="26"/>
        <v>10327</v>
      </c>
      <c r="D138" s="152">
        <f t="shared" si="27"/>
        <v>10548</v>
      </c>
      <c r="E138" s="152"/>
      <c r="F138" s="152">
        <f t="shared" si="28"/>
        <v>10335</v>
      </c>
      <c r="G138" s="152">
        <f t="shared" si="29"/>
        <v>10430.5</v>
      </c>
      <c r="H138" s="152">
        <f t="shared" si="30"/>
        <v>10423.5</v>
      </c>
      <c r="I138" s="153">
        <f t="shared" si="31"/>
        <v>10431</v>
      </c>
      <c r="J138" s="154"/>
    </row>
    <row r="139" spans="1:10" ht="20.100000000000001" customHeight="1">
      <c r="A139" s="80">
        <v>2011</v>
      </c>
      <c r="B139" s="151">
        <f t="shared" si="25"/>
        <v>10322</v>
      </c>
      <c r="C139" s="152">
        <f t="shared" si="26"/>
        <v>10124</v>
      </c>
      <c r="D139" s="152">
        <f t="shared" si="27"/>
        <v>10376</v>
      </c>
      <c r="E139" s="152"/>
      <c r="F139" s="152">
        <f t="shared" si="28"/>
        <v>10136</v>
      </c>
      <c r="G139" s="152">
        <f t="shared" si="29"/>
        <v>10239.5</v>
      </c>
      <c r="H139" s="152">
        <f t="shared" si="30"/>
        <v>10229</v>
      </c>
      <c r="I139" s="153">
        <f t="shared" si="31"/>
        <v>10240</v>
      </c>
      <c r="J139" s="154"/>
    </row>
    <row r="140" spans="1:10" ht="20.100000000000001" customHeight="1">
      <c r="A140" s="80">
        <v>2012</v>
      </c>
      <c r="B140" s="151">
        <f t="shared" si="25"/>
        <v>10133</v>
      </c>
      <c r="C140" s="152">
        <f t="shared" si="26"/>
        <v>9922</v>
      </c>
      <c r="D140" s="152">
        <f t="shared" si="27"/>
        <v>10207</v>
      </c>
      <c r="E140" s="152"/>
      <c r="F140" s="152">
        <f t="shared" si="28"/>
        <v>9939</v>
      </c>
      <c r="G140" s="152">
        <f t="shared" si="29"/>
        <v>10050.299999999999</v>
      </c>
      <c r="H140" s="152">
        <f t="shared" si="30"/>
        <v>10036</v>
      </c>
      <c r="I140" s="153">
        <f t="shared" si="31"/>
        <v>10050</v>
      </c>
      <c r="J140" s="154"/>
    </row>
    <row r="141" spans="1:10" ht="20.100000000000001" customHeight="1">
      <c r="A141" s="80">
        <v>2013</v>
      </c>
      <c r="B141" s="151">
        <f t="shared" si="25"/>
        <v>9944</v>
      </c>
      <c r="C141" s="152">
        <f t="shared" si="26"/>
        <v>9719</v>
      </c>
      <c r="D141" s="152">
        <f t="shared" si="27"/>
        <v>10041</v>
      </c>
      <c r="E141" s="152"/>
      <c r="F141" s="152">
        <f t="shared" si="28"/>
        <v>9743</v>
      </c>
      <c r="G141" s="152">
        <f t="shared" si="29"/>
        <v>9861.7999999999993</v>
      </c>
      <c r="H141" s="152">
        <f t="shared" si="30"/>
        <v>9843.5</v>
      </c>
      <c r="I141" s="153">
        <f t="shared" si="31"/>
        <v>9862</v>
      </c>
      <c r="J141" s="154"/>
    </row>
    <row r="142" spans="1:10" ht="20.100000000000001" customHeight="1">
      <c r="A142" s="80">
        <v>2014</v>
      </c>
      <c r="B142" s="151">
        <f t="shared" si="25"/>
        <v>9754</v>
      </c>
      <c r="C142" s="152">
        <f t="shared" si="26"/>
        <v>9517</v>
      </c>
      <c r="D142" s="152">
        <f t="shared" si="27"/>
        <v>9878</v>
      </c>
      <c r="E142" s="152"/>
      <c r="F142" s="152">
        <f t="shared" si="28"/>
        <v>9547</v>
      </c>
      <c r="G142" s="152">
        <f t="shared" si="29"/>
        <v>9674</v>
      </c>
      <c r="H142" s="152">
        <f t="shared" si="30"/>
        <v>9650.5</v>
      </c>
      <c r="I142" s="153">
        <f t="shared" si="31"/>
        <v>9674</v>
      </c>
      <c r="J142" s="154"/>
    </row>
    <row r="143" spans="1:10" ht="20.100000000000001" customHeight="1">
      <c r="A143" s="80">
        <v>2015</v>
      </c>
      <c r="B143" s="151">
        <f t="shared" si="25"/>
        <v>9565</v>
      </c>
      <c r="C143" s="152">
        <f t="shared" si="26"/>
        <v>9314</v>
      </c>
      <c r="D143" s="152">
        <f t="shared" si="27"/>
        <v>9717</v>
      </c>
      <c r="E143" s="152"/>
      <c r="F143" s="152">
        <f t="shared" si="28"/>
        <v>9354</v>
      </c>
      <c r="G143" s="152">
        <f t="shared" si="29"/>
        <v>9487.5</v>
      </c>
      <c r="H143" s="152">
        <f t="shared" si="30"/>
        <v>9459.5</v>
      </c>
      <c r="I143" s="153">
        <f t="shared" si="31"/>
        <v>9488</v>
      </c>
      <c r="J143" s="154"/>
    </row>
    <row r="144" spans="1:10" ht="20.100000000000001" customHeight="1">
      <c r="A144" s="80">
        <v>2016</v>
      </c>
      <c r="B144" s="151">
        <f t="shared" si="25"/>
        <v>9375</v>
      </c>
      <c r="C144" s="152">
        <f t="shared" si="26"/>
        <v>9111</v>
      </c>
      <c r="D144" s="152">
        <f t="shared" si="27"/>
        <v>9559</v>
      </c>
      <c r="E144" s="152"/>
      <c r="F144" s="152">
        <f t="shared" si="28"/>
        <v>9162</v>
      </c>
      <c r="G144" s="152">
        <f t="shared" si="29"/>
        <v>9301.7999999999993</v>
      </c>
      <c r="H144" s="152">
        <f t="shared" si="30"/>
        <v>9268.5</v>
      </c>
      <c r="I144" s="153">
        <f t="shared" si="31"/>
        <v>9302</v>
      </c>
      <c r="J144" s="154"/>
    </row>
    <row r="145" spans="1:41" ht="20.100000000000001" customHeight="1">
      <c r="A145" s="80">
        <v>2017</v>
      </c>
      <c r="B145" s="151">
        <f t="shared" si="25"/>
        <v>9186</v>
      </c>
      <c r="C145" s="152">
        <f t="shared" si="26"/>
        <v>8909</v>
      </c>
      <c r="D145" s="152">
        <f t="shared" si="27"/>
        <v>9404</v>
      </c>
      <c r="E145" s="152"/>
      <c r="F145" s="152">
        <f t="shared" si="28"/>
        <v>8971</v>
      </c>
      <c r="G145" s="152">
        <f t="shared" si="29"/>
        <v>9117.5</v>
      </c>
      <c r="H145" s="152">
        <f t="shared" si="30"/>
        <v>9078.5</v>
      </c>
      <c r="I145" s="153">
        <f t="shared" si="31"/>
        <v>9118</v>
      </c>
      <c r="J145" s="154"/>
    </row>
    <row r="146" spans="1:41" ht="20.100000000000001" customHeight="1">
      <c r="A146" s="80">
        <v>2018</v>
      </c>
      <c r="B146" s="151">
        <f t="shared" si="25"/>
        <v>8997</v>
      </c>
      <c r="C146" s="152">
        <f t="shared" si="26"/>
        <v>8706</v>
      </c>
      <c r="D146" s="152">
        <f t="shared" si="27"/>
        <v>9251</v>
      </c>
      <c r="E146" s="152"/>
      <c r="F146" s="152">
        <f t="shared" si="28"/>
        <v>8782</v>
      </c>
      <c r="G146" s="152">
        <f t="shared" si="29"/>
        <v>8934</v>
      </c>
      <c r="H146" s="152">
        <f t="shared" si="30"/>
        <v>8889.5</v>
      </c>
      <c r="I146" s="153">
        <f t="shared" si="31"/>
        <v>8934</v>
      </c>
      <c r="J146" s="154"/>
    </row>
    <row r="147" spans="1:41" ht="20.100000000000001" customHeight="1">
      <c r="A147" s="80">
        <v>2019</v>
      </c>
      <c r="B147" s="151">
        <f t="shared" si="25"/>
        <v>8807</v>
      </c>
      <c r="C147" s="152">
        <f t="shared" si="26"/>
        <v>8504</v>
      </c>
      <c r="D147" s="152">
        <f t="shared" si="27"/>
        <v>9100</v>
      </c>
      <c r="E147" s="152"/>
      <c r="F147" s="152">
        <f t="shared" si="28"/>
        <v>8594</v>
      </c>
      <c r="G147" s="152">
        <f t="shared" si="29"/>
        <v>8751.2999999999993</v>
      </c>
      <c r="H147" s="152">
        <f t="shared" si="30"/>
        <v>8700.5</v>
      </c>
      <c r="I147" s="153">
        <f t="shared" si="31"/>
        <v>8751</v>
      </c>
      <c r="J147" s="154"/>
    </row>
    <row r="148" spans="1:41" ht="20.100000000000001" customHeight="1">
      <c r="A148" s="80">
        <v>2020</v>
      </c>
      <c r="B148" s="151">
        <f t="shared" si="25"/>
        <v>8618</v>
      </c>
      <c r="C148" s="152">
        <f t="shared" si="26"/>
        <v>8301</v>
      </c>
      <c r="D148" s="152">
        <f t="shared" si="27"/>
        <v>8952</v>
      </c>
      <c r="E148" s="152"/>
      <c r="F148" s="152">
        <f t="shared" si="28"/>
        <v>8409</v>
      </c>
      <c r="G148" s="152">
        <f t="shared" si="29"/>
        <v>8570</v>
      </c>
      <c r="H148" s="152">
        <f t="shared" si="30"/>
        <v>8513.5</v>
      </c>
      <c r="I148" s="153">
        <f t="shared" si="31"/>
        <v>8570</v>
      </c>
      <c r="J148" s="154"/>
    </row>
    <row r="149" spans="1:41" ht="20.100000000000001" customHeight="1">
      <c r="A149" s="80">
        <v>2021</v>
      </c>
      <c r="B149" s="151">
        <f t="shared" si="25"/>
        <v>8428</v>
      </c>
      <c r="C149" s="152">
        <f t="shared" si="26"/>
        <v>8099</v>
      </c>
      <c r="D149" s="152">
        <f t="shared" si="27"/>
        <v>8806</v>
      </c>
      <c r="E149" s="152"/>
      <c r="F149" s="152">
        <f t="shared" si="28"/>
        <v>8225</v>
      </c>
      <c r="G149" s="152">
        <f t="shared" si="29"/>
        <v>8389.5</v>
      </c>
      <c r="H149" s="152">
        <f t="shared" si="30"/>
        <v>8326.5</v>
      </c>
      <c r="I149" s="153">
        <f t="shared" si="31"/>
        <v>8390</v>
      </c>
      <c r="J149" s="154"/>
    </row>
    <row r="150" spans="1:41" ht="20.100000000000001" customHeight="1">
      <c r="A150" s="80">
        <v>2022</v>
      </c>
      <c r="B150" s="151">
        <f t="shared" si="25"/>
        <v>8239</v>
      </c>
      <c r="C150" s="152">
        <f t="shared" si="26"/>
        <v>7896</v>
      </c>
      <c r="D150" s="152">
        <f t="shared" si="27"/>
        <v>8663</v>
      </c>
      <c r="E150" s="152"/>
      <c r="F150" s="152">
        <f t="shared" si="28"/>
        <v>8043</v>
      </c>
      <c r="G150" s="152">
        <f t="shared" si="29"/>
        <v>8210.2999999999993</v>
      </c>
      <c r="H150" s="152">
        <f t="shared" si="30"/>
        <v>8141</v>
      </c>
      <c r="I150" s="153">
        <f t="shared" si="31"/>
        <v>8210</v>
      </c>
      <c r="J150" s="154"/>
    </row>
    <row r="151" spans="1:41" ht="20.100000000000001" customHeight="1">
      <c r="A151" s="80">
        <v>2023</v>
      </c>
      <c r="B151" s="151">
        <f t="shared" si="25"/>
        <v>8050</v>
      </c>
      <c r="C151" s="152">
        <f t="shared" si="26"/>
        <v>7693</v>
      </c>
      <c r="D151" s="152">
        <f t="shared" si="27"/>
        <v>8522</v>
      </c>
      <c r="E151" s="152"/>
      <c r="F151" s="152">
        <f t="shared" si="28"/>
        <v>7864</v>
      </c>
      <c r="G151" s="152">
        <f t="shared" si="29"/>
        <v>8032.3</v>
      </c>
      <c r="H151" s="152">
        <f t="shared" si="30"/>
        <v>7957</v>
      </c>
      <c r="I151" s="153">
        <f t="shared" si="31"/>
        <v>8032</v>
      </c>
      <c r="J151" s="154"/>
      <c r="L151" s="55">
        <v>806200</v>
      </c>
    </row>
    <row r="152" spans="1:41" ht="20.100000000000001" customHeight="1">
      <c r="A152" s="80">
        <v>2024</v>
      </c>
      <c r="B152" s="151">
        <f t="shared" si="25"/>
        <v>7860</v>
      </c>
      <c r="C152" s="152">
        <f t="shared" si="26"/>
        <v>7491</v>
      </c>
      <c r="D152" s="152">
        <f t="shared" si="27"/>
        <v>8384</v>
      </c>
      <c r="E152" s="152"/>
      <c r="F152" s="152">
        <f t="shared" si="28"/>
        <v>7686</v>
      </c>
      <c r="G152" s="152">
        <f t="shared" si="29"/>
        <v>7855.3</v>
      </c>
      <c r="H152" s="152">
        <f t="shared" si="30"/>
        <v>7773</v>
      </c>
      <c r="I152" s="153">
        <f t="shared" si="31"/>
        <v>7855</v>
      </c>
      <c r="J152" s="154"/>
      <c r="K152" s="55">
        <v>51000</v>
      </c>
      <c r="L152" s="75">
        <f>+K152+E152</f>
        <v>51000</v>
      </c>
      <c r="M152" s="75"/>
    </row>
    <row r="153" spans="1:41" ht="20.100000000000001" customHeight="1">
      <c r="A153" s="80">
        <v>2025</v>
      </c>
      <c r="B153" s="151">
        <f t="shared" si="25"/>
        <v>7671</v>
      </c>
      <c r="C153" s="152">
        <f t="shared" si="26"/>
        <v>7288</v>
      </c>
      <c r="D153" s="152">
        <f t="shared" si="27"/>
        <v>8247</v>
      </c>
      <c r="E153" s="152"/>
      <c r="F153" s="152">
        <f t="shared" si="28"/>
        <v>7511</v>
      </c>
      <c r="G153" s="152">
        <f t="shared" si="29"/>
        <v>7679.3</v>
      </c>
      <c r="H153" s="152">
        <f t="shared" si="30"/>
        <v>7591</v>
      </c>
      <c r="I153" s="153">
        <f t="shared" si="31"/>
        <v>7679</v>
      </c>
      <c r="J153" s="154"/>
      <c r="L153" s="75">
        <f>+L151-L152</f>
        <v>755200</v>
      </c>
      <c r="M153" s="75"/>
    </row>
    <row r="154" spans="1:41" ht="20.100000000000001" customHeight="1">
      <c r="A154" s="155" t="s">
        <v>97</v>
      </c>
      <c r="B154" s="156"/>
      <c r="C154" s="157"/>
      <c r="D154" s="157"/>
      <c r="E154" s="157"/>
      <c r="F154" s="156"/>
      <c r="G154" s="158" t="s">
        <v>270</v>
      </c>
      <c r="H154" s="157"/>
      <c r="I154" s="159"/>
      <c r="J154" s="160"/>
      <c r="K154" s="161"/>
      <c r="L154" s="162">
        <f>B109</f>
        <v>12027</v>
      </c>
      <c r="M154" s="162">
        <f>+B110</f>
        <v>11848</v>
      </c>
      <c r="N154" s="162">
        <f>B111</f>
        <v>11403</v>
      </c>
      <c r="O154" s="161">
        <f>B112</f>
        <v>11136</v>
      </c>
      <c r="P154" s="162">
        <f>B113</f>
        <v>11152</v>
      </c>
      <c r="Q154" s="161">
        <f>B114</f>
        <v>11080</v>
      </c>
      <c r="R154" s="162">
        <f>B115</f>
        <v>10735</v>
      </c>
      <c r="S154" s="162"/>
      <c r="T154" s="162"/>
      <c r="U154" s="162"/>
      <c r="V154" s="162"/>
      <c r="W154" s="162"/>
      <c r="X154" s="162"/>
      <c r="Y154" s="161"/>
      <c r="Z154" s="161"/>
      <c r="AA154" s="161"/>
      <c r="AB154" s="161"/>
      <c r="AC154" s="161"/>
      <c r="AD154" s="161"/>
      <c r="AE154" s="161"/>
      <c r="AF154" s="161"/>
      <c r="AG154" s="161"/>
      <c r="AH154" s="161"/>
      <c r="AI154" s="161"/>
      <c r="AJ154" s="161"/>
      <c r="AK154" s="161"/>
      <c r="AL154" s="161"/>
      <c r="AM154" s="161"/>
      <c r="AN154" s="161"/>
    </row>
    <row r="155" spans="1:41" ht="20.100000000000001" hidden="1" customHeight="1">
      <c r="A155" s="85"/>
      <c r="B155" s="163"/>
      <c r="C155" s="164"/>
      <c r="D155" s="164"/>
      <c r="E155" s="164"/>
      <c r="F155" s="164"/>
      <c r="G155" s="164"/>
      <c r="H155" s="164"/>
      <c r="I155" s="165"/>
      <c r="J155" s="166"/>
      <c r="K155" s="161"/>
      <c r="L155" s="161"/>
      <c r="M155" s="161"/>
      <c r="N155" s="161"/>
      <c r="O155" s="161"/>
      <c r="P155" s="161"/>
      <c r="Q155" s="161"/>
      <c r="R155" s="161"/>
      <c r="S155" s="161"/>
      <c r="T155" s="161"/>
      <c r="U155" s="161"/>
      <c r="V155" s="161"/>
      <c r="W155" s="161"/>
      <c r="X155" s="161"/>
      <c r="Y155" s="161"/>
      <c r="Z155" s="161"/>
      <c r="AA155" s="161"/>
      <c r="AB155" s="161"/>
      <c r="AC155" s="161"/>
      <c r="AD155" s="161"/>
      <c r="AE155" s="161"/>
      <c r="AF155" s="161"/>
      <c r="AG155" s="161"/>
      <c r="AH155" s="161"/>
      <c r="AI155" s="161"/>
      <c r="AJ155" s="161"/>
      <c r="AK155" s="161"/>
      <c r="AL155" s="161"/>
      <c r="AM155" s="161"/>
      <c r="AN155" s="161"/>
    </row>
    <row r="156" spans="1:41" s="161" customFormat="1" ht="20.100000000000001" customHeight="1">
      <c r="A156" s="167" t="s">
        <v>98</v>
      </c>
      <c r="B156" s="168">
        <f>I4</f>
        <v>0.83785366671292527</v>
      </c>
      <c r="C156" s="169">
        <f>I30</f>
        <v>0.87459954486628599</v>
      </c>
      <c r="D156" s="169">
        <f>I56</f>
        <v>0.84096297084970251</v>
      </c>
      <c r="E156" s="169"/>
      <c r="F156" s="169">
        <f>I108</f>
        <v>0.87926306752739214</v>
      </c>
      <c r="G156" s="170"/>
      <c r="H156" s="171"/>
      <c r="I156" s="172"/>
      <c r="J156" s="173"/>
      <c r="K156" s="174">
        <f>MAX(B156:I156,F156)</f>
        <v>0.87926306752739214</v>
      </c>
      <c r="L156" s="161">
        <v>2002</v>
      </c>
      <c r="M156" s="161">
        <v>2003</v>
      </c>
      <c r="N156" s="161">
        <f t="shared" ref="N156:AI156" si="32">+M156+1</f>
        <v>2004</v>
      </c>
      <c r="O156" s="161">
        <f t="shared" si="32"/>
        <v>2005</v>
      </c>
      <c r="P156" s="161">
        <f t="shared" si="32"/>
        <v>2006</v>
      </c>
      <c r="Q156" s="161">
        <f t="shared" si="32"/>
        <v>2007</v>
      </c>
      <c r="R156" s="161">
        <f t="shared" si="32"/>
        <v>2008</v>
      </c>
      <c r="S156" s="161">
        <f t="shared" si="32"/>
        <v>2009</v>
      </c>
      <c r="T156" s="161">
        <f t="shared" si="32"/>
        <v>2010</v>
      </c>
      <c r="U156" s="161">
        <f t="shared" si="32"/>
        <v>2011</v>
      </c>
      <c r="V156" s="161">
        <f t="shared" si="32"/>
        <v>2012</v>
      </c>
      <c r="W156" s="161">
        <f t="shared" si="32"/>
        <v>2013</v>
      </c>
      <c r="X156" s="161">
        <f t="shared" si="32"/>
        <v>2014</v>
      </c>
      <c r="Y156" s="161">
        <f t="shared" si="32"/>
        <v>2015</v>
      </c>
      <c r="Z156" s="161">
        <f t="shared" si="32"/>
        <v>2016</v>
      </c>
      <c r="AA156" s="161">
        <f t="shared" si="32"/>
        <v>2017</v>
      </c>
      <c r="AB156" s="161">
        <f t="shared" si="32"/>
        <v>2018</v>
      </c>
      <c r="AC156" s="161">
        <f t="shared" si="32"/>
        <v>2019</v>
      </c>
      <c r="AD156" s="161">
        <f t="shared" si="32"/>
        <v>2020</v>
      </c>
      <c r="AE156" s="161">
        <f t="shared" si="32"/>
        <v>2021</v>
      </c>
      <c r="AF156" s="161">
        <f t="shared" si="32"/>
        <v>2022</v>
      </c>
      <c r="AG156" s="161">
        <f t="shared" si="32"/>
        <v>2023</v>
      </c>
      <c r="AH156" s="161">
        <f t="shared" si="32"/>
        <v>2024</v>
      </c>
      <c r="AI156" s="161">
        <f t="shared" si="32"/>
        <v>2025</v>
      </c>
    </row>
    <row r="157" spans="1:41" ht="20.100000000000001" customHeight="1">
      <c r="K157" s="161" t="s">
        <v>99</v>
      </c>
      <c r="L157" s="161"/>
      <c r="M157" s="161"/>
      <c r="N157" s="161"/>
      <c r="O157" s="161"/>
      <c r="P157" s="161"/>
      <c r="Q157" s="161">
        <f>+Q154</f>
        <v>11080</v>
      </c>
      <c r="R157" s="162">
        <f>+B11</f>
        <v>10891</v>
      </c>
      <c r="S157" s="162">
        <f>+B12</f>
        <v>10701</v>
      </c>
      <c r="T157" s="162">
        <f>+B13</f>
        <v>10512</v>
      </c>
      <c r="U157" s="162">
        <f>+B14</f>
        <v>10322</v>
      </c>
      <c r="V157" s="162">
        <f>+B15</f>
        <v>10133</v>
      </c>
      <c r="W157" s="162">
        <f>+B16</f>
        <v>9944</v>
      </c>
      <c r="X157" s="162">
        <f>+B17</f>
        <v>9754</v>
      </c>
      <c r="Y157" s="162">
        <f>+B18</f>
        <v>9565</v>
      </c>
      <c r="Z157" s="162">
        <f>+B19</f>
        <v>9375</v>
      </c>
      <c r="AA157" s="162">
        <f>+B20</f>
        <v>9186</v>
      </c>
      <c r="AB157" s="162">
        <f>+B21</f>
        <v>8997</v>
      </c>
      <c r="AC157" s="162">
        <f>+B22</f>
        <v>8807</v>
      </c>
      <c r="AD157" s="162">
        <f>+B23</f>
        <v>8618</v>
      </c>
      <c r="AE157" s="162">
        <f>+B24</f>
        <v>8428</v>
      </c>
      <c r="AF157" s="162">
        <f>+B25</f>
        <v>8239</v>
      </c>
      <c r="AG157" s="162">
        <f>+B26</f>
        <v>8050</v>
      </c>
      <c r="AH157" s="162">
        <f>+B27</f>
        <v>7860</v>
      </c>
      <c r="AI157" s="162">
        <f>+B28</f>
        <v>7671</v>
      </c>
      <c r="AJ157" s="162"/>
      <c r="AK157" s="162"/>
      <c r="AL157" s="162"/>
      <c r="AM157" s="162"/>
      <c r="AN157" s="162"/>
      <c r="AO157" s="161"/>
    </row>
    <row r="158" spans="1:41" ht="20.100000000000001" customHeight="1">
      <c r="K158" s="161" t="s">
        <v>100</v>
      </c>
      <c r="L158" s="161"/>
      <c r="M158" s="161"/>
      <c r="N158" s="161"/>
      <c r="O158" s="161"/>
      <c r="P158" s="161"/>
      <c r="Q158" s="161">
        <f>+Q157</f>
        <v>11080</v>
      </c>
      <c r="R158" s="162">
        <f>+B37</f>
        <v>10732</v>
      </c>
      <c r="S158" s="162">
        <f>+B38</f>
        <v>10529</v>
      </c>
      <c r="T158" s="162">
        <f>+B39</f>
        <v>10327</v>
      </c>
      <c r="U158" s="162">
        <f>+B40</f>
        <v>10124</v>
      </c>
      <c r="V158" s="162">
        <f>+B41</f>
        <v>9922</v>
      </c>
      <c r="W158" s="162">
        <f>+B42</f>
        <v>9719</v>
      </c>
      <c r="X158" s="162">
        <f>+B43</f>
        <v>9517</v>
      </c>
      <c r="Y158" s="162">
        <f>+B44</f>
        <v>9314</v>
      </c>
      <c r="Z158" s="162">
        <f>+B45</f>
        <v>9111</v>
      </c>
      <c r="AA158" s="162">
        <f>+B46</f>
        <v>8909</v>
      </c>
      <c r="AB158" s="162">
        <f>+B47</f>
        <v>8706</v>
      </c>
      <c r="AC158" s="162">
        <f>+B48</f>
        <v>8504</v>
      </c>
      <c r="AD158" s="162">
        <f>+B49</f>
        <v>8301</v>
      </c>
      <c r="AE158" s="162">
        <f>+B50</f>
        <v>8099</v>
      </c>
      <c r="AF158" s="162">
        <f>+B51</f>
        <v>7896</v>
      </c>
      <c r="AG158" s="162">
        <f>+B52</f>
        <v>7693</v>
      </c>
      <c r="AH158" s="162">
        <f>+B53</f>
        <v>7491</v>
      </c>
      <c r="AI158" s="162">
        <f>+B54</f>
        <v>7288</v>
      </c>
      <c r="AJ158" s="162"/>
      <c r="AK158" s="162"/>
      <c r="AL158" s="162"/>
      <c r="AM158" s="162"/>
      <c r="AN158" s="162"/>
      <c r="AO158" s="161"/>
    </row>
    <row r="159" spans="1:41" ht="20.100000000000001" customHeight="1">
      <c r="K159" s="161" t="s">
        <v>101</v>
      </c>
      <c r="L159" s="161"/>
      <c r="M159" s="161"/>
      <c r="N159" s="161"/>
      <c r="O159" s="161"/>
      <c r="P159" s="161"/>
      <c r="Q159" s="161">
        <f>+Q158</f>
        <v>11080</v>
      </c>
      <c r="R159" s="162">
        <f>+B63</f>
        <v>10900</v>
      </c>
      <c r="S159" s="162">
        <f>+B64</f>
        <v>10722</v>
      </c>
      <c r="T159" s="162">
        <f>+B65</f>
        <v>10548</v>
      </c>
      <c r="U159" s="162">
        <f>+B66</f>
        <v>10376</v>
      </c>
      <c r="V159" s="162">
        <f>+B67</f>
        <v>10207</v>
      </c>
      <c r="W159" s="162">
        <f>+B68</f>
        <v>10041</v>
      </c>
      <c r="X159" s="162">
        <f>+B69</f>
        <v>9878</v>
      </c>
      <c r="Y159" s="162">
        <f>+B70</f>
        <v>9717</v>
      </c>
      <c r="Z159" s="162">
        <f>+B71</f>
        <v>9559</v>
      </c>
      <c r="AA159" s="162">
        <f>+B72</f>
        <v>9404</v>
      </c>
      <c r="AB159" s="162">
        <f>+B73</f>
        <v>9251</v>
      </c>
      <c r="AC159" s="162">
        <f>+B74</f>
        <v>9100</v>
      </c>
      <c r="AD159" s="162">
        <f>+B75</f>
        <v>8952</v>
      </c>
      <c r="AE159" s="162">
        <f>+B76</f>
        <v>8806</v>
      </c>
      <c r="AF159" s="162">
        <f>+B77</f>
        <v>8663</v>
      </c>
      <c r="AG159" s="162">
        <f>+B78</f>
        <v>8522</v>
      </c>
      <c r="AH159" s="162">
        <f>+B79</f>
        <v>8384</v>
      </c>
      <c r="AI159" s="162">
        <f>+B80</f>
        <v>8247</v>
      </c>
      <c r="AJ159" s="162"/>
      <c r="AK159" s="162"/>
      <c r="AL159" s="162"/>
      <c r="AM159" s="162"/>
      <c r="AN159" s="162"/>
      <c r="AO159" s="161"/>
    </row>
    <row r="160" spans="1:41" ht="20.100000000000001" customHeight="1">
      <c r="K160" s="161" t="s">
        <v>102</v>
      </c>
      <c r="L160" s="161"/>
      <c r="M160" s="161"/>
      <c r="N160" s="161"/>
      <c r="O160" s="161"/>
      <c r="P160" s="161"/>
      <c r="Q160" s="161">
        <f>+Q159</f>
        <v>11080</v>
      </c>
      <c r="R160" s="162" t="e">
        <f>+B89</f>
        <v>#VALUE!</v>
      </c>
      <c r="S160" s="162" t="e">
        <f>+B90</f>
        <v>#VALUE!</v>
      </c>
      <c r="T160" s="162" t="e">
        <f>+B91</f>
        <v>#VALUE!</v>
      </c>
      <c r="U160" s="162" t="e">
        <f>+B92</f>
        <v>#VALUE!</v>
      </c>
      <c r="V160" s="162" t="e">
        <f>+B93</f>
        <v>#VALUE!</v>
      </c>
      <c r="W160" s="162" t="e">
        <f>+B94</f>
        <v>#VALUE!</v>
      </c>
      <c r="X160" s="162" t="e">
        <f>+B95</f>
        <v>#VALUE!</v>
      </c>
      <c r="Y160" s="162" t="e">
        <f>+B96</f>
        <v>#VALUE!</v>
      </c>
      <c r="Z160" s="162" t="e">
        <f>+B97</f>
        <v>#VALUE!</v>
      </c>
      <c r="AA160" s="162" t="e">
        <f>+B98</f>
        <v>#VALUE!</v>
      </c>
      <c r="AB160" s="162" t="e">
        <f>+B99</f>
        <v>#VALUE!</v>
      </c>
      <c r="AC160" s="162" t="e">
        <f>+B100</f>
        <v>#VALUE!</v>
      </c>
      <c r="AD160" s="162" t="e">
        <f>+B101</f>
        <v>#VALUE!</v>
      </c>
      <c r="AE160" s="162" t="e">
        <f>+B102</f>
        <v>#VALUE!</v>
      </c>
      <c r="AF160" s="162" t="e">
        <f>+B103</f>
        <v>#VALUE!</v>
      </c>
      <c r="AG160" s="162" t="e">
        <f>+B104</f>
        <v>#VALUE!</v>
      </c>
      <c r="AH160" s="162" t="e">
        <f>+B105</f>
        <v>#VALUE!</v>
      </c>
      <c r="AI160" s="162" t="e">
        <f>+B106</f>
        <v>#VALUE!</v>
      </c>
      <c r="AJ160" s="161"/>
      <c r="AK160" s="161"/>
      <c r="AL160" s="161"/>
      <c r="AM160" s="161"/>
      <c r="AN160" s="161"/>
      <c r="AO160" s="161"/>
    </row>
    <row r="161" spans="11:41" ht="20.100000000000001" customHeight="1">
      <c r="K161" s="161" t="s">
        <v>103</v>
      </c>
      <c r="L161" s="161"/>
      <c r="M161" s="161"/>
      <c r="N161" s="161"/>
      <c r="O161" s="161"/>
      <c r="P161" s="161"/>
      <c r="Q161" s="161">
        <f>+Q160</f>
        <v>11080</v>
      </c>
      <c r="R161" s="162">
        <f>+B115</f>
        <v>10735</v>
      </c>
      <c r="S161" s="162">
        <f>+B116</f>
        <v>10534</v>
      </c>
      <c r="T161" s="162">
        <f>+B117</f>
        <v>10335</v>
      </c>
      <c r="U161" s="162">
        <f>+B118</f>
        <v>10136</v>
      </c>
      <c r="V161" s="162">
        <f>+B119</f>
        <v>9939</v>
      </c>
      <c r="W161" s="162">
        <f>+B120</f>
        <v>9743</v>
      </c>
      <c r="X161" s="162">
        <f>+B121</f>
        <v>9547</v>
      </c>
      <c r="Y161" s="162">
        <f>+B122</f>
        <v>9354</v>
      </c>
      <c r="Z161" s="162">
        <f>+B123</f>
        <v>9162</v>
      </c>
      <c r="AA161" s="162">
        <f>+B124</f>
        <v>8971</v>
      </c>
      <c r="AB161" s="162">
        <f>+B125</f>
        <v>8782</v>
      </c>
      <c r="AC161" s="162">
        <f>+B126</f>
        <v>8594</v>
      </c>
      <c r="AD161" s="162">
        <f>+B127</f>
        <v>8409</v>
      </c>
      <c r="AE161" s="162">
        <f>+B128</f>
        <v>8225</v>
      </c>
      <c r="AF161" s="162">
        <f>+B129</f>
        <v>8043</v>
      </c>
      <c r="AG161" s="162">
        <f>+B130</f>
        <v>7864</v>
      </c>
      <c r="AH161" s="162">
        <f>+B131</f>
        <v>7686</v>
      </c>
      <c r="AI161" s="162">
        <f>+B132</f>
        <v>7511</v>
      </c>
      <c r="AJ161" s="162"/>
      <c r="AK161" s="162"/>
      <c r="AL161" s="162"/>
      <c r="AM161" s="162"/>
      <c r="AN161" s="162"/>
      <c r="AO161" s="161"/>
    </row>
    <row r="162" spans="11:41" ht="20.100000000000001" customHeight="1">
      <c r="K162" s="161" t="s">
        <v>95</v>
      </c>
      <c r="L162" s="161"/>
      <c r="M162" s="161"/>
      <c r="N162" s="161"/>
      <c r="O162" s="161"/>
      <c r="P162" s="161"/>
      <c r="Q162" s="161">
        <f>+Q161</f>
        <v>11080</v>
      </c>
      <c r="R162" s="206">
        <f>+H136</f>
        <v>10813</v>
      </c>
      <c r="S162" s="206">
        <f>+H137</f>
        <v>10617.5</v>
      </c>
      <c r="T162" s="206">
        <f>+H138</f>
        <v>10423.5</v>
      </c>
      <c r="U162" s="206">
        <f>+H139</f>
        <v>10229</v>
      </c>
      <c r="V162" s="206">
        <f>+H140</f>
        <v>10036</v>
      </c>
      <c r="W162" s="175">
        <f>+H141</f>
        <v>9843.5</v>
      </c>
      <c r="X162" s="206">
        <f>+H142</f>
        <v>9650.5</v>
      </c>
      <c r="Y162" s="206">
        <f>+H143</f>
        <v>9459.5</v>
      </c>
      <c r="Z162" s="206">
        <f>+H144</f>
        <v>9268.5</v>
      </c>
      <c r="AA162" s="206">
        <f>+H145</f>
        <v>9078.5</v>
      </c>
      <c r="AB162" s="206">
        <f>+H146</f>
        <v>8889.5</v>
      </c>
      <c r="AC162" s="206">
        <f>+H147</f>
        <v>8700.5</v>
      </c>
      <c r="AD162" s="206">
        <f>+H148</f>
        <v>8513.5</v>
      </c>
      <c r="AE162" s="206">
        <f>+H149</f>
        <v>8326.5</v>
      </c>
      <c r="AF162" s="206">
        <f>+H150</f>
        <v>8141</v>
      </c>
      <c r="AG162" s="206">
        <f>+H151</f>
        <v>7957</v>
      </c>
      <c r="AH162" s="206">
        <f>+H152</f>
        <v>7773</v>
      </c>
      <c r="AI162" s="206">
        <f>+H153</f>
        <v>7591</v>
      </c>
      <c r="AJ162" s="161"/>
      <c r="AK162" s="161"/>
      <c r="AL162" s="161"/>
      <c r="AM162" s="161"/>
      <c r="AN162" s="161"/>
      <c r="AO162" s="161" t="s">
        <v>95</v>
      </c>
    </row>
    <row r="163" spans="11:41" ht="20.100000000000001" customHeight="1"/>
    <row r="164" spans="11:41" ht="20.100000000000001" customHeight="1"/>
    <row r="165" spans="11:41" ht="20.100000000000001" customHeight="1"/>
    <row r="166" spans="11:41" ht="20.100000000000001" customHeight="1"/>
    <row r="167" spans="11:41" ht="20.100000000000001" customHeight="1"/>
    <row r="168" spans="11:41" ht="20.100000000000001" customHeight="1"/>
    <row r="169" spans="11:41" ht="20.100000000000001" customHeight="1"/>
    <row r="170" spans="11:41" ht="20.100000000000001" customHeight="1"/>
    <row r="171" spans="11:41" ht="20.100000000000001" customHeight="1"/>
    <row r="172" spans="11:41" ht="20.100000000000001" customHeight="1"/>
    <row r="173" spans="11:41" ht="20.100000000000001" customHeight="1"/>
    <row r="174" spans="11:41" ht="20.100000000000001" customHeight="1"/>
    <row r="175" spans="11:41" ht="20.100000000000001" customHeight="1"/>
    <row r="176" spans="11:41" ht="20.100000000000001" customHeight="1"/>
    <row r="177" ht="20.100000000000001" customHeight="1"/>
    <row r="178" ht="20.100000000000001" customHeight="1"/>
    <row r="179" ht="20.100000000000001" customHeight="1"/>
  </sheetData>
  <phoneticPr fontId="50" type="noConversion"/>
  <pageMargins left="0.74803149606299213" right="0.74803149606299213" top="0.78740157480314965" bottom="0.78740157480314965" header="0.51181102362204722" footer="0.51181102362204722"/>
  <pageSetup paperSize="9" scale="70" fitToHeight="3" orientation="portrait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>
  <sheetPr codeName="Sheet27">
    <tabColor indexed="53"/>
  </sheetPr>
  <dimension ref="A1:AX248"/>
  <sheetViews>
    <sheetView workbookViewId="0"/>
  </sheetViews>
  <sheetFormatPr defaultRowHeight="15" customHeight="1"/>
  <cols>
    <col min="1" max="1" width="8.88671875" style="55"/>
    <col min="2" max="2" width="9.21875" style="55" customWidth="1"/>
    <col min="3" max="3" width="9.5546875" style="55" customWidth="1"/>
    <col min="4" max="4" width="9" style="55" customWidth="1"/>
    <col min="5" max="5" width="11.33203125" style="55" customWidth="1"/>
    <col min="6" max="6" width="9.44140625" style="55" customWidth="1"/>
    <col min="7" max="7" width="15.109375" style="55" bestFit="1" customWidth="1"/>
    <col min="8" max="8" width="12.88671875" style="55" bestFit="1" customWidth="1"/>
    <col min="9" max="9" width="11.5546875" style="55" bestFit="1" customWidth="1"/>
    <col min="10" max="16384" width="8.88671875" style="55"/>
  </cols>
  <sheetData>
    <row r="1" spans="1:12" ht="15" customHeight="1">
      <c r="A1" s="54" t="s">
        <v>128</v>
      </c>
    </row>
    <row r="2" spans="1:12" ht="15" customHeight="1">
      <c r="A2" s="54"/>
    </row>
    <row r="3" spans="1:12" ht="15" customHeight="1">
      <c r="A3" s="56" t="s">
        <v>74</v>
      </c>
      <c r="B3" s="57"/>
    </row>
    <row r="4" spans="1:12" ht="15" customHeight="1">
      <c r="A4" s="58" t="s">
        <v>32</v>
      </c>
      <c r="B4" s="59" t="s">
        <v>40</v>
      </c>
      <c r="C4" s="59" t="s">
        <v>33</v>
      </c>
      <c r="D4" s="60"/>
      <c r="E4" s="60"/>
      <c r="F4" s="61"/>
      <c r="G4" s="62"/>
      <c r="H4" s="63" t="s">
        <v>104</v>
      </c>
      <c r="I4" s="64">
        <f>RSQ(I5:I24,B5:B24)</f>
        <v>0.91813951041058972</v>
      </c>
    </row>
    <row r="5" spans="1:12" ht="15" customHeight="1">
      <c r="A5" s="65">
        <f>과거인구현황!A6</f>
        <v>1988</v>
      </c>
      <c r="B5" s="66">
        <f>+VLOOKUP(A5,과거인구현황!$A$6:$W$26,20,FALSE)</f>
        <v>8293</v>
      </c>
      <c r="C5" s="67">
        <v>0</v>
      </c>
      <c r="D5" s="53" t="s">
        <v>75</v>
      </c>
      <c r="E5" s="68">
        <f>(B24-B5)/C24</f>
        <v>-206.26315789473685</v>
      </c>
      <c r="F5" s="69"/>
      <c r="G5" s="53"/>
      <c r="H5" s="69"/>
      <c r="I5" s="70">
        <f t="shared" ref="I5:I42" si="0">$E$5*C5+$E$6</f>
        <v>8293</v>
      </c>
      <c r="J5" s="71">
        <v>570570</v>
      </c>
      <c r="K5" s="55">
        <v>570570</v>
      </c>
      <c r="L5" s="55">
        <v>766</v>
      </c>
    </row>
    <row r="6" spans="1:12" ht="15" customHeight="1">
      <c r="A6" s="65">
        <f>과거인구현황!A7</f>
        <v>1989</v>
      </c>
      <c r="B6" s="66">
        <f>+VLOOKUP(A6,과거인구현황!$A$6:$W$26,20,FALSE)</f>
        <v>8370</v>
      </c>
      <c r="C6" s="67">
        <f t="shared" ref="C6:C42" si="1">C5+1</f>
        <v>1</v>
      </c>
      <c r="D6" s="53" t="s">
        <v>76</v>
      </c>
      <c r="E6" s="72">
        <f>B5</f>
        <v>8293</v>
      </c>
      <c r="F6" s="69"/>
      <c r="G6" s="53"/>
      <c r="H6" s="69"/>
      <c r="I6" s="70">
        <f t="shared" si="0"/>
        <v>8086.7368421052633</v>
      </c>
      <c r="J6" s="71">
        <v>583230</v>
      </c>
      <c r="K6" s="55">
        <v>583230</v>
      </c>
      <c r="L6" s="55">
        <v>1094</v>
      </c>
    </row>
    <row r="7" spans="1:12" ht="15" customHeight="1">
      <c r="A7" s="65">
        <f>과거인구현황!A8</f>
        <v>1990</v>
      </c>
      <c r="B7" s="66">
        <f>+VLOOKUP(A7,과거인구현황!$A$6:$W$26,20,FALSE)</f>
        <v>7082</v>
      </c>
      <c r="C7" s="67">
        <f t="shared" si="1"/>
        <v>2</v>
      </c>
      <c r="D7" s="53" t="s">
        <v>77</v>
      </c>
      <c r="E7" s="73">
        <f>I4</f>
        <v>0.91813951041058972</v>
      </c>
      <c r="F7" s="69"/>
      <c r="G7" s="53"/>
      <c r="H7" s="69"/>
      <c r="I7" s="70">
        <f t="shared" si="0"/>
        <v>7880.4736842105267</v>
      </c>
      <c r="J7" s="71">
        <v>590162</v>
      </c>
      <c r="K7" s="55">
        <v>590162</v>
      </c>
      <c r="L7" s="55">
        <v>1277</v>
      </c>
    </row>
    <row r="8" spans="1:12" ht="15" customHeight="1">
      <c r="A8" s="65">
        <f>과거인구현황!A9</f>
        <v>1991</v>
      </c>
      <c r="B8" s="66">
        <f>+VLOOKUP(A8,과거인구현황!$A$6:$W$26,20,FALSE)</f>
        <v>7199</v>
      </c>
      <c r="C8" s="67">
        <f t="shared" si="1"/>
        <v>3</v>
      </c>
      <c r="D8" s="53"/>
      <c r="E8" s="53"/>
      <c r="F8" s="69"/>
      <c r="G8" s="53"/>
      <c r="H8" s="69"/>
      <c r="I8" s="70">
        <f t="shared" si="0"/>
        <v>7674.2105263157891</v>
      </c>
      <c r="J8" s="71">
        <v>600343</v>
      </c>
      <c r="K8" s="55">
        <v>600343</v>
      </c>
      <c r="L8" s="55">
        <v>1147</v>
      </c>
    </row>
    <row r="9" spans="1:12" ht="15" customHeight="1">
      <c r="A9" s="65">
        <f>과거인구현황!A10</f>
        <v>1992</v>
      </c>
      <c r="B9" s="66">
        <f>+VLOOKUP(A9,과거인구현황!$A$6:$W$26,20,FALSE)</f>
        <v>6932</v>
      </c>
      <c r="C9" s="67">
        <f t="shared" si="1"/>
        <v>4</v>
      </c>
      <c r="D9" s="53"/>
      <c r="E9" s="53"/>
      <c r="F9" s="69"/>
      <c r="G9" s="53"/>
      <c r="H9" s="69"/>
      <c r="I9" s="70">
        <f t="shared" si="0"/>
        <v>7467.9473684210525</v>
      </c>
      <c r="J9" s="71">
        <v>611921</v>
      </c>
      <c r="K9" s="55">
        <v>611921</v>
      </c>
      <c r="L9" s="55">
        <v>1355</v>
      </c>
    </row>
    <row r="10" spans="1:12" ht="15" customHeight="1">
      <c r="A10" s="65">
        <f>과거인구현황!A11</f>
        <v>1993</v>
      </c>
      <c r="B10" s="66">
        <f>+VLOOKUP(A10,과거인구현황!$A$6:$W$26,20,FALSE)</f>
        <v>6684</v>
      </c>
      <c r="C10" s="67">
        <f t="shared" si="1"/>
        <v>5</v>
      </c>
      <c r="D10" s="53"/>
      <c r="E10" s="53"/>
      <c r="F10" s="69"/>
      <c r="G10" s="53"/>
      <c r="H10" s="69"/>
      <c r="I10" s="70">
        <f t="shared" si="0"/>
        <v>7261.6842105263158</v>
      </c>
      <c r="J10" s="74">
        <v>622238</v>
      </c>
      <c r="K10" s="55">
        <v>622238</v>
      </c>
      <c r="L10" s="55">
        <v>1717</v>
      </c>
    </row>
    <row r="11" spans="1:12" ht="15" customHeight="1">
      <c r="A11" s="65">
        <f>과거인구현황!A12</f>
        <v>1994</v>
      </c>
      <c r="B11" s="66">
        <f>+VLOOKUP(A11,과거인구현황!$A$6:$W$26,20,FALSE)</f>
        <v>6207</v>
      </c>
      <c r="C11" s="67">
        <f t="shared" si="1"/>
        <v>6</v>
      </c>
      <c r="D11" s="53" t="s">
        <v>73</v>
      </c>
      <c r="E11" s="53"/>
      <c r="F11" s="69"/>
      <c r="G11" s="53"/>
      <c r="H11" s="69"/>
      <c r="I11" s="70">
        <f t="shared" si="0"/>
        <v>7055.4210526315792</v>
      </c>
      <c r="J11" s="74">
        <v>623897</v>
      </c>
      <c r="K11" s="55">
        <v>623897</v>
      </c>
      <c r="L11" s="55">
        <v>1614</v>
      </c>
    </row>
    <row r="12" spans="1:12" ht="15" customHeight="1">
      <c r="A12" s="65">
        <f>과거인구현황!A13</f>
        <v>1995</v>
      </c>
      <c r="B12" s="66">
        <f>+VLOOKUP(A12,과거인구현황!$A$6:$W$26,20,FALSE)</f>
        <v>5816</v>
      </c>
      <c r="C12" s="67">
        <f t="shared" si="1"/>
        <v>7</v>
      </c>
      <c r="D12" s="53"/>
      <c r="E12" s="53"/>
      <c r="F12" s="69"/>
      <c r="G12" s="53"/>
      <c r="H12" s="69"/>
      <c r="I12" s="70">
        <f t="shared" si="0"/>
        <v>6849.1578947368416</v>
      </c>
      <c r="J12" s="74">
        <v>626069</v>
      </c>
      <c r="K12" s="55">
        <v>626069</v>
      </c>
      <c r="L12" s="55">
        <v>1584</v>
      </c>
    </row>
    <row r="13" spans="1:12" ht="15" customHeight="1">
      <c r="A13" s="65">
        <f>과거인구현황!A14</f>
        <v>1996</v>
      </c>
      <c r="B13" s="66">
        <f>+VLOOKUP(A13,과거인구현황!$A$6:$W$26,20,FALSE)</f>
        <v>5548</v>
      </c>
      <c r="C13" s="67">
        <f t="shared" si="1"/>
        <v>8</v>
      </c>
      <c r="D13" s="53"/>
      <c r="E13" s="53"/>
      <c r="F13" s="69"/>
      <c r="G13" s="53"/>
      <c r="H13" s="69"/>
      <c r="I13" s="70">
        <f t="shared" si="0"/>
        <v>6642.894736842105</v>
      </c>
      <c r="J13" s="74">
        <v>618816</v>
      </c>
      <c r="K13" s="55">
        <v>620374</v>
      </c>
      <c r="L13" s="75">
        <v>1555</v>
      </c>
    </row>
    <row r="14" spans="1:12" ht="15" customHeight="1">
      <c r="A14" s="65">
        <f>과거인구현황!A15</f>
        <v>1997</v>
      </c>
      <c r="B14" s="66">
        <f>+VLOOKUP(A14,과거인구현황!$A$6:$W$26,20,FALSE)</f>
        <v>5872</v>
      </c>
      <c r="C14" s="67">
        <f t="shared" si="1"/>
        <v>9</v>
      </c>
      <c r="D14" s="53"/>
      <c r="E14" s="53"/>
      <c r="F14" s="69"/>
      <c r="G14" s="53"/>
      <c r="H14" s="69"/>
      <c r="I14" s="70">
        <f t="shared" si="0"/>
        <v>6436.6315789473683</v>
      </c>
      <c r="J14" s="74">
        <v>622472</v>
      </c>
      <c r="K14" s="55">
        <v>624260</v>
      </c>
      <c r="L14" s="75">
        <v>1788</v>
      </c>
    </row>
    <row r="15" spans="1:12" ht="15" customHeight="1">
      <c r="A15" s="65">
        <f>과거인구현황!A16</f>
        <v>1998</v>
      </c>
      <c r="B15" s="66">
        <f>+VLOOKUP(A15,과거인구현황!$A$6:$W$26,20,FALSE)</f>
        <v>5835</v>
      </c>
      <c r="C15" s="67">
        <f t="shared" si="1"/>
        <v>10</v>
      </c>
      <c r="D15" s="53"/>
      <c r="E15" s="53"/>
      <c r="F15" s="69"/>
      <c r="G15" s="53"/>
      <c r="H15" s="69"/>
      <c r="I15" s="70">
        <f t="shared" si="0"/>
        <v>6230.3684210526317</v>
      </c>
      <c r="K15" s="55">
        <v>623804</v>
      </c>
      <c r="L15" s="75">
        <f>+J15-K15</f>
        <v>-623804</v>
      </c>
    </row>
    <row r="16" spans="1:12" ht="15" customHeight="1">
      <c r="A16" s="65">
        <f>과거인구현황!A17</f>
        <v>1999</v>
      </c>
      <c r="B16" s="66">
        <f>+VLOOKUP(A16,과거인구현황!$A$6:$W$26,20,FALSE)</f>
        <v>5719</v>
      </c>
      <c r="C16" s="67">
        <f t="shared" si="1"/>
        <v>11</v>
      </c>
      <c r="D16" s="53"/>
      <c r="E16" s="53"/>
      <c r="F16" s="69"/>
      <c r="G16" s="53"/>
      <c r="H16" s="69"/>
      <c r="I16" s="70">
        <f t="shared" si="0"/>
        <v>6024.105263157895</v>
      </c>
      <c r="L16" s="75"/>
    </row>
    <row r="17" spans="1:12" ht="15" customHeight="1">
      <c r="A17" s="65">
        <f>과거인구현황!A18</f>
        <v>2000</v>
      </c>
      <c r="B17" s="66">
        <f>+VLOOKUP(A17,과거인구현황!$A$6:$W$26,20,FALSE)</f>
        <v>5594</v>
      </c>
      <c r="C17" s="67">
        <f t="shared" si="1"/>
        <v>12</v>
      </c>
      <c r="D17" s="53"/>
      <c r="E17" s="53"/>
      <c r="F17" s="69"/>
      <c r="G17" s="53"/>
      <c r="H17" s="69"/>
      <c r="I17" s="70">
        <f t="shared" si="0"/>
        <v>5817.8421052631584</v>
      </c>
      <c r="L17" s="75"/>
    </row>
    <row r="18" spans="1:12" ht="15" customHeight="1">
      <c r="A18" s="65">
        <f>과거인구현황!A19</f>
        <v>2001</v>
      </c>
      <c r="B18" s="66">
        <f>+VLOOKUP(A18,과거인구현황!$A$6:$W$26,20,FALSE)</f>
        <v>5248</v>
      </c>
      <c r="C18" s="67">
        <f t="shared" si="1"/>
        <v>13</v>
      </c>
      <c r="D18" s="53"/>
      <c r="E18" s="53"/>
      <c r="F18" s="69"/>
      <c r="G18" s="53"/>
      <c r="H18" s="69"/>
      <c r="I18" s="70">
        <f t="shared" si="0"/>
        <v>5611.5789473684208</v>
      </c>
      <c r="L18" s="75"/>
    </row>
    <row r="19" spans="1:12" ht="15" customHeight="1">
      <c r="A19" s="65">
        <f>과거인구현황!A20</f>
        <v>2002</v>
      </c>
      <c r="B19" s="66">
        <f>+VLOOKUP(A19,과거인구현황!$A$6:$W$26,20,FALSE)</f>
        <v>5034</v>
      </c>
      <c r="C19" s="67">
        <f t="shared" si="1"/>
        <v>14</v>
      </c>
      <c r="D19" s="53"/>
      <c r="E19" s="53"/>
      <c r="F19" s="69"/>
      <c r="G19" s="53"/>
      <c r="H19" s="69"/>
      <c r="I19" s="70">
        <f t="shared" si="0"/>
        <v>5405.3157894736842</v>
      </c>
      <c r="L19" s="75"/>
    </row>
    <row r="20" spans="1:12" ht="15" customHeight="1">
      <c r="A20" s="65">
        <f>과거인구현황!A21</f>
        <v>2003</v>
      </c>
      <c r="B20" s="66">
        <f>+VLOOKUP(A20,과거인구현황!$A$6:$W$26,20,FALSE)</f>
        <v>4835</v>
      </c>
      <c r="C20" s="67">
        <f t="shared" si="1"/>
        <v>15</v>
      </c>
      <c r="D20" s="53"/>
      <c r="E20" s="53"/>
      <c r="F20" s="69"/>
      <c r="G20" s="53"/>
      <c r="H20" s="69"/>
      <c r="I20" s="70">
        <f t="shared" si="0"/>
        <v>5199.0526315789466</v>
      </c>
      <c r="L20" s="75"/>
    </row>
    <row r="21" spans="1:12" ht="15" customHeight="1">
      <c r="A21" s="65">
        <f>과거인구현황!A22</f>
        <v>2004</v>
      </c>
      <c r="B21" s="66">
        <f>+VLOOKUP(A21,과거인구현황!$A$6:$W$26,20,FALSE)</f>
        <v>4742</v>
      </c>
      <c r="C21" s="67">
        <f t="shared" si="1"/>
        <v>16</v>
      </c>
      <c r="D21" s="53"/>
      <c r="E21" s="53"/>
      <c r="F21" s="69"/>
      <c r="G21" s="53"/>
      <c r="H21" s="69"/>
      <c r="I21" s="70">
        <f t="shared" si="0"/>
        <v>4992.78947368421</v>
      </c>
      <c r="L21" s="75"/>
    </row>
    <row r="22" spans="1:12" ht="15" customHeight="1">
      <c r="A22" s="65">
        <f>과거인구현황!A23</f>
        <v>2005</v>
      </c>
      <c r="B22" s="66">
        <f>+VLOOKUP(A22,과거인구현황!$A$6:$W$26,20,FALSE)</f>
        <v>4623</v>
      </c>
      <c r="C22" s="67">
        <f t="shared" si="1"/>
        <v>17</v>
      </c>
      <c r="D22" s="53"/>
      <c r="E22" s="53"/>
      <c r="F22" s="69"/>
      <c r="G22" s="53"/>
      <c r="H22" s="69"/>
      <c r="I22" s="70">
        <f t="shared" si="0"/>
        <v>4786.5263157894733</v>
      </c>
      <c r="L22" s="75"/>
    </row>
    <row r="23" spans="1:12" ht="15" customHeight="1">
      <c r="A23" s="65">
        <f>과거인구현황!A24</f>
        <v>2006</v>
      </c>
      <c r="B23" s="66">
        <f>+VLOOKUP(A23,과거인구현황!$A$6:$W$26,20,FALSE)</f>
        <v>4474</v>
      </c>
      <c r="C23" s="67">
        <f t="shared" si="1"/>
        <v>18</v>
      </c>
      <c r="D23" s="53"/>
      <c r="E23" s="53"/>
      <c r="F23" s="69"/>
      <c r="G23" s="53"/>
      <c r="H23" s="69"/>
      <c r="I23" s="70">
        <f t="shared" si="0"/>
        <v>4580.2631578947367</v>
      </c>
      <c r="L23" s="75"/>
    </row>
    <row r="24" spans="1:12" ht="15" customHeight="1" thickBot="1">
      <c r="A24" s="97">
        <f>과거인구현황!A25</f>
        <v>2007</v>
      </c>
      <c r="B24" s="185">
        <f>+VLOOKUP(A24,과거인구현황!$A$6:$W$26,20,FALSE)</f>
        <v>4374</v>
      </c>
      <c r="C24" s="99">
        <f t="shared" si="1"/>
        <v>19</v>
      </c>
      <c r="D24" s="101"/>
      <c r="E24" s="101"/>
      <c r="F24" s="100"/>
      <c r="G24" s="101"/>
      <c r="H24" s="100"/>
      <c r="I24" s="102">
        <f t="shared" si="0"/>
        <v>4374</v>
      </c>
      <c r="L24" s="75"/>
    </row>
    <row r="25" spans="1:12" ht="15" customHeight="1" thickTop="1">
      <c r="A25" s="255">
        <v>2008</v>
      </c>
      <c r="B25" s="81">
        <f t="shared" ref="B25:B42" si="2">ROUND($E$5*C25+$E$6,0)</f>
        <v>4168</v>
      </c>
      <c r="C25" s="77">
        <f t="shared" si="1"/>
        <v>20</v>
      </c>
      <c r="D25" s="256"/>
      <c r="E25" s="256"/>
      <c r="F25" s="78"/>
      <c r="G25" s="256"/>
      <c r="H25" s="78"/>
      <c r="I25" s="79">
        <f t="shared" si="0"/>
        <v>4167.7368421052633</v>
      </c>
      <c r="L25" s="75"/>
    </row>
    <row r="26" spans="1:12" ht="15" customHeight="1">
      <c r="A26" s="80">
        <v>2009</v>
      </c>
      <c r="B26" s="81">
        <f t="shared" si="2"/>
        <v>3961</v>
      </c>
      <c r="C26" s="67">
        <f>C25+1</f>
        <v>21</v>
      </c>
      <c r="D26" s="69"/>
      <c r="E26" s="69"/>
      <c r="F26" s="69"/>
      <c r="G26" s="69"/>
      <c r="H26" s="69"/>
      <c r="I26" s="70">
        <f t="shared" si="0"/>
        <v>3961.4736842105258</v>
      </c>
    </row>
    <row r="27" spans="1:12" ht="15" customHeight="1">
      <c r="A27" s="80">
        <v>2010</v>
      </c>
      <c r="B27" s="81">
        <f t="shared" si="2"/>
        <v>3755</v>
      </c>
      <c r="C27" s="82">
        <f t="shared" si="1"/>
        <v>22</v>
      </c>
      <c r="D27" s="69"/>
      <c r="E27" s="69"/>
      <c r="F27" s="69"/>
      <c r="G27" s="69"/>
      <c r="H27" s="69"/>
      <c r="I27" s="70">
        <f t="shared" si="0"/>
        <v>3755.2105263157891</v>
      </c>
    </row>
    <row r="28" spans="1:12" ht="15" customHeight="1">
      <c r="A28" s="80">
        <v>2011</v>
      </c>
      <c r="B28" s="81">
        <f t="shared" si="2"/>
        <v>3549</v>
      </c>
      <c r="C28" s="82">
        <f t="shared" si="1"/>
        <v>23</v>
      </c>
      <c r="D28" s="69"/>
      <c r="E28" s="69"/>
      <c r="F28" s="69"/>
      <c r="G28" s="69"/>
      <c r="H28" s="69"/>
      <c r="I28" s="70">
        <f t="shared" si="0"/>
        <v>3548.9473684210525</v>
      </c>
    </row>
    <row r="29" spans="1:12" ht="15" customHeight="1">
      <c r="A29" s="80">
        <v>2012</v>
      </c>
      <c r="B29" s="81">
        <f t="shared" si="2"/>
        <v>3343</v>
      </c>
      <c r="C29" s="82">
        <f t="shared" si="1"/>
        <v>24</v>
      </c>
      <c r="D29" s="69"/>
      <c r="E29" s="69"/>
      <c r="F29" s="69"/>
      <c r="G29" s="69"/>
      <c r="H29" s="69"/>
      <c r="I29" s="70">
        <f t="shared" si="0"/>
        <v>3342.6842105263158</v>
      </c>
    </row>
    <row r="30" spans="1:12" ht="15" customHeight="1">
      <c r="A30" s="80">
        <v>2013</v>
      </c>
      <c r="B30" s="81">
        <f t="shared" si="2"/>
        <v>3136</v>
      </c>
      <c r="C30" s="82">
        <f t="shared" si="1"/>
        <v>25</v>
      </c>
      <c r="D30" s="69"/>
      <c r="E30" s="69"/>
      <c r="F30" s="69"/>
      <c r="G30" s="69"/>
      <c r="H30" s="69"/>
      <c r="I30" s="70">
        <f t="shared" si="0"/>
        <v>3136.4210526315792</v>
      </c>
    </row>
    <row r="31" spans="1:12" ht="15" customHeight="1">
      <c r="A31" s="80">
        <v>2014</v>
      </c>
      <c r="B31" s="81">
        <f t="shared" si="2"/>
        <v>2930</v>
      </c>
      <c r="C31" s="82">
        <f t="shared" si="1"/>
        <v>26</v>
      </c>
      <c r="D31" s="69"/>
      <c r="E31" s="69"/>
      <c r="F31" s="69"/>
      <c r="G31" s="69"/>
      <c r="H31" s="69"/>
      <c r="I31" s="70">
        <f t="shared" si="0"/>
        <v>2930.1578947368416</v>
      </c>
    </row>
    <row r="32" spans="1:12" ht="15" customHeight="1">
      <c r="A32" s="80">
        <v>2015</v>
      </c>
      <c r="B32" s="81">
        <f t="shared" si="2"/>
        <v>2724</v>
      </c>
      <c r="C32" s="82">
        <f t="shared" si="1"/>
        <v>27</v>
      </c>
      <c r="D32" s="69"/>
      <c r="E32" s="69"/>
      <c r="F32" s="69"/>
      <c r="G32" s="69"/>
      <c r="H32" s="69"/>
      <c r="I32" s="70">
        <f t="shared" si="0"/>
        <v>2723.894736842105</v>
      </c>
    </row>
    <row r="33" spans="1:9" ht="15" customHeight="1">
      <c r="A33" s="80">
        <v>2016</v>
      </c>
      <c r="B33" s="81">
        <f t="shared" si="2"/>
        <v>2518</v>
      </c>
      <c r="C33" s="82">
        <f t="shared" si="1"/>
        <v>28</v>
      </c>
      <c r="D33" s="69"/>
      <c r="E33" s="69"/>
      <c r="F33" s="69"/>
      <c r="G33" s="69"/>
      <c r="H33" s="69"/>
      <c r="I33" s="70">
        <f t="shared" si="0"/>
        <v>2517.6315789473683</v>
      </c>
    </row>
    <row r="34" spans="1:9" ht="15" customHeight="1">
      <c r="A34" s="80">
        <v>2017</v>
      </c>
      <c r="B34" s="81">
        <f t="shared" si="2"/>
        <v>2311</v>
      </c>
      <c r="C34" s="82">
        <f t="shared" si="1"/>
        <v>29</v>
      </c>
      <c r="D34" s="69"/>
      <c r="E34" s="69"/>
      <c r="F34" s="69"/>
      <c r="G34" s="69"/>
      <c r="H34" s="69"/>
      <c r="I34" s="70">
        <f t="shared" si="0"/>
        <v>2311.3684210526317</v>
      </c>
    </row>
    <row r="35" spans="1:9" ht="15" customHeight="1">
      <c r="A35" s="80">
        <v>2018</v>
      </c>
      <c r="B35" s="81">
        <f t="shared" si="2"/>
        <v>2105</v>
      </c>
      <c r="C35" s="82">
        <f t="shared" si="1"/>
        <v>30</v>
      </c>
      <c r="D35" s="69"/>
      <c r="E35" s="69"/>
      <c r="F35" s="69"/>
      <c r="G35" s="69"/>
      <c r="H35" s="69"/>
      <c r="I35" s="70">
        <f t="shared" si="0"/>
        <v>2105.1052631578941</v>
      </c>
    </row>
    <row r="36" spans="1:9" ht="15" customHeight="1">
      <c r="A36" s="80">
        <v>2019</v>
      </c>
      <c r="B36" s="81">
        <f t="shared" si="2"/>
        <v>1899</v>
      </c>
      <c r="C36" s="82">
        <f t="shared" si="1"/>
        <v>31</v>
      </c>
      <c r="D36" s="69"/>
      <c r="E36" s="69"/>
      <c r="F36" s="69"/>
      <c r="G36" s="69"/>
      <c r="H36" s="69"/>
      <c r="I36" s="70">
        <f t="shared" si="0"/>
        <v>1898.8421052631575</v>
      </c>
    </row>
    <row r="37" spans="1:9" ht="15" customHeight="1">
      <c r="A37" s="80">
        <v>2020</v>
      </c>
      <c r="B37" s="81">
        <f t="shared" si="2"/>
        <v>1693</v>
      </c>
      <c r="C37" s="82">
        <f t="shared" si="1"/>
        <v>32</v>
      </c>
      <c r="D37" s="69"/>
      <c r="E37" s="69"/>
      <c r="F37" s="69"/>
      <c r="G37" s="69"/>
      <c r="H37" s="69"/>
      <c r="I37" s="70">
        <f t="shared" si="0"/>
        <v>1692.5789473684208</v>
      </c>
    </row>
    <row r="38" spans="1:9" ht="15" customHeight="1">
      <c r="A38" s="80">
        <v>2021</v>
      </c>
      <c r="B38" s="81">
        <f t="shared" si="2"/>
        <v>1486</v>
      </c>
      <c r="C38" s="82">
        <f t="shared" si="1"/>
        <v>33</v>
      </c>
      <c r="D38" s="69"/>
      <c r="E38" s="69"/>
      <c r="F38" s="69"/>
      <c r="G38" s="69"/>
      <c r="H38" s="69"/>
      <c r="I38" s="70">
        <f t="shared" si="0"/>
        <v>1486.3157894736842</v>
      </c>
    </row>
    <row r="39" spans="1:9" ht="15" customHeight="1">
      <c r="A39" s="80">
        <v>2022</v>
      </c>
      <c r="B39" s="81">
        <f t="shared" si="2"/>
        <v>1280</v>
      </c>
      <c r="C39" s="82">
        <f t="shared" si="1"/>
        <v>34</v>
      </c>
      <c r="D39" s="69"/>
      <c r="E39" s="69"/>
      <c r="F39" s="69"/>
      <c r="G39" s="69"/>
      <c r="H39" s="69"/>
      <c r="I39" s="70">
        <f t="shared" si="0"/>
        <v>1280.0526315789475</v>
      </c>
    </row>
    <row r="40" spans="1:9" ht="15" customHeight="1">
      <c r="A40" s="80">
        <v>2023</v>
      </c>
      <c r="B40" s="81">
        <f t="shared" si="2"/>
        <v>1074</v>
      </c>
      <c r="C40" s="82">
        <f t="shared" si="1"/>
        <v>35</v>
      </c>
      <c r="D40" s="69"/>
      <c r="E40" s="69"/>
      <c r="F40" s="69"/>
      <c r="G40" s="69"/>
      <c r="H40" s="69"/>
      <c r="I40" s="70">
        <f t="shared" si="0"/>
        <v>1073.78947368421</v>
      </c>
    </row>
    <row r="41" spans="1:9" ht="15" customHeight="1">
      <c r="A41" s="80">
        <v>2024</v>
      </c>
      <c r="B41" s="81">
        <f t="shared" si="2"/>
        <v>868</v>
      </c>
      <c r="C41" s="67">
        <f t="shared" si="1"/>
        <v>36</v>
      </c>
      <c r="D41" s="83"/>
      <c r="E41" s="69"/>
      <c r="F41" s="69"/>
      <c r="G41" s="69"/>
      <c r="H41" s="84"/>
      <c r="I41" s="70">
        <f t="shared" si="0"/>
        <v>867.5263157894733</v>
      </c>
    </row>
    <row r="42" spans="1:9" ht="15" customHeight="1">
      <c r="A42" s="85">
        <v>2025</v>
      </c>
      <c r="B42" s="86">
        <f t="shared" si="2"/>
        <v>661</v>
      </c>
      <c r="C42" s="87">
        <f t="shared" si="1"/>
        <v>37</v>
      </c>
      <c r="D42" s="88"/>
      <c r="E42" s="89"/>
      <c r="F42" s="89"/>
      <c r="G42" s="89"/>
      <c r="H42" s="90"/>
      <c r="I42" s="91">
        <f t="shared" si="0"/>
        <v>661.26315789473665</v>
      </c>
    </row>
    <row r="43" spans="1:9" ht="15" customHeight="1">
      <c r="A43" s="56" t="s">
        <v>78</v>
      </c>
      <c r="B43" s="92"/>
      <c r="I43" s="89"/>
    </row>
    <row r="44" spans="1:9" ht="15" customHeight="1">
      <c r="A44" s="58" t="s">
        <v>32</v>
      </c>
      <c r="B44" s="59" t="s">
        <v>40</v>
      </c>
      <c r="C44" s="59" t="s">
        <v>33</v>
      </c>
      <c r="D44" s="60"/>
      <c r="E44" s="60"/>
      <c r="F44" s="61"/>
      <c r="G44" s="62"/>
      <c r="H44" s="63" t="s">
        <v>104</v>
      </c>
      <c r="I44" s="64">
        <f>RSQ(I45:I65,B45:B65)</f>
        <v>0.92850065466925857</v>
      </c>
    </row>
    <row r="45" spans="1:9" ht="15" customHeight="1">
      <c r="A45" s="65">
        <f t="shared" ref="A45:B60" si="3">A5</f>
        <v>1988</v>
      </c>
      <c r="B45" s="93">
        <f t="shared" si="3"/>
        <v>8293</v>
      </c>
      <c r="C45" s="67">
        <v>0</v>
      </c>
      <c r="D45" s="53" t="s">
        <v>75</v>
      </c>
      <c r="E45" s="68">
        <f>INDEX(LINEST(B45:B64,C45:C64),1)</f>
        <v>-191.56616541353381</v>
      </c>
      <c r="F45" s="69"/>
      <c r="G45" s="53"/>
      <c r="H45" s="69"/>
      <c r="I45" s="94">
        <f t="shared" ref="I45:I82" si="4">$E$45*C45+$E$46</f>
        <v>7743.9285714285716</v>
      </c>
    </row>
    <row r="46" spans="1:9" ht="15" customHeight="1">
      <c r="A46" s="65">
        <f t="shared" si="3"/>
        <v>1989</v>
      </c>
      <c r="B46" s="93">
        <f t="shared" si="3"/>
        <v>8370</v>
      </c>
      <c r="C46" s="67">
        <f t="shared" ref="C46:C82" si="5">C45+1</f>
        <v>1</v>
      </c>
      <c r="D46" s="53" t="s">
        <v>76</v>
      </c>
      <c r="E46" s="72">
        <f>INDEX(LINEST(B45:B64,C45:C64),2)</f>
        <v>7743.9285714285716</v>
      </c>
      <c r="F46" s="69"/>
      <c r="G46" s="53"/>
      <c r="H46" s="69"/>
      <c r="I46" s="70">
        <f t="shared" si="4"/>
        <v>7552.3624060150378</v>
      </c>
    </row>
    <row r="47" spans="1:9" ht="15" customHeight="1">
      <c r="A47" s="65">
        <f t="shared" si="3"/>
        <v>1990</v>
      </c>
      <c r="B47" s="93">
        <f t="shared" si="3"/>
        <v>7082</v>
      </c>
      <c r="C47" s="67">
        <f t="shared" si="5"/>
        <v>2</v>
      </c>
      <c r="D47" s="53" t="s">
        <v>77</v>
      </c>
      <c r="E47" s="73">
        <f>I44</f>
        <v>0.92850065466925857</v>
      </c>
      <c r="F47" s="69"/>
      <c r="G47" s="53"/>
      <c r="H47" s="69"/>
      <c r="I47" s="70">
        <f t="shared" si="4"/>
        <v>7360.796240601504</v>
      </c>
    </row>
    <row r="48" spans="1:9" ht="15" customHeight="1">
      <c r="A48" s="65">
        <f t="shared" si="3"/>
        <v>1991</v>
      </c>
      <c r="B48" s="93">
        <f t="shared" si="3"/>
        <v>7199</v>
      </c>
      <c r="C48" s="67">
        <f t="shared" si="5"/>
        <v>3</v>
      </c>
      <c r="D48" s="53"/>
      <c r="E48" s="53"/>
      <c r="F48" s="69"/>
      <c r="G48" s="53"/>
      <c r="H48" s="69"/>
      <c r="I48" s="70">
        <f t="shared" si="4"/>
        <v>7169.2300751879702</v>
      </c>
    </row>
    <row r="49" spans="1:9" ht="15" customHeight="1">
      <c r="A49" s="65">
        <f t="shared" si="3"/>
        <v>1992</v>
      </c>
      <c r="B49" s="93">
        <f t="shared" si="3"/>
        <v>6932</v>
      </c>
      <c r="C49" s="67">
        <f t="shared" si="5"/>
        <v>4</v>
      </c>
      <c r="D49" s="53"/>
      <c r="E49" s="53"/>
      <c r="F49" s="69"/>
      <c r="G49" s="95"/>
      <c r="H49" s="69"/>
      <c r="I49" s="70">
        <f t="shared" si="4"/>
        <v>6977.6639097744364</v>
      </c>
    </row>
    <row r="50" spans="1:9" ht="15" customHeight="1">
      <c r="A50" s="65">
        <f t="shared" si="3"/>
        <v>1993</v>
      </c>
      <c r="B50" s="93">
        <f t="shared" si="3"/>
        <v>6684</v>
      </c>
      <c r="C50" s="67">
        <f t="shared" si="5"/>
        <v>5</v>
      </c>
      <c r="D50" s="53"/>
      <c r="E50" s="53"/>
      <c r="F50" s="69"/>
      <c r="G50" s="53"/>
      <c r="H50" s="69"/>
      <c r="I50" s="70">
        <f t="shared" si="4"/>
        <v>6786.0977443609027</v>
      </c>
    </row>
    <row r="51" spans="1:9" ht="15" customHeight="1">
      <c r="A51" s="65">
        <f t="shared" si="3"/>
        <v>1994</v>
      </c>
      <c r="B51" s="93">
        <f t="shared" si="3"/>
        <v>6207</v>
      </c>
      <c r="C51" s="67">
        <f t="shared" si="5"/>
        <v>6</v>
      </c>
      <c r="D51" s="53" t="s">
        <v>73</v>
      </c>
      <c r="E51" s="53"/>
      <c r="F51" s="69"/>
      <c r="G51" s="53"/>
      <c r="H51" s="69"/>
      <c r="I51" s="70">
        <f t="shared" si="4"/>
        <v>6594.5315789473689</v>
      </c>
    </row>
    <row r="52" spans="1:9" ht="15" customHeight="1">
      <c r="A52" s="65">
        <f t="shared" si="3"/>
        <v>1995</v>
      </c>
      <c r="B52" s="93">
        <f t="shared" si="3"/>
        <v>5816</v>
      </c>
      <c r="C52" s="67">
        <f t="shared" si="5"/>
        <v>7</v>
      </c>
      <c r="D52" s="53"/>
      <c r="E52" s="53"/>
      <c r="F52" s="69"/>
      <c r="G52" s="53"/>
      <c r="H52" s="69"/>
      <c r="I52" s="70">
        <f t="shared" si="4"/>
        <v>6402.9654135338351</v>
      </c>
    </row>
    <row r="53" spans="1:9" ht="15" customHeight="1">
      <c r="A53" s="65">
        <f t="shared" si="3"/>
        <v>1996</v>
      </c>
      <c r="B53" s="93">
        <f t="shared" si="3"/>
        <v>5548</v>
      </c>
      <c r="C53" s="67">
        <f t="shared" si="5"/>
        <v>8</v>
      </c>
      <c r="D53" s="53"/>
      <c r="E53" s="53"/>
      <c r="F53" s="69"/>
      <c r="G53" s="53"/>
      <c r="H53" s="69"/>
      <c r="I53" s="70">
        <f t="shared" si="4"/>
        <v>6211.3992481203013</v>
      </c>
    </row>
    <row r="54" spans="1:9" ht="15" customHeight="1">
      <c r="A54" s="65">
        <f t="shared" si="3"/>
        <v>1997</v>
      </c>
      <c r="B54" s="93">
        <f t="shared" si="3"/>
        <v>5872</v>
      </c>
      <c r="C54" s="67">
        <f t="shared" si="5"/>
        <v>9</v>
      </c>
      <c r="D54" s="69"/>
      <c r="E54" s="69"/>
      <c r="F54" s="69"/>
      <c r="G54" s="53"/>
      <c r="H54" s="53"/>
      <c r="I54" s="70">
        <f t="shared" si="4"/>
        <v>6019.8330827067675</v>
      </c>
    </row>
    <row r="55" spans="1:9" ht="15" customHeight="1">
      <c r="A55" s="65">
        <f t="shared" si="3"/>
        <v>1998</v>
      </c>
      <c r="B55" s="93">
        <f t="shared" si="3"/>
        <v>5835</v>
      </c>
      <c r="C55" s="67">
        <f t="shared" si="5"/>
        <v>10</v>
      </c>
      <c r="D55" s="69"/>
      <c r="E55" s="69"/>
      <c r="F55" s="69"/>
      <c r="G55" s="53"/>
      <c r="H55" s="53"/>
      <c r="I55" s="70">
        <f t="shared" si="4"/>
        <v>5828.2669172932337</v>
      </c>
    </row>
    <row r="56" spans="1:9" ht="15" customHeight="1">
      <c r="A56" s="65">
        <f t="shared" si="3"/>
        <v>1999</v>
      </c>
      <c r="B56" s="93">
        <f t="shared" si="3"/>
        <v>5719</v>
      </c>
      <c r="C56" s="67">
        <f t="shared" si="5"/>
        <v>11</v>
      </c>
      <c r="D56" s="69"/>
      <c r="E56" s="69"/>
      <c r="F56" s="69"/>
      <c r="G56" s="53"/>
      <c r="H56" s="53"/>
      <c r="I56" s="70">
        <f t="shared" si="4"/>
        <v>5636.7007518797</v>
      </c>
    </row>
    <row r="57" spans="1:9" ht="15" customHeight="1">
      <c r="A57" s="65">
        <f t="shared" si="3"/>
        <v>2000</v>
      </c>
      <c r="B57" s="93">
        <f t="shared" si="3"/>
        <v>5594</v>
      </c>
      <c r="C57" s="67">
        <f t="shared" si="5"/>
        <v>12</v>
      </c>
      <c r="D57" s="69"/>
      <c r="E57" s="69"/>
      <c r="F57" s="69"/>
      <c r="G57" s="53"/>
      <c r="H57" s="53"/>
      <c r="I57" s="70">
        <f t="shared" si="4"/>
        <v>5445.1345864661653</v>
      </c>
    </row>
    <row r="58" spans="1:9" ht="15" customHeight="1">
      <c r="A58" s="65">
        <f t="shared" si="3"/>
        <v>2001</v>
      </c>
      <c r="B58" s="93">
        <f t="shared" si="3"/>
        <v>5248</v>
      </c>
      <c r="C58" s="67">
        <f t="shared" si="5"/>
        <v>13</v>
      </c>
      <c r="D58" s="69"/>
      <c r="E58" s="96"/>
      <c r="F58" s="69"/>
      <c r="G58" s="53"/>
      <c r="H58" s="53"/>
      <c r="I58" s="70">
        <f t="shared" si="4"/>
        <v>5253.5684210526324</v>
      </c>
    </row>
    <row r="59" spans="1:9" ht="15" customHeight="1">
      <c r="A59" s="65">
        <f t="shared" si="3"/>
        <v>2002</v>
      </c>
      <c r="B59" s="93">
        <f t="shared" si="3"/>
        <v>5034</v>
      </c>
      <c r="C59" s="67">
        <f t="shared" si="5"/>
        <v>14</v>
      </c>
      <c r="D59" s="69"/>
      <c r="E59" s="69"/>
      <c r="F59" s="69"/>
      <c r="G59" s="53"/>
      <c r="H59" s="53"/>
      <c r="I59" s="70">
        <f t="shared" si="4"/>
        <v>5062.0022556390977</v>
      </c>
    </row>
    <row r="60" spans="1:9" ht="15" customHeight="1">
      <c r="A60" s="65">
        <f t="shared" si="3"/>
        <v>2003</v>
      </c>
      <c r="B60" s="93">
        <f t="shared" si="3"/>
        <v>4835</v>
      </c>
      <c r="C60" s="67">
        <f t="shared" si="5"/>
        <v>15</v>
      </c>
      <c r="D60" s="69"/>
      <c r="E60" s="69"/>
      <c r="F60" s="69"/>
      <c r="G60" s="53"/>
      <c r="H60" s="53"/>
      <c r="I60" s="70">
        <f t="shared" si="4"/>
        <v>4870.4360902255648</v>
      </c>
    </row>
    <row r="61" spans="1:9" ht="15" customHeight="1">
      <c r="A61" s="65">
        <f t="shared" ref="A61:B65" si="6">A21</f>
        <v>2004</v>
      </c>
      <c r="B61" s="93">
        <f t="shared" si="6"/>
        <v>4742</v>
      </c>
      <c r="C61" s="67">
        <f t="shared" si="5"/>
        <v>16</v>
      </c>
      <c r="D61" s="69"/>
      <c r="E61" s="69"/>
      <c r="F61" s="69"/>
      <c r="G61" s="53"/>
      <c r="H61" s="53"/>
      <c r="I61" s="70">
        <f t="shared" si="4"/>
        <v>4678.8699248120301</v>
      </c>
    </row>
    <row r="62" spans="1:9" ht="15" customHeight="1">
      <c r="A62" s="65">
        <f t="shared" si="6"/>
        <v>2005</v>
      </c>
      <c r="B62" s="93">
        <f t="shared" si="6"/>
        <v>4623</v>
      </c>
      <c r="C62" s="67">
        <f t="shared" si="5"/>
        <v>17</v>
      </c>
      <c r="D62" s="69"/>
      <c r="E62" s="69"/>
      <c r="F62" s="69"/>
      <c r="G62" s="53"/>
      <c r="H62" s="53"/>
      <c r="I62" s="70">
        <f t="shared" si="4"/>
        <v>4487.3037593984973</v>
      </c>
    </row>
    <row r="63" spans="1:9" ht="15" customHeight="1">
      <c r="A63" s="65">
        <f t="shared" si="6"/>
        <v>2006</v>
      </c>
      <c r="B63" s="93">
        <f t="shared" si="6"/>
        <v>4474</v>
      </c>
      <c r="C63" s="67">
        <f t="shared" si="5"/>
        <v>18</v>
      </c>
      <c r="D63" s="69"/>
      <c r="E63" s="69"/>
      <c r="F63" s="69"/>
      <c r="G63" s="53"/>
      <c r="H63" s="53"/>
      <c r="I63" s="70">
        <f t="shared" si="4"/>
        <v>4295.7375939849626</v>
      </c>
    </row>
    <row r="64" spans="1:9" ht="15" customHeight="1" thickBot="1">
      <c r="A64" s="97">
        <f t="shared" si="6"/>
        <v>2007</v>
      </c>
      <c r="B64" s="98">
        <f t="shared" si="6"/>
        <v>4374</v>
      </c>
      <c r="C64" s="99">
        <f t="shared" si="5"/>
        <v>19</v>
      </c>
      <c r="D64" s="100"/>
      <c r="E64" s="100"/>
      <c r="F64" s="100"/>
      <c r="G64" s="101"/>
      <c r="H64" s="101"/>
      <c r="I64" s="102">
        <f t="shared" si="4"/>
        <v>4104.1714285714297</v>
      </c>
    </row>
    <row r="65" spans="1:9" ht="15" customHeight="1" thickTop="1">
      <c r="A65" s="255">
        <f t="shared" si="6"/>
        <v>2008</v>
      </c>
      <c r="B65" s="81">
        <f t="shared" ref="B65:B82" si="7">ROUND(E$45*C65+E$46,0)</f>
        <v>3913</v>
      </c>
      <c r="C65" s="77">
        <f t="shared" si="5"/>
        <v>20</v>
      </c>
      <c r="D65" s="78"/>
      <c r="E65" s="78"/>
      <c r="F65" s="78"/>
      <c r="G65" s="256"/>
      <c r="H65" s="256"/>
      <c r="I65" s="79">
        <f t="shared" si="4"/>
        <v>3912.6052631578955</v>
      </c>
    </row>
    <row r="66" spans="1:9" ht="15" customHeight="1">
      <c r="A66" s="80">
        <v>2009</v>
      </c>
      <c r="B66" s="81">
        <f t="shared" si="7"/>
        <v>3721</v>
      </c>
      <c r="C66" s="82">
        <f t="shared" si="5"/>
        <v>21</v>
      </c>
      <c r="D66" s="69"/>
      <c r="E66" s="69"/>
      <c r="F66" s="69"/>
      <c r="G66" s="69"/>
      <c r="H66" s="69"/>
      <c r="I66" s="70">
        <f t="shared" si="4"/>
        <v>3721.0390977443617</v>
      </c>
    </row>
    <row r="67" spans="1:9" ht="15" customHeight="1">
      <c r="A67" s="80">
        <v>2010</v>
      </c>
      <c r="B67" s="81">
        <f t="shared" si="7"/>
        <v>3529</v>
      </c>
      <c r="C67" s="82">
        <f t="shared" si="5"/>
        <v>22</v>
      </c>
      <c r="D67" s="69"/>
      <c r="E67" s="69"/>
      <c r="F67" s="69"/>
      <c r="G67" s="69"/>
      <c r="H67" s="69"/>
      <c r="I67" s="70">
        <f t="shared" si="4"/>
        <v>3529.4729323308275</v>
      </c>
    </row>
    <row r="68" spans="1:9" ht="15" customHeight="1">
      <c r="A68" s="80">
        <v>2011</v>
      </c>
      <c r="B68" s="81">
        <f t="shared" si="7"/>
        <v>3338</v>
      </c>
      <c r="C68" s="82">
        <f t="shared" si="5"/>
        <v>23</v>
      </c>
      <c r="D68" s="69"/>
      <c r="E68" s="69"/>
      <c r="F68" s="69"/>
      <c r="G68" s="69"/>
      <c r="H68" s="69"/>
      <c r="I68" s="70">
        <f t="shared" si="4"/>
        <v>3337.9067669172937</v>
      </c>
    </row>
    <row r="69" spans="1:9" ht="15" customHeight="1">
      <c r="A69" s="80">
        <v>2012</v>
      </c>
      <c r="B69" s="81">
        <f t="shared" si="7"/>
        <v>3146</v>
      </c>
      <c r="C69" s="82">
        <f t="shared" si="5"/>
        <v>24</v>
      </c>
      <c r="D69" s="69"/>
      <c r="E69" s="69"/>
      <c r="F69" s="69"/>
      <c r="G69" s="69"/>
      <c r="H69" s="69"/>
      <c r="I69" s="70">
        <f t="shared" si="4"/>
        <v>3146.3406015037599</v>
      </c>
    </row>
    <row r="70" spans="1:9" ht="15" customHeight="1">
      <c r="A70" s="80">
        <v>2013</v>
      </c>
      <c r="B70" s="81">
        <f t="shared" si="7"/>
        <v>2955</v>
      </c>
      <c r="C70" s="82">
        <f t="shared" si="5"/>
        <v>25</v>
      </c>
      <c r="D70" s="69"/>
      <c r="E70" s="69"/>
      <c r="F70" s="69"/>
      <c r="G70" s="69"/>
      <c r="H70" s="69"/>
      <c r="I70" s="70">
        <f t="shared" si="4"/>
        <v>2954.7744360902261</v>
      </c>
    </row>
    <row r="71" spans="1:9" ht="15" customHeight="1">
      <c r="A71" s="80">
        <v>2014</v>
      </c>
      <c r="B71" s="81">
        <f t="shared" si="7"/>
        <v>2763</v>
      </c>
      <c r="C71" s="82">
        <f t="shared" si="5"/>
        <v>26</v>
      </c>
      <c r="D71" s="69"/>
      <c r="E71" s="69"/>
      <c r="F71" s="69"/>
      <c r="G71" s="69"/>
      <c r="H71" s="69"/>
      <c r="I71" s="70">
        <f t="shared" si="4"/>
        <v>2763.2082706766923</v>
      </c>
    </row>
    <row r="72" spans="1:9" ht="15" customHeight="1">
      <c r="A72" s="80">
        <v>2015</v>
      </c>
      <c r="B72" s="81">
        <f t="shared" si="7"/>
        <v>2572</v>
      </c>
      <c r="C72" s="82">
        <f t="shared" si="5"/>
        <v>27</v>
      </c>
      <c r="D72" s="69"/>
      <c r="E72" s="69"/>
      <c r="F72" s="69"/>
      <c r="G72" s="69"/>
      <c r="H72" s="69"/>
      <c r="I72" s="70">
        <f t="shared" si="4"/>
        <v>2571.6421052631586</v>
      </c>
    </row>
    <row r="73" spans="1:9" ht="15" customHeight="1">
      <c r="A73" s="80">
        <v>2016</v>
      </c>
      <c r="B73" s="81">
        <f t="shared" si="7"/>
        <v>2380</v>
      </c>
      <c r="C73" s="82">
        <f t="shared" si="5"/>
        <v>28</v>
      </c>
      <c r="D73" s="69"/>
      <c r="E73" s="69"/>
      <c r="F73" s="69"/>
      <c r="G73" s="69"/>
      <c r="H73" s="69"/>
      <c r="I73" s="70">
        <f t="shared" si="4"/>
        <v>2380.0759398496248</v>
      </c>
    </row>
    <row r="74" spans="1:9" ht="15" customHeight="1">
      <c r="A74" s="80">
        <v>2017</v>
      </c>
      <c r="B74" s="81">
        <f t="shared" si="7"/>
        <v>2189</v>
      </c>
      <c r="C74" s="82">
        <f t="shared" si="5"/>
        <v>29</v>
      </c>
      <c r="D74" s="69"/>
      <c r="E74" s="69"/>
      <c r="F74" s="69"/>
      <c r="G74" s="69"/>
      <c r="H74" s="69"/>
      <c r="I74" s="70">
        <f t="shared" si="4"/>
        <v>2188.509774436091</v>
      </c>
    </row>
    <row r="75" spans="1:9" ht="15" customHeight="1">
      <c r="A75" s="80">
        <v>2018</v>
      </c>
      <c r="B75" s="81">
        <f t="shared" si="7"/>
        <v>1997</v>
      </c>
      <c r="C75" s="82">
        <f t="shared" si="5"/>
        <v>30</v>
      </c>
      <c r="D75" s="69"/>
      <c r="E75" s="69"/>
      <c r="F75" s="69"/>
      <c r="G75" s="69"/>
      <c r="H75" s="69"/>
      <c r="I75" s="70">
        <f t="shared" si="4"/>
        <v>1996.9436090225572</v>
      </c>
    </row>
    <row r="76" spans="1:9" ht="15" customHeight="1">
      <c r="A76" s="80">
        <v>2019</v>
      </c>
      <c r="B76" s="81">
        <f t="shared" si="7"/>
        <v>1805</v>
      </c>
      <c r="C76" s="82">
        <f t="shared" si="5"/>
        <v>31</v>
      </c>
      <c r="D76" s="69"/>
      <c r="E76" s="69"/>
      <c r="F76" s="69"/>
      <c r="G76" s="69"/>
      <c r="H76" s="69"/>
      <c r="I76" s="70">
        <f t="shared" si="4"/>
        <v>1805.3774436090234</v>
      </c>
    </row>
    <row r="77" spans="1:9" ht="15" customHeight="1">
      <c r="A77" s="80">
        <v>2020</v>
      </c>
      <c r="B77" s="81">
        <f t="shared" si="7"/>
        <v>1614</v>
      </c>
      <c r="C77" s="82">
        <f t="shared" si="5"/>
        <v>32</v>
      </c>
      <c r="D77" s="69"/>
      <c r="E77" s="69"/>
      <c r="F77" s="69"/>
      <c r="G77" s="69"/>
      <c r="H77" s="69"/>
      <c r="I77" s="70">
        <f t="shared" si="4"/>
        <v>1613.8112781954896</v>
      </c>
    </row>
    <row r="78" spans="1:9" ht="15" customHeight="1">
      <c r="A78" s="80">
        <v>2021</v>
      </c>
      <c r="B78" s="81">
        <f t="shared" si="7"/>
        <v>1422</v>
      </c>
      <c r="C78" s="82">
        <f t="shared" si="5"/>
        <v>33</v>
      </c>
      <c r="D78" s="69"/>
      <c r="E78" s="69"/>
      <c r="F78" s="69"/>
      <c r="G78" s="69"/>
      <c r="H78" s="69"/>
      <c r="I78" s="70">
        <f t="shared" si="4"/>
        <v>1422.2451127819559</v>
      </c>
    </row>
    <row r="79" spans="1:9" ht="15" customHeight="1">
      <c r="A79" s="80">
        <v>2022</v>
      </c>
      <c r="B79" s="81">
        <f t="shared" si="7"/>
        <v>1231</v>
      </c>
      <c r="C79" s="82">
        <f t="shared" si="5"/>
        <v>34</v>
      </c>
      <c r="D79" s="69"/>
      <c r="E79" s="69"/>
      <c r="F79" s="69"/>
      <c r="G79" s="69"/>
      <c r="H79" s="69"/>
      <c r="I79" s="70">
        <f t="shared" si="4"/>
        <v>1230.6789473684221</v>
      </c>
    </row>
    <row r="80" spans="1:9" ht="15" customHeight="1">
      <c r="A80" s="80">
        <v>2023</v>
      </c>
      <c r="B80" s="81">
        <f t="shared" si="7"/>
        <v>1039</v>
      </c>
      <c r="C80" s="82">
        <f t="shared" si="5"/>
        <v>35</v>
      </c>
      <c r="D80" s="69"/>
      <c r="E80" s="69"/>
      <c r="F80" s="69"/>
      <c r="G80" s="69"/>
      <c r="H80" s="69"/>
      <c r="I80" s="70">
        <f t="shared" si="4"/>
        <v>1039.1127819548883</v>
      </c>
    </row>
    <row r="81" spans="1:11" ht="15" customHeight="1">
      <c r="A81" s="80">
        <v>2024</v>
      </c>
      <c r="B81" s="81">
        <f t="shared" si="7"/>
        <v>848</v>
      </c>
      <c r="C81" s="67">
        <f t="shared" si="5"/>
        <v>36</v>
      </c>
      <c r="D81" s="69"/>
      <c r="E81" s="69"/>
      <c r="F81" s="69"/>
      <c r="G81" s="69"/>
      <c r="H81" s="69"/>
      <c r="I81" s="70">
        <f t="shared" si="4"/>
        <v>847.54661654135452</v>
      </c>
    </row>
    <row r="82" spans="1:11" ht="15" customHeight="1">
      <c r="A82" s="85">
        <v>2025</v>
      </c>
      <c r="B82" s="86">
        <f t="shared" si="7"/>
        <v>656</v>
      </c>
      <c r="C82" s="87">
        <f t="shared" si="5"/>
        <v>37</v>
      </c>
      <c r="D82" s="89"/>
      <c r="E82" s="89"/>
      <c r="F82" s="89"/>
      <c r="G82" s="89"/>
      <c r="H82" s="89"/>
      <c r="I82" s="91">
        <f t="shared" si="4"/>
        <v>655.98045112782074</v>
      </c>
    </row>
    <row r="83" spans="1:11" ht="15" customHeight="1">
      <c r="A83" s="56" t="s">
        <v>79</v>
      </c>
      <c r="B83" s="57"/>
    </row>
    <row r="84" spans="1:11" ht="15" customHeight="1">
      <c r="A84" s="58" t="s">
        <v>32</v>
      </c>
      <c r="B84" s="59" t="s">
        <v>40</v>
      </c>
      <c r="C84" s="59" t="s">
        <v>34</v>
      </c>
      <c r="D84" s="59" t="s">
        <v>33</v>
      </c>
      <c r="E84" s="103"/>
      <c r="F84" s="60"/>
      <c r="G84" s="61"/>
      <c r="H84" s="63" t="s">
        <v>104</v>
      </c>
      <c r="I84" s="64">
        <f>RSQ(I85:I105,B85:B105)</f>
        <v>0.94837074659410492</v>
      </c>
    </row>
    <row r="85" spans="1:11" ht="15" customHeight="1">
      <c r="A85" s="65">
        <f t="shared" ref="A85:B100" si="8">A5</f>
        <v>1988</v>
      </c>
      <c r="B85" s="104">
        <f t="shared" si="8"/>
        <v>8293</v>
      </c>
      <c r="C85" s="105">
        <f t="shared" ref="C85:C122" si="9">LN(B85)</f>
        <v>9.0231670644512043</v>
      </c>
      <c r="D85" s="67">
        <v>0</v>
      </c>
      <c r="E85" s="106" t="s">
        <v>37</v>
      </c>
      <c r="F85" s="73">
        <f>ROUND((B104/B85)^(1/D104)-1,5)</f>
        <v>-3.3110000000000001E-2</v>
      </c>
      <c r="G85" s="107"/>
      <c r="H85" s="108"/>
      <c r="I85" s="109">
        <f t="shared" ref="I85:I122" si="10">ROUND($F$86*(1+$F$85)^(D85),1)</f>
        <v>8293</v>
      </c>
    </row>
    <row r="86" spans="1:11" ht="15" customHeight="1">
      <c r="A86" s="65">
        <f t="shared" si="8"/>
        <v>1989</v>
      </c>
      <c r="B86" s="104">
        <f t="shared" si="8"/>
        <v>8370</v>
      </c>
      <c r="C86" s="105">
        <f t="shared" si="9"/>
        <v>9.0324091634835213</v>
      </c>
      <c r="D86" s="67">
        <f t="shared" ref="D86:D122" si="11">D85+1</f>
        <v>1</v>
      </c>
      <c r="E86" s="106" t="s">
        <v>80</v>
      </c>
      <c r="F86" s="110">
        <f>B85</f>
        <v>8293</v>
      </c>
      <c r="G86" s="107"/>
      <c r="H86" s="108"/>
      <c r="I86" s="109">
        <f t="shared" si="10"/>
        <v>8018.4</v>
      </c>
      <c r="K86" s="111"/>
    </row>
    <row r="87" spans="1:11" ht="15" customHeight="1">
      <c r="A87" s="65">
        <f t="shared" si="8"/>
        <v>1990</v>
      </c>
      <c r="B87" s="104">
        <f t="shared" si="8"/>
        <v>7082</v>
      </c>
      <c r="C87" s="105">
        <f t="shared" si="9"/>
        <v>8.8653116326718493</v>
      </c>
      <c r="D87" s="67">
        <f t="shared" si="11"/>
        <v>2</v>
      </c>
      <c r="E87" s="106" t="s">
        <v>77</v>
      </c>
      <c r="F87" s="73">
        <f>I84</f>
        <v>0.94837074659410492</v>
      </c>
      <c r="G87" s="108"/>
      <c r="H87" s="108"/>
      <c r="I87" s="109">
        <f t="shared" si="10"/>
        <v>7752.9</v>
      </c>
    </row>
    <row r="88" spans="1:11" ht="15" customHeight="1">
      <c r="A88" s="65">
        <f t="shared" si="8"/>
        <v>1991</v>
      </c>
      <c r="B88" s="104">
        <f t="shared" si="8"/>
        <v>7199</v>
      </c>
      <c r="C88" s="105">
        <f t="shared" si="9"/>
        <v>8.8816974064693035</v>
      </c>
      <c r="D88" s="67">
        <f t="shared" si="11"/>
        <v>3</v>
      </c>
      <c r="E88" s="106"/>
      <c r="F88" s="73"/>
      <c r="G88" s="108"/>
      <c r="H88" s="108"/>
      <c r="I88" s="109">
        <f t="shared" si="10"/>
        <v>7496.2</v>
      </c>
    </row>
    <row r="89" spans="1:11" ht="15" customHeight="1">
      <c r="A89" s="65">
        <f t="shared" si="8"/>
        <v>1992</v>
      </c>
      <c r="B89" s="104">
        <f t="shared" si="8"/>
        <v>6932</v>
      </c>
      <c r="C89" s="105">
        <f t="shared" si="9"/>
        <v>8.8439036508354967</v>
      </c>
      <c r="D89" s="67">
        <f t="shared" si="11"/>
        <v>4</v>
      </c>
      <c r="E89" s="106" t="s">
        <v>81</v>
      </c>
      <c r="F89" s="72"/>
      <c r="G89" s="108"/>
      <c r="H89" s="108"/>
      <c r="I89" s="109">
        <f t="shared" si="10"/>
        <v>7248</v>
      </c>
    </row>
    <row r="90" spans="1:11" ht="15" customHeight="1">
      <c r="A90" s="65">
        <f t="shared" si="8"/>
        <v>1993</v>
      </c>
      <c r="B90" s="104">
        <f t="shared" si="8"/>
        <v>6684</v>
      </c>
      <c r="C90" s="105">
        <f t="shared" si="9"/>
        <v>8.8074718897152842</v>
      </c>
      <c r="D90" s="67">
        <f t="shared" si="11"/>
        <v>5</v>
      </c>
      <c r="E90" s="112"/>
      <c r="F90" s="113"/>
      <c r="G90" s="108"/>
      <c r="H90" s="108"/>
      <c r="I90" s="109">
        <f t="shared" si="10"/>
        <v>7008</v>
      </c>
    </row>
    <row r="91" spans="1:11" ht="15" customHeight="1">
      <c r="A91" s="65">
        <f t="shared" si="8"/>
        <v>1994</v>
      </c>
      <c r="B91" s="104">
        <f t="shared" si="8"/>
        <v>6207</v>
      </c>
      <c r="C91" s="105">
        <f t="shared" si="9"/>
        <v>8.7334329664136519</v>
      </c>
      <c r="D91" s="67">
        <f t="shared" si="11"/>
        <v>6</v>
      </c>
      <c r="E91" s="114"/>
      <c r="F91" s="113"/>
      <c r="G91" s="108"/>
      <c r="H91" s="108"/>
      <c r="I91" s="109">
        <f t="shared" si="10"/>
        <v>6776</v>
      </c>
    </row>
    <row r="92" spans="1:11" ht="15" customHeight="1">
      <c r="A92" s="65">
        <f t="shared" si="8"/>
        <v>1995</v>
      </c>
      <c r="B92" s="104">
        <f t="shared" si="8"/>
        <v>5816</v>
      </c>
      <c r="C92" s="105">
        <f t="shared" si="9"/>
        <v>8.6683680192133554</v>
      </c>
      <c r="D92" s="67">
        <f t="shared" si="11"/>
        <v>7</v>
      </c>
      <c r="E92" s="114"/>
      <c r="F92" s="113"/>
      <c r="G92" s="108"/>
      <c r="H92" s="108"/>
      <c r="I92" s="109">
        <f t="shared" si="10"/>
        <v>6551.7</v>
      </c>
    </row>
    <row r="93" spans="1:11" ht="15" customHeight="1">
      <c r="A93" s="65">
        <f t="shared" si="8"/>
        <v>1996</v>
      </c>
      <c r="B93" s="104">
        <f t="shared" si="8"/>
        <v>5548</v>
      </c>
      <c r="C93" s="105">
        <f t="shared" si="9"/>
        <v>8.621192781434722</v>
      </c>
      <c r="D93" s="67">
        <f t="shared" si="11"/>
        <v>8</v>
      </c>
      <c r="E93" s="108"/>
      <c r="F93" s="108"/>
      <c r="G93" s="115"/>
      <c r="H93" s="108"/>
      <c r="I93" s="109">
        <f t="shared" si="10"/>
        <v>6334.7</v>
      </c>
    </row>
    <row r="94" spans="1:11" ht="15" customHeight="1">
      <c r="A94" s="65">
        <f t="shared" si="8"/>
        <v>1997</v>
      </c>
      <c r="B94" s="104">
        <f t="shared" si="8"/>
        <v>5872</v>
      </c>
      <c r="C94" s="105">
        <f t="shared" si="9"/>
        <v>8.6779505702943514</v>
      </c>
      <c r="D94" s="67">
        <f t="shared" si="11"/>
        <v>9</v>
      </c>
      <c r="E94" s="108"/>
      <c r="F94" s="108"/>
      <c r="G94" s="115"/>
      <c r="H94" s="108"/>
      <c r="I94" s="109">
        <f t="shared" si="10"/>
        <v>6125</v>
      </c>
    </row>
    <row r="95" spans="1:11" ht="15" customHeight="1">
      <c r="A95" s="65">
        <f t="shared" si="8"/>
        <v>1998</v>
      </c>
      <c r="B95" s="104">
        <f t="shared" si="8"/>
        <v>5835</v>
      </c>
      <c r="C95" s="105">
        <f t="shared" si="9"/>
        <v>8.6716295447206555</v>
      </c>
      <c r="D95" s="67">
        <f t="shared" si="11"/>
        <v>10</v>
      </c>
      <c r="E95" s="108"/>
      <c r="F95" s="108"/>
      <c r="G95" s="115"/>
      <c r="H95" s="108"/>
      <c r="I95" s="109">
        <f t="shared" si="10"/>
        <v>5922.2</v>
      </c>
    </row>
    <row r="96" spans="1:11" ht="15" customHeight="1">
      <c r="A96" s="65">
        <f t="shared" si="8"/>
        <v>1999</v>
      </c>
      <c r="B96" s="104">
        <f t="shared" si="8"/>
        <v>5719</v>
      </c>
      <c r="C96" s="105">
        <f t="shared" si="9"/>
        <v>8.6515492439153157</v>
      </c>
      <c r="D96" s="67">
        <f t="shared" si="11"/>
        <v>11</v>
      </c>
      <c r="E96" s="108"/>
      <c r="F96" s="108"/>
      <c r="G96" s="115"/>
      <c r="H96" s="108"/>
      <c r="I96" s="109">
        <f t="shared" si="10"/>
        <v>5726.1</v>
      </c>
    </row>
    <row r="97" spans="1:9" ht="15" customHeight="1">
      <c r="A97" s="65">
        <f t="shared" si="8"/>
        <v>2000</v>
      </c>
      <c r="B97" s="104">
        <f t="shared" si="8"/>
        <v>5594</v>
      </c>
      <c r="C97" s="105">
        <f t="shared" si="9"/>
        <v>8.6294498737619048</v>
      </c>
      <c r="D97" s="67">
        <f t="shared" si="11"/>
        <v>12</v>
      </c>
      <c r="E97" s="108"/>
      <c r="F97" s="108"/>
      <c r="G97" s="115"/>
      <c r="H97" s="108"/>
      <c r="I97" s="109">
        <f t="shared" si="10"/>
        <v>5536.5</v>
      </c>
    </row>
    <row r="98" spans="1:9" ht="15" customHeight="1">
      <c r="A98" s="65">
        <f t="shared" si="8"/>
        <v>2001</v>
      </c>
      <c r="B98" s="104">
        <f t="shared" si="8"/>
        <v>5248</v>
      </c>
      <c r="C98" s="105">
        <f t="shared" si="9"/>
        <v>8.5656023306239248</v>
      </c>
      <c r="D98" s="67">
        <f t="shared" si="11"/>
        <v>13</v>
      </c>
      <c r="E98" s="108"/>
      <c r="F98" s="108"/>
      <c r="G98" s="115"/>
      <c r="H98" s="108"/>
      <c r="I98" s="109">
        <f t="shared" si="10"/>
        <v>5353.2</v>
      </c>
    </row>
    <row r="99" spans="1:9" ht="15" customHeight="1">
      <c r="A99" s="65">
        <f t="shared" si="8"/>
        <v>2002</v>
      </c>
      <c r="B99" s="104">
        <f t="shared" si="8"/>
        <v>5034</v>
      </c>
      <c r="C99" s="105">
        <f t="shared" si="9"/>
        <v>8.5239701756952613</v>
      </c>
      <c r="D99" s="67">
        <f t="shared" si="11"/>
        <v>14</v>
      </c>
      <c r="E99" s="108"/>
      <c r="F99" s="108"/>
      <c r="G99" s="115"/>
      <c r="H99" s="108"/>
      <c r="I99" s="109">
        <f t="shared" si="10"/>
        <v>5176</v>
      </c>
    </row>
    <row r="100" spans="1:9" ht="15" customHeight="1">
      <c r="A100" s="65">
        <f t="shared" si="8"/>
        <v>2003</v>
      </c>
      <c r="B100" s="104">
        <f t="shared" si="8"/>
        <v>4835</v>
      </c>
      <c r="C100" s="105">
        <f t="shared" si="9"/>
        <v>8.4836364078873938</v>
      </c>
      <c r="D100" s="67">
        <f t="shared" si="11"/>
        <v>15</v>
      </c>
      <c r="E100" s="108"/>
      <c r="F100" s="108"/>
      <c r="G100" s="115"/>
      <c r="H100" s="108"/>
      <c r="I100" s="109">
        <f t="shared" si="10"/>
        <v>5004.6000000000004</v>
      </c>
    </row>
    <row r="101" spans="1:9" ht="15" customHeight="1">
      <c r="A101" s="65">
        <f t="shared" ref="A101:B105" si="12">A21</f>
        <v>2004</v>
      </c>
      <c r="B101" s="104">
        <f t="shared" si="12"/>
        <v>4742</v>
      </c>
      <c r="C101" s="105">
        <f t="shared" si="9"/>
        <v>8.4642142666253513</v>
      </c>
      <c r="D101" s="67">
        <f t="shared" si="11"/>
        <v>16</v>
      </c>
      <c r="E101" s="108"/>
      <c r="F101" s="108"/>
      <c r="G101" s="115"/>
      <c r="H101" s="108"/>
      <c r="I101" s="109">
        <f t="shared" si="10"/>
        <v>4838.8999999999996</v>
      </c>
    </row>
    <row r="102" spans="1:9" ht="15" customHeight="1">
      <c r="A102" s="65">
        <f t="shared" si="12"/>
        <v>2005</v>
      </c>
      <c r="B102" s="104">
        <f t="shared" si="12"/>
        <v>4623</v>
      </c>
      <c r="C102" s="105">
        <f t="shared" si="9"/>
        <v>8.4387991239882254</v>
      </c>
      <c r="D102" s="67">
        <f t="shared" si="11"/>
        <v>17</v>
      </c>
      <c r="E102" s="108"/>
      <c r="F102" s="108"/>
      <c r="G102" s="115"/>
      <c r="H102" s="108"/>
      <c r="I102" s="109">
        <f t="shared" si="10"/>
        <v>4678.7</v>
      </c>
    </row>
    <row r="103" spans="1:9" ht="15" customHeight="1">
      <c r="A103" s="65">
        <f t="shared" si="12"/>
        <v>2006</v>
      </c>
      <c r="B103" s="104">
        <f t="shared" si="12"/>
        <v>4474</v>
      </c>
      <c r="C103" s="105">
        <f t="shared" si="9"/>
        <v>8.4060381420500754</v>
      </c>
      <c r="D103" s="67">
        <f t="shared" si="11"/>
        <v>18</v>
      </c>
      <c r="E103" s="108"/>
      <c r="F103" s="108"/>
      <c r="G103" s="115"/>
      <c r="H103" s="108"/>
      <c r="I103" s="109">
        <f t="shared" si="10"/>
        <v>4523.8</v>
      </c>
    </row>
    <row r="104" spans="1:9" ht="15" customHeight="1" thickBot="1">
      <c r="A104" s="65">
        <f t="shared" si="12"/>
        <v>2007</v>
      </c>
      <c r="B104" s="104">
        <f t="shared" si="12"/>
        <v>4374</v>
      </c>
      <c r="C104" s="105">
        <f t="shared" si="9"/>
        <v>8.3834332012367128</v>
      </c>
      <c r="D104" s="67">
        <f t="shared" si="11"/>
        <v>19</v>
      </c>
      <c r="E104" s="108"/>
      <c r="F104" s="108"/>
      <c r="G104" s="115"/>
      <c r="H104" s="108"/>
      <c r="I104" s="109">
        <f t="shared" si="10"/>
        <v>4374</v>
      </c>
    </row>
    <row r="105" spans="1:9" ht="15" customHeight="1" thickTop="1">
      <c r="A105" s="255">
        <f t="shared" si="12"/>
        <v>2008</v>
      </c>
      <c r="B105" s="76">
        <f t="shared" ref="B105:B122" si="13">ROUND(F$86*(1+F$85)^D105,0)</f>
        <v>4229</v>
      </c>
      <c r="C105" s="121">
        <f t="shared" si="9"/>
        <v>8.3497208374724892</v>
      </c>
      <c r="D105" s="77">
        <f t="shared" si="11"/>
        <v>20</v>
      </c>
      <c r="E105" s="259"/>
      <c r="F105" s="259"/>
      <c r="G105" s="260"/>
      <c r="H105" s="259"/>
      <c r="I105" s="123">
        <f t="shared" si="10"/>
        <v>4229.1000000000004</v>
      </c>
    </row>
    <row r="106" spans="1:9" ht="15" customHeight="1">
      <c r="A106" s="80">
        <v>2009</v>
      </c>
      <c r="B106" s="81">
        <f t="shared" si="13"/>
        <v>4089</v>
      </c>
      <c r="C106" s="105">
        <f t="shared" si="9"/>
        <v>8.316055720364643</v>
      </c>
      <c r="D106" s="67">
        <f t="shared" si="11"/>
        <v>21</v>
      </c>
      <c r="E106" s="83"/>
      <c r="F106" s="69"/>
      <c r="G106" s="69"/>
      <c r="H106" s="69"/>
      <c r="I106" s="109">
        <f t="shared" si="10"/>
        <v>4089.1</v>
      </c>
    </row>
    <row r="107" spans="1:9" ht="15" customHeight="1">
      <c r="A107" s="80">
        <v>2010</v>
      </c>
      <c r="B107" s="81">
        <f t="shared" si="13"/>
        <v>3954</v>
      </c>
      <c r="C107" s="105">
        <f t="shared" si="9"/>
        <v>8.2824830037305617</v>
      </c>
      <c r="D107" s="67">
        <f t="shared" si="11"/>
        <v>22</v>
      </c>
      <c r="E107" s="83"/>
      <c r="F107" s="69"/>
      <c r="G107" s="69"/>
      <c r="H107" s="69"/>
      <c r="I107" s="109">
        <f t="shared" si="10"/>
        <v>3953.7</v>
      </c>
    </row>
    <row r="108" spans="1:9" ht="15" customHeight="1">
      <c r="A108" s="80">
        <v>2011</v>
      </c>
      <c r="B108" s="81">
        <f t="shared" si="13"/>
        <v>3823</v>
      </c>
      <c r="C108" s="105">
        <f t="shared" si="9"/>
        <v>8.2487907336964135</v>
      </c>
      <c r="D108" s="67">
        <f t="shared" si="11"/>
        <v>23</v>
      </c>
      <c r="E108" s="83"/>
      <c r="F108" s="69"/>
      <c r="G108" s="69"/>
      <c r="H108" s="69"/>
      <c r="I108" s="109">
        <f t="shared" si="10"/>
        <v>3822.8</v>
      </c>
    </row>
    <row r="109" spans="1:9" ht="15" customHeight="1">
      <c r="A109" s="80">
        <v>2012</v>
      </c>
      <c r="B109" s="81">
        <f t="shared" si="13"/>
        <v>3696</v>
      </c>
      <c r="C109" s="105">
        <f t="shared" si="9"/>
        <v>8.2150064327615748</v>
      </c>
      <c r="D109" s="67">
        <f t="shared" si="11"/>
        <v>24</v>
      </c>
      <c r="E109" s="83"/>
      <c r="F109" s="69"/>
      <c r="G109" s="69"/>
      <c r="H109" s="69"/>
      <c r="I109" s="109">
        <f t="shared" si="10"/>
        <v>3696.2</v>
      </c>
    </row>
    <row r="110" spans="1:9" ht="15" customHeight="1">
      <c r="A110" s="80">
        <v>2013</v>
      </c>
      <c r="B110" s="81">
        <f t="shared" si="13"/>
        <v>3574</v>
      </c>
      <c r="C110" s="105">
        <f t="shared" si="9"/>
        <v>8.1814406957193739</v>
      </c>
      <c r="D110" s="67">
        <f t="shared" si="11"/>
        <v>25</v>
      </c>
      <c r="E110" s="83"/>
      <c r="F110" s="69"/>
      <c r="G110" s="69"/>
      <c r="H110" s="69"/>
      <c r="I110" s="109">
        <f t="shared" si="10"/>
        <v>3573.9</v>
      </c>
    </row>
    <row r="111" spans="1:9" ht="15" customHeight="1">
      <c r="A111" s="80">
        <v>2014</v>
      </c>
      <c r="B111" s="81">
        <f t="shared" si="13"/>
        <v>3456</v>
      </c>
      <c r="C111" s="105">
        <f t="shared" si="9"/>
        <v>8.1478671299239469</v>
      </c>
      <c r="D111" s="67">
        <f t="shared" si="11"/>
        <v>26</v>
      </c>
      <c r="E111" s="83"/>
      <c r="F111" s="69"/>
      <c r="G111" s="69"/>
      <c r="H111" s="69"/>
      <c r="I111" s="109">
        <f t="shared" si="10"/>
        <v>3455.5</v>
      </c>
    </row>
    <row r="112" spans="1:9" ht="15" customHeight="1">
      <c r="A112" s="80">
        <v>2015</v>
      </c>
      <c r="B112" s="81">
        <f t="shared" si="13"/>
        <v>3341</v>
      </c>
      <c r="C112" s="105">
        <f t="shared" si="9"/>
        <v>8.1140254423567573</v>
      </c>
      <c r="D112" s="67">
        <f t="shared" si="11"/>
        <v>27</v>
      </c>
      <c r="E112" s="83"/>
      <c r="F112" s="69"/>
      <c r="G112" s="69"/>
      <c r="H112" s="69"/>
      <c r="I112" s="109">
        <f t="shared" si="10"/>
        <v>3341.1</v>
      </c>
    </row>
    <row r="113" spans="1:9" ht="15" customHeight="1">
      <c r="A113" s="80">
        <v>2016</v>
      </c>
      <c r="B113" s="81">
        <f t="shared" si="13"/>
        <v>3230</v>
      </c>
      <c r="C113" s="105">
        <f t="shared" si="9"/>
        <v>8.0802374162167023</v>
      </c>
      <c r="D113" s="67">
        <f t="shared" si="11"/>
        <v>28</v>
      </c>
      <c r="E113" s="83"/>
      <c r="F113" s="69"/>
      <c r="G113" s="69"/>
      <c r="H113" s="69"/>
      <c r="I113" s="109">
        <f t="shared" si="10"/>
        <v>3230.5</v>
      </c>
    </row>
    <row r="114" spans="1:9" ht="15" customHeight="1">
      <c r="A114" s="80">
        <v>2017</v>
      </c>
      <c r="B114" s="81">
        <f t="shared" si="13"/>
        <v>3124</v>
      </c>
      <c r="C114" s="105">
        <f t="shared" si="9"/>
        <v>8.046869510959576</v>
      </c>
      <c r="D114" s="67">
        <f t="shared" si="11"/>
        <v>29</v>
      </c>
      <c r="E114" s="83"/>
      <c r="F114" s="69"/>
      <c r="G114" s="69"/>
      <c r="H114" s="69"/>
      <c r="I114" s="109">
        <f t="shared" si="10"/>
        <v>3123.5</v>
      </c>
    </row>
    <row r="115" spans="1:9" ht="15" customHeight="1">
      <c r="A115" s="80">
        <v>2018</v>
      </c>
      <c r="B115" s="81">
        <f t="shared" si="13"/>
        <v>3020</v>
      </c>
      <c r="C115" s="105">
        <f t="shared" si="9"/>
        <v>8.0130121103689156</v>
      </c>
      <c r="D115" s="67">
        <f t="shared" si="11"/>
        <v>30</v>
      </c>
      <c r="E115" s="83"/>
      <c r="F115" s="69"/>
      <c r="G115" s="69"/>
      <c r="H115" s="69"/>
      <c r="I115" s="109">
        <f t="shared" si="10"/>
        <v>3020.1</v>
      </c>
    </row>
    <row r="116" spans="1:9" ht="15" customHeight="1">
      <c r="A116" s="80">
        <v>2019</v>
      </c>
      <c r="B116" s="81">
        <f t="shared" si="13"/>
        <v>2920</v>
      </c>
      <c r="C116" s="105">
        <f t="shared" si="9"/>
        <v>7.9793388952623276</v>
      </c>
      <c r="D116" s="67">
        <f t="shared" si="11"/>
        <v>31</v>
      </c>
      <c r="E116" s="83"/>
      <c r="F116" s="69"/>
      <c r="G116" s="69"/>
      <c r="H116" s="69"/>
      <c r="I116" s="109">
        <f t="shared" si="10"/>
        <v>2920.1</v>
      </c>
    </row>
    <row r="117" spans="1:9" ht="15" customHeight="1">
      <c r="A117" s="80">
        <v>2020</v>
      </c>
      <c r="B117" s="81">
        <f t="shared" si="13"/>
        <v>2823</v>
      </c>
      <c r="C117" s="105">
        <f t="shared" si="9"/>
        <v>7.9455554282534893</v>
      </c>
      <c r="D117" s="67">
        <f t="shared" si="11"/>
        <v>32</v>
      </c>
      <c r="E117" s="83"/>
      <c r="F117" s="69"/>
      <c r="G117" s="69"/>
      <c r="H117" s="69"/>
      <c r="I117" s="109">
        <f t="shared" si="10"/>
        <v>2823.4</v>
      </c>
    </row>
    <row r="118" spans="1:9" ht="15" customHeight="1">
      <c r="A118" s="80">
        <v>2021</v>
      </c>
      <c r="B118" s="81">
        <f t="shared" si="13"/>
        <v>2730</v>
      </c>
      <c r="C118" s="105">
        <f t="shared" si="9"/>
        <v>7.9120568881790057</v>
      </c>
      <c r="D118" s="67">
        <f t="shared" si="11"/>
        <v>33</v>
      </c>
      <c r="E118" s="83"/>
      <c r="F118" s="69"/>
      <c r="G118" s="69"/>
      <c r="H118" s="69"/>
      <c r="I118" s="109">
        <f t="shared" si="10"/>
        <v>2730</v>
      </c>
    </row>
    <row r="119" spans="1:9" ht="15" customHeight="1">
      <c r="A119" s="80">
        <v>2022</v>
      </c>
      <c r="B119" s="81">
        <f t="shared" si="13"/>
        <v>2640</v>
      </c>
      <c r="C119" s="105">
        <f t="shared" si="9"/>
        <v>7.8785341961403619</v>
      </c>
      <c r="D119" s="67">
        <f t="shared" si="11"/>
        <v>34</v>
      </c>
      <c r="E119" s="83"/>
      <c r="F119" s="69"/>
      <c r="G119" s="69"/>
      <c r="H119" s="69"/>
      <c r="I119" s="109">
        <f t="shared" si="10"/>
        <v>2639.6</v>
      </c>
    </row>
    <row r="120" spans="1:9" ht="15" customHeight="1">
      <c r="A120" s="80">
        <v>2023</v>
      </c>
      <c r="B120" s="81">
        <f t="shared" si="13"/>
        <v>2552</v>
      </c>
      <c r="C120" s="105">
        <f t="shared" si="9"/>
        <v>7.8446326444646806</v>
      </c>
      <c r="D120" s="67">
        <f t="shared" si="11"/>
        <v>35</v>
      </c>
      <c r="E120" s="83"/>
      <c r="F120" s="69"/>
      <c r="G120" s="69"/>
      <c r="H120" s="69"/>
      <c r="I120" s="109">
        <f t="shared" si="10"/>
        <v>2552.1999999999998</v>
      </c>
    </row>
    <row r="121" spans="1:9" ht="15" customHeight="1">
      <c r="A121" s="80">
        <v>2024</v>
      </c>
      <c r="B121" s="81">
        <f t="shared" si="13"/>
        <v>2468</v>
      </c>
      <c r="C121" s="105">
        <f t="shared" si="9"/>
        <v>7.8111633850252788</v>
      </c>
      <c r="D121" s="67">
        <f t="shared" si="11"/>
        <v>36</v>
      </c>
      <c r="E121" s="69"/>
      <c r="F121" s="69"/>
      <c r="G121" s="69"/>
      <c r="H121" s="69"/>
      <c r="I121" s="109">
        <f t="shared" si="10"/>
        <v>2467.6999999999998</v>
      </c>
    </row>
    <row r="122" spans="1:9" ht="15" customHeight="1">
      <c r="A122" s="85">
        <v>2025</v>
      </c>
      <c r="B122" s="86">
        <f t="shared" si="13"/>
        <v>2386</v>
      </c>
      <c r="C122" s="124">
        <f t="shared" si="9"/>
        <v>7.7773736026578613</v>
      </c>
      <c r="D122" s="87">
        <f t="shared" si="11"/>
        <v>37</v>
      </c>
      <c r="E122" s="89"/>
      <c r="F122" s="89"/>
      <c r="G122" s="89"/>
      <c r="H122" s="89"/>
      <c r="I122" s="125">
        <f t="shared" si="10"/>
        <v>2386</v>
      </c>
    </row>
    <row r="123" spans="1:9" ht="15" customHeight="1">
      <c r="A123" s="56" t="s">
        <v>82</v>
      </c>
      <c r="B123" s="57"/>
    </row>
    <row r="124" spans="1:9" ht="15" customHeight="1">
      <c r="A124" s="58" t="s">
        <v>32</v>
      </c>
      <c r="B124" s="59" t="s">
        <v>40</v>
      </c>
      <c r="C124" s="59" t="s">
        <v>83</v>
      </c>
      <c r="D124" s="59" t="s">
        <v>33</v>
      </c>
      <c r="E124" s="59" t="s">
        <v>35</v>
      </c>
      <c r="F124" s="103"/>
      <c r="G124" s="60"/>
      <c r="H124" s="63" t="s">
        <v>104</v>
      </c>
      <c r="I124" s="64" t="e">
        <f>RSQ(I125:I144,B125:B144)</f>
        <v>#VALUE!</v>
      </c>
    </row>
    <row r="125" spans="1:9" ht="15" customHeight="1">
      <c r="A125" s="65">
        <f t="shared" ref="A125:B140" si="14">A5</f>
        <v>1988</v>
      </c>
      <c r="B125" s="104">
        <f t="shared" si="14"/>
        <v>8293</v>
      </c>
      <c r="C125" s="126"/>
      <c r="D125" s="67">
        <v>0</v>
      </c>
      <c r="E125" s="67"/>
      <c r="F125" s="106" t="s">
        <v>75</v>
      </c>
      <c r="G125" s="73" t="e">
        <f>INDEX(LINEST(C126:C144,E126:E144),1)</f>
        <v>#VALUE!</v>
      </c>
      <c r="H125" s="127"/>
      <c r="I125" s="128" t="e">
        <f t="shared" ref="I125:I162" si="15">$B$125+$G$129*D125^$G$125</f>
        <v>#VALUE!</v>
      </c>
    </row>
    <row r="126" spans="1:9" ht="15" customHeight="1">
      <c r="A126" s="65">
        <f t="shared" si="14"/>
        <v>1989</v>
      </c>
      <c r="B126" s="104">
        <f t="shared" si="14"/>
        <v>8370</v>
      </c>
      <c r="C126" s="126">
        <f t="shared" ref="C126:C144" si="16">LN(-B$125+B126)</f>
        <v>4.3438054218536841</v>
      </c>
      <c r="D126" s="67">
        <f t="shared" ref="D126:D162" si="17">D125+1</f>
        <v>1</v>
      </c>
      <c r="E126" s="67">
        <f t="shared" ref="E126:E145" si="18">LN(D126)</f>
        <v>0</v>
      </c>
      <c r="F126" s="106" t="s">
        <v>76</v>
      </c>
      <c r="G126" s="73" t="e">
        <f>INDEX(LINEST(C126:C144,E126:E144),2)</f>
        <v>#VALUE!</v>
      </c>
      <c r="H126" s="129" t="s">
        <v>84</v>
      </c>
      <c r="I126" s="128" t="e">
        <f t="shared" si="15"/>
        <v>#VALUE!</v>
      </c>
    </row>
    <row r="127" spans="1:9" ht="15" customHeight="1">
      <c r="A127" s="65">
        <f t="shared" si="14"/>
        <v>1990</v>
      </c>
      <c r="B127" s="104">
        <f t="shared" si="14"/>
        <v>7082</v>
      </c>
      <c r="C127" s="126" t="e">
        <f t="shared" si="16"/>
        <v>#NUM!</v>
      </c>
      <c r="D127" s="67">
        <f t="shared" si="17"/>
        <v>2</v>
      </c>
      <c r="E127" s="67">
        <f t="shared" si="18"/>
        <v>0.69314718055994529</v>
      </c>
      <c r="F127" s="69"/>
      <c r="G127" s="130"/>
      <c r="H127" s="127"/>
      <c r="I127" s="128" t="e">
        <f t="shared" si="15"/>
        <v>#VALUE!</v>
      </c>
    </row>
    <row r="128" spans="1:9" ht="15" customHeight="1">
      <c r="A128" s="65">
        <f t="shared" si="14"/>
        <v>1991</v>
      </c>
      <c r="B128" s="104">
        <f t="shared" si="14"/>
        <v>7199</v>
      </c>
      <c r="C128" s="126" t="e">
        <f t="shared" si="16"/>
        <v>#NUM!</v>
      </c>
      <c r="D128" s="67">
        <f t="shared" si="17"/>
        <v>3</v>
      </c>
      <c r="E128" s="67">
        <f t="shared" si="18"/>
        <v>1.0986122886681098</v>
      </c>
      <c r="F128" s="106" t="s">
        <v>77</v>
      </c>
      <c r="G128" s="73" t="e">
        <f>I124</f>
        <v>#VALUE!</v>
      </c>
      <c r="H128" s="127"/>
      <c r="I128" s="128" t="e">
        <f t="shared" si="15"/>
        <v>#VALUE!</v>
      </c>
    </row>
    <row r="129" spans="1:9" ht="15" customHeight="1">
      <c r="A129" s="65">
        <f t="shared" si="14"/>
        <v>1992</v>
      </c>
      <c r="B129" s="104">
        <f t="shared" si="14"/>
        <v>6932</v>
      </c>
      <c r="C129" s="126" t="e">
        <f t="shared" si="16"/>
        <v>#NUM!</v>
      </c>
      <c r="D129" s="67">
        <f t="shared" si="17"/>
        <v>4</v>
      </c>
      <c r="E129" s="67">
        <f t="shared" si="18"/>
        <v>1.3862943611198906</v>
      </c>
      <c r="F129" s="106" t="s">
        <v>38</v>
      </c>
      <c r="G129" s="131" t="e">
        <f>EXP(G126)</f>
        <v>#VALUE!</v>
      </c>
      <c r="H129" s="127"/>
      <c r="I129" s="128" t="e">
        <f t="shared" si="15"/>
        <v>#VALUE!</v>
      </c>
    </row>
    <row r="130" spans="1:9" ht="15" customHeight="1">
      <c r="A130" s="65">
        <f t="shared" si="14"/>
        <v>1993</v>
      </c>
      <c r="B130" s="104">
        <f t="shared" si="14"/>
        <v>6684</v>
      </c>
      <c r="C130" s="126" t="e">
        <f t="shared" si="16"/>
        <v>#NUM!</v>
      </c>
      <c r="D130" s="67">
        <f t="shared" si="17"/>
        <v>5</v>
      </c>
      <c r="E130" s="67">
        <f t="shared" si="18"/>
        <v>1.6094379124341003</v>
      </c>
      <c r="F130" s="106"/>
      <c r="G130" s="53"/>
      <c r="H130" s="127"/>
      <c r="I130" s="128" t="e">
        <f t="shared" si="15"/>
        <v>#VALUE!</v>
      </c>
    </row>
    <row r="131" spans="1:9" ht="15" customHeight="1">
      <c r="A131" s="65">
        <f t="shared" si="14"/>
        <v>1994</v>
      </c>
      <c r="B131" s="104">
        <f t="shared" si="14"/>
        <v>6207</v>
      </c>
      <c r="C131" s="126" t="e">
        <f t="shared" si="16"/>
        <v>#NUM!</v>
      </c>
      <c r="D131" s="67">
        <f t="shared" si="17"/>
        <v>6</v>
      </c>
      <c r="E131" s="67">
        <f t="shared" si="18"/>
        <v>1.791759469228055</v>
      </c>
      <c r="F131" s="106"/>
      <c r="G131" s="53"/>
      <c r="H131" s="127"/>
      <c r="I131" s="128" t="e">
        <f t="shared" si="15"/>
        <v>#VALUE!</v>
      </c>
    </row>
    <row r="132" spans="1:9" ht="15" customHeight="1">
      <c r="A132" s="65">
        <f t="shared" si="14"/>
        <v>1995</v>
      </c>
      <c r="B132" s="104">
        <f t="shared" si="14"/>
        <v>5816</v>
      </c>
      <c r="C132" s="126" t="e">
        <f t="shared" si="16"/>
        <v>#NUM!</v>
      </c>
      <c r="D132" s="67">
        <f t="shared" si="17"/>
        <v>7</v>
      </c>
      <c r="E132" s="67">
        <f t="shared" si="18"/>
        <v>1.9459101490553132</v>
      </c>
      <c r="F132" s="132" t="s">
        <v>85</v>
      </c>
      <c r="G132" s="53"/>
      <c r="H132" s="127"/>
      <c r="I132" s="128" t="e">
        <f t="shared" si="15"/>
        <v>#VALUE!</v>
      </c>
    </row>
    <row r="133" spans="1:9" ht="15" customHeight="1">
      <c r="A133" s="65">
        <f t="shared" si="14"/>
        <v>1996</v>
      </c>
      <c r="B133" s="104">
        <f t="shared" si="14"/>
        <v>5548</v>
      </c>
      <c r="C133" s="126" t="e">
        <f t="shared" si="16"/>
        <v>#NUM!</v>
      </c>
      <c r="D133" s="67">
        <f t="shared" si="17"/>
        <v>8</v>
      </c>
      <c r="E133" s="67">
        <f t="shared" si="18"/>
        <v>2.0794415416798357</v>
      </c>
      <c r="F133" s="132" t="s">
        <v>86</v>
      </c>
      <c r="G133" s="53"/>
      <c r="H133" s="127"/>
      <c r="I133" s="128" t="e">
        <f t="shared" si="15"/>
        <v>#VALUE!</v>
      </c>
    </row>
    <row r="134" spans="1:9" ht="15" customHeight="1">
      <c r="A134" s="65">
        <f t="shared" si="14"/>
        <v>1997</v>
      </c>
      <c r="B134" s="104">
        <f t="shared" si="14"/>
        <v>5872</v>
      </c>
      <c r="C134" s="126" t="e">
        <f t="shared" si="16"/>
        <v>#NUM!</v>
      </c>
      <c r="D134" s="67">
        <f t="shared" si="17"/>
        <v>9</v>
      </c>
      <c r="E134" s="67">
        <f t="shared" si="18"/>
        <v>2.1972245773362196</v>
      </c>
      <c r="F134" s="132"/>
      <c r="G134" s="53"/>
      <c r="H134" s="127"/>
      <c r="I134" s="128" t="e">
        <f t="shared" si="15"/>
        <v>#VALUE!</v>
      </c>
    </row>
    <row r="135" spans="1:9" ht="15" customHeight="1">
      <c r="A135" s="65">
        <f t="shared" si="14"/>
        <v>1998</v>
      </c>
      <c r="B135" s="104">
        <f t="shared" si="14"/>
        <v>5835</v>
      </c>
      <c r="C135" s="126" t="e">
        <f t="shared" si="16"/>
        <v>#NUM!</v>
      </c>
      <c r="D135" s="67">
        <f t="shared" si="17"/>
        <v>10</v>
      </c>
      <c r="E135" s="67">
        <f t="shared" si="18"/>
        <v>2.3025850929940459</v>
      </c>
      <c r="F135" s="132"/>
      <c r="G135" s="53"/>
      <c r="H135" s="127"/>
      <c r="I135" s="128" t="e">
        <f t="shared" si="15"/>
        <v>#VALUE!</v>
      </c>
    </row>
    <row r="136" spans="1:9" ht="15" customHeight="1">
      <c r="A136" s="65">
        <f t="shared" si="14"/>
        <v>1999</v>
      </c>
      <c r="B136" s="104">
        <f t="shared" si="14"/>
        <v>5719</v>
      </c>
      <c r="C136" s="126" t="e">
        <f t="shared" si="16"/>
        <v>#NUM!</v>
      </c>
      <c r="D136" s="67">
        <f t="shared" si="17"/>
        <v>11</v>
      </c>
      <c r="E136" s="67">
        <f t="shared" si="18"/>
        <v>2.3978952727983707</v>
      </c>
      <c r="F136" s="132"/>
      <c r="G136" s="53"/>
      <c r="H136" s="127"/>
      <c r="I136" s="128" t="e">
        <f t="shared" si="15"/>
        <v>#VALUE!</v>
      </c>
    </row>
    <row r="137" spans="1:9" ht="15" customHeight="1">
      <c r="A137" s="65">
        <f t="shared" si="14"/>
        <v>2000</v>
      </c>
      <c r="B137" s="104">
        <f t="shared" si="14"/>
        <v>5594</v>
      </c>
      <c r="C137" s="126" t="e">
        <f t="shared" si="16"/>
        <v>#NUM!</v>
      </c>
      <c r="D137" s="67">
        <f t="shared" si="17"/>
        <v>12</v>
      </c>
      <c r="E137" s="67">
        <f t="shared" si="18"/>
        <v>2.4849066497880004</v>
      </c>
      <c r="F137" s="132"/>
      <c r="G137" s="53"/>
      <c r="H137" s="127"/>
      <c r="I137" s="128" t="e">
        <f t="shared" si="15"/>
        <v>#VALUE!</v>
      </c>
    </row>
    <row r="138" spans="1:9" ht="15" customHeight="1">
      <c r="A138" s="65">
        <f t="shared" si="14"/>
        <v>2001</v>
      </c>
      <c r="B138" s="104">
        <f t="shared" si="14"/>
        <v>5248</v>
      </c>
      <c r="C138" s="126" t="e">
        <f t="shared" si="16"/>
        <v>#NUM!</v>
      </c>
      <c r="D138" s="67">
        <f t="shared" si="17"/>
        <v>13</v>
      </c>
      <c r="E138" s="67">
        <f t="shared" si="18"/>
        <v>2.5649493574615367</v>
      </c>
      <c r="F138" s="132"/>
      <c r="G138" s="53"/>
      <c r="H138" s="127"/>
      <c r="I138" s="128" t="e">
        <f t="shared" si="15"/>
        <v>#VALUE!</v>
      </c>
    </row>
    <row r="139" spans="1:9" ht="15" customHeight="1">
      <c r="A139" s="65">
        <f t="shared" si="14"/>
        <v>2002</v>
      </c>
      <c r="B139" s="104">
        <f t="shared" si="14"/>
        <v>5034</v>
      </c>
      <c r="C139" s="126" t="e">
        <f t="shared" si="16"/>
        <v>#NUM!</v>
      </c>
      <c r="D139" s="67">
        <f t="shared" si="17"/>
        <v>14</v>
      </c>
      <c r="E139" s="67">
        <f t="shared" si="18"/>
        <v>2.6390573296152584</v>
      </c>
      <c r="F139" s="132"/>
      <c r="G139" s="53"/>
      <c r="H139" s="127"/>
      <c r="I139" s="128" t="e">
        <f t="shared" si="15"/>
        <v>#VALUE!</v>
      </c>
    </row>
    <row r="140" spans="1:9" ht="15" customHeight="1">
      <c r="A140" s="65">
        <f t="shared" si="14"/>
        <v>2003</v>
      </c>
      <c r="B140" s="104">
        <f t="shared" si="14"/>
        <v>4835</v>
      </c>
      <c r="C140" s="126" t="e">
        <f t="shared" si="16"/>
        <v>#NUM!</v>
      </c>
      <c r="D140" s="67">
        <f t="shared" si="17"/>
        <v>15</v>
      </c>
      <c r="E140" s="67">
        <f t="shared" si="18"/>
        <v>2.7080502011022101</v>
      </c>
      <c r="F140" s="132"/>
      <c r="G140" s="53"/>
      <c r="H140" s="127"/>
      <c r="I140" s="128" t="e">
        <f t="shared" si="15"/>
        <v>#VALUE!</v>
      </c>
    </row>
    <row r="141" spans="1:9" ht="15" customHeight="1">
      <c r="A141" s="65">
        <f t="shared" ref="A141:B145" si="19">A21</f>
        <v>2004</v>
      </c>
      <c r="B141" s="104">
        <f t="shared" si="19"/>
        <v>4742</v>
      </c>
      <c r="C141" s="126" t="e">
        <f t="shared" si="16"/>
        <v>#NUM!</v>
      </c>
      <c r="D141" s="67">
        <f t="shared" si="17"/>
        <v>16</v>
      </c>
      <c r="E141" s="67">
        <f t="shared" si="18"/>
        <v>2.7725887222397811</v>
      </c>
      <c r="F141" s="132"/>
      <c r="G141" s="53"/>
      <c r="H141" s="127"/>
      <c r="I141" s="128" t="e">
        <f t="shared" si="15"/>
        <v>#VALUE!</v>
      </c>
    </row>
    <row r="142" spans="1:9" ht="15" customHeight="1">
      <c r="A142" s="65">
        <f t="shared" si="19"/>
        <v>2005</v>
      </c>
      <c r="B142" s="104">
        <f t="shared" si="19"/>
        <v>4623</v>
      </c>
      <c r="C142" s="126" t="e">
        <f t="shared" si="16"/>
        <v>#NUM!</v>
      </c>
      <c r="D142" s="67">
        <f t="shared" si="17"/>
        <v>17</v>
      </c>
      <c r="E142" s="67">
        <f t="shared" si="18"/>
        <v>2.8332133440562162</v>
      </c>
      <c r="F142" s="132"/>
      <c r="G142" s="53"/>
      <c r="H142" s="127"/>
      <c r="I142" s="128" t="e">
        <f t="shared" si="15"/>
        <v>#VALUE!</v>
      </c>
    </row>
    <row r="143" spans="1:9" ht="15" customHeight="1">
      <c r="A143" s="65">
        <f t="shared" si="19"/>
        <v>2006</v>
      </c>
      <c r="B143" s="104">
        <f t="shared" si="19"/>
        <v>4474</v>
      </c>
      <c r="C143" s="126" t="e">
        <f t="shared" si="16"/>
        <v>#NUM!</v>
      </c>
      <c r="D143" s="67">
        <f t="shared" si="17"/>
        <v>18</v>
      </c>
      <c r="E143" s="67">
        <f t="shared" si="18"/>
        <v>2.8903717578961645</v>
      </c>
      <c r="F143" s="132"/>
      <c r="G143" s="53"/>
      <c r="H143" s="127"/>
      <c r="I143" s="128" t="e">
        <f t="shared" si="15"/>
        <v>#VALUE!</v>
      </c>
    </row>
    <row r="144" spans="1:9" ht="15" customHeight="1" thickBot="1">
      <c r="A144" s="97">
        <f t="shared" si="19"/>
        <v>2007</v>
      </c>
      <c r="B144" s="116">
        <f t="shared" si="19"/>
        <v>4374</v>
      </c>
      <c r="C144" s="141" t="e">
        <f t="shared" si="16"/>
        <v>#NUM!</v>
      </c>
      <c r="D144" s="99">
        <f t="shared" si="17"/>
        <v>19</v>
      </c>
      <c r="E144" s="99">
        <f t="shared" si="18"/>
        <v>2.9444389791664403</v>
      </c>
      <c r="F144" s="182"/>
      <c r="G144" s="101"/>
      <c r="H144" s="143"/>
      <c r="I144" s="144" t="e">
        <f t="shared" si="15"/>
        <v>#VALUE!</v>
      </c>
    </row>
    <row r="145" spans="1:9" ht="15" customHeight="1" thickTop="1">
      <c r="A145" s="255">
        <f t="shared" si="19"/>
        <v>2008</v>
      </c>
      <c r="B145" s="81" t="e">
        <f>ROUND(LOOKUP(0,D$125:D$144,B$125:B$144)+G$129*D144^G$125,0)</f>
        <v>#VALUE!</v>
      </c>
      <c r="C145" s="257"/>
      <c r="D145" s="77">
        <f t="shared" si="17"/>
        <v>20</v>
      </c>
      <c r="E145" s="77">
        <f t="shared" si="18"/>
        <v>2.9957322735539909</v>
      </c>
      <c r="F145" s="122"/>
      <c r="G145" s="78"/>
      <c r="H145" s="258"/>
      <c r="I145" s="133" t="e">
        <f t="shared" si="15"/>
        <v>#VALUE!</v>
      </c>
    </row>
    <row r="146" spans="1:9" ht="15" customHeight="1">
      <c r="A146" s="80">
        <v>2009</v>
      </c>
      <c r="B146" s="81" t="e">
        <f>ROUND(LOOKUP(0,D$125:D$144,B$125:B$144)+G$129*D145^G$125,0)</f>
        <v>#VALUE!</v>
      </c>
      <c r="C146" s="134"/>
      <c r="D146" s="67">
        <f t="shared" si="17"/>
        <v>21</v>
      </c>
      <c r="E146" s="67"/>
      <c r="F146" s="83"/>
      <c r="G146" s="69"/>
      <c r="H146" s="84"/>
      <c r="I146" s="128" t="e">
        <f t="shared" si="15"/>
        <v>#VALUE!</v>
      </c>
    </row>
    <row r="147" spans="1:9" ht="15" customHeight="1">
      <c r="A147" s="80">
        <v>2010</v>
      </c>
      <c r="B147" s="81" t="e">
        <f t="shared" ref="B147:B162" si="20">ROUND(LOOKUP(0,D$125:D$144,B$125:B$144)+G$129*D146^G$125,0)</f>
        <v>#VALUE!</v>
      </c>
      <c r="C147" s="134"/>
      <c r="D147" s="67">
        <f t="shared" si="17"/>
        <v>22</v>
      </c>
      <c r="E147" s="67"/>
      <c r="F147" s="83"/>
      <c r="G147" s="69"/>
      <c r="H147" s="84"/>
      <c r="I147" s="128" t="e">
        <f t="shared" si="15"/>
        <v>#VALUE!</v>
      </c>
    </row>
    <row r="148" spans="1:9" ht="15" customHeight="1">
      <c r="A148" s="80">
        <v>2011</v>
      </c>
      <c r="B148" s="81" t="e">
        <f t="shared" si="20"/>
        <v>#VALUE!</v>
      </c>
      <c r="C148" s="134"/>
      <c r="D148" s="67">
        <f t="shared" si="17"/>
        <v>23</v>
      </c>
      <c r="E148" s="67"/>
      <c r="F148" s="83"/>
      <c r="G148" s="69"/>
      <c r="H148" s="84"/>
      <c r="I148" s="128" t="e">
        <f t="shared" si="15"/>
        <v>#VALUE!</v>
      </c>
    </row>
    <row r="149" spans="1:9" ht="15" customHeight="1">
      <c r="A149" s="80">
        <v>2012</v>
      </c>
      <c r="B149" s="81" t="e">
        <f t="shared" si="20"/>
        <v>#VALUE!</v>
      </c>
      <c r="C149" s="134"/>
      <c r="D149" s="67">
        <f t="shared" si="17"/>
        <v>24</v>
      </c>
      <c r="E149" s="67"/>
      <c r="F149" s="83"/>
      <c r="G149" s="69"/>
      <c r="H149" s="84"/>
      <c r="I149" s="128" t="e">
        <f t="shared" si="15"/>
        <v>#VALUE!</v>
      </c>
    </row>
    <row r="150" spans="1:9" ht="15" customHeight="1">
      <c r="A150" s="80">
        <v>2013</v>
      </c>
      <c r="B150" s="81" t="e">
        <f t="shared" si="20"/>
        <v>#VALUE!</v>
      </c>
      <c r="C150" s="134"/>
      <c r="D150" s="67">
        <f t="shared" si="17"/>
        <v>25</v>
      </c>
      <c r="E150" s="67"/>
      <c r="F150" s="83"/>
      <c r="G150" s="69"/>
      <c r="H150" s="84"/>
      <c r="I150" s="128" t="e">
        <f t="shared" si="15"/>
        <v>#VALUE!</v>
      </c>
    </row>
    <row r="151" spans="1:9" ht="15" customHeight="1">
      <c r="A151" s="80">
        <v>2014</v>
      </c>
      <c r="B151" s="81" t="e">
        <f t="shared" si="20"/>
        <v>#VALUE!</v>
      </c>
      <c r="C151" s="134"/>
      <c r="D151" s="67">
        <f t="shared" si="17"/>
        <v>26</v>
      </c>
      <c r="E151" s="67"/>
      <c r="F151" s="83"/>
      <c r="G151" s="69"/>
      <c r="H151" s="84"/>
      <c r="I151" s="128" t="e">
        <f t="shared" si="15"/>
        <v>#VALUE!</v>
      </c>
    </row>
    <row r="152" spans="1:9" ht="15" customHeight="1">
      <c r="A152" s="80">
        <v>2015</v>
      </c>
      <c r="B152" s="81" t="e">
        <f t="shared" si="20"/>
        <v>#VALUE!</v>
      </c>
      <c r="C152" s="134"/>
      <c r="D152" s="67">
        <f t="shared" si="17"/>
        <v>27</v>
      </c>
      <c r="E152" s="67"/>
      <c r="F152" s="83"/>
      <c r="G152" s="69"/>
      <c r="H152" s="84"/>
      <c r="I152" s="128" t="e">
        <f t="shared" si="15"/>
        <v>#VALUE!</v>
      </c>
    </row>
    <row r="153" spans="1:9" ht="15" customHeight="1">
      <c r="A153" s="80">
        <v>2016</v>
      </c>
      <c r="B153" s="81" t="e">
        <f t="shared" si="20"/>
        <v>#VALUE!</v>
      </c>
      <c r="C153" s="134"/>
      <c r="D153" s="67">
        <f t="shared" si="17"/>
        <v>28</v>
      </c>
      <c r="E153" s="67"/>
      <c r="F153" s="83"/>
      <c r="G153" s="69"/>
      <c r="H153" s="84"/>
      <c r="I153" s="128" t="e">
        <f t="shared" si="15"/>
        <v>#VALUE!</v>
      </c>
    </row>
    <row r="154" spans="1:9" ht="15" customHeight="1">
      <c r="A154" s="80">
        <v>2017</v>
      </c>
      <c r="B154" s="81" t="e">
        <f t="shared" si="20"/>
        <v>#VALUE!</v>
      </c>
      <c r="C154" s="134"/>
      <c r="D154" s="67">
        <f t="shared" si="17"/>
        <v>29</v>
      </c>
      <c r="E154" s="67"/>
      <c r="F154" s="83"/>
      <c r="G154" s="69"/>
      <c r="H154" s="84"/>
      <c r="I154" s="128" t="e">
        <f t="shared" si="15"/>
        <v>#VALUE!</v>
      </c>
    </row>
    <row r="155" spans="1:9" ht="15" customHeight="1">
      <c r="A155" s="80">
        <v>2018</v>
      </c>
      <c r="B155" s="81" t="e">
        <f t="shared" si="20"/>
        <v>#VALUE!</v>
      </c>
      <c r="C155" s="134"/>
      <c r="D155" s="67">
        <f t="shared" si="17"/>
        <v>30</v>
      </c>
      <c r="E155" s="67"/>
      <c r="F155" s="83"/>
      <c r="G155" s="69"/>
      <c r="H155" s="84"/>
      <c r="I155" s="128" t="e">
        <f t="shared" si="15"/>
        <v>#VALUE!</v>
      </c>
    </row>
    <row r="156" spans="1:9" ht="15" customHeight="1">
      <c r="A156" s="80">
        <v>2019</v>
      </c>
      <c r="B156" s="81" t="e">
        <f t="shared" si="20"/>
        <v>#VALUE!</v>
      </c>
      <c r="C156" s="134"/>
      <c r="D156" s="67">
        <f t="shared" si="17"/>
        <v>31</v>
      </c>
      <c r="E156" s="67"/>
      <c r="F156" s="83"/>
      <c r="G156" s="69"/>
      <c r="H156" s="84"/>
      <c r="I156" s="128" t="e">
        <f t="shared" si="15"/>
        <v>#VALUE!</v>
      </c>
    </row>
    <row r="157" spans="1:9" ht="15" customHeight="1">
      <c r="A157" s="80">
        <v>2020</v>
      </c>
      <c r="B157" s="81" t="e">
        <f t="shared" si="20"/>
        <v>#VALUE!</v>
      </c>
      <c r="C157" s="134"/>
      <c r="D157" s="67">
        <f t="shared" si="17"/>
        <v>32</v>
      </c>
      <c r="E157" s="67"/>
      <c r="F157" s="83"/>
      <c r="G157" s="69"/>
      <c r="H157" s="84"/>
      <c r="I157" s="128" t="e">
        <f t="shared" si="15"/>
        <v>#VALUE!</v>
      </c>
    </row>
    <row r="158" spans="1:9" ht="15" customHeight="1">
      <c r="A158" s="80">
        <v>2021</v>
      </c>
      <c r="B158" s="81" t="e">
        <f t="shared" si="20"/>
        <v>#VALUE!</v>
      </c>
      <c r="C158" s="134"/>
      <c r="D158" s="67">
        <f t="shared" si="17"/>
        <v>33</v>
      </c>
      <c r="E158" s="67"/>
      <c r="F158" s="83"/>
      <c r="G158" s="69"/>
      <c r="H158" s="84"/>
      <c r="I158" s="128" t="e">
        <f t="shared" si="15"/>
        <v>#VALUE!</v>
      </c>
    </row>
    <row r="159" spans="1:9" ht="15" customHeight="1">
      <c r="A159" s="80">
        <v>2022</v>
      </c>
      <c r="B159" s="81" t="e">
        <f t="shared" si="20"/>
        <v>#VALUE!</v>
      </c>
      <c r="C159" s="134"/>
      <c r="D159" s="67">
        <f t="shared" si="17"/>
        <v>34</v>
      </c>
      <c r="E159" s="67"/>
      <c r="F159" s="83"/>
      <c r="G159" s="69"/>
      <c r="H159" s="84"/>
      <c r="I159" s="128" t="e">
        <f t="shared" si="15"/>
        <v>#VALUE!</v>
      </c>
    </row>
    <row r="160" spans="1:9" ht="15" customHeight="1">
      <c r="A160" s="80">
        <v>2023</v>
      </c>
      <c r="B160" s="81" t="e">
        <f t="shared" si="20"/>
        <v>#VALUE!</v>
      </c>
      <c r="C160" s="134"/>
      <c r="D160" s="67">
        <f t="shared" si="17"/>
        <v>35</v>
      </c>
      <c r="E160" s="67"/>
      <c r="F160" s="83"/>
      <c r="G160" s="69"/>
      <c r="H160" s="84"/>
      <c r="I160" s="128" t="e">
        <f t="shared" si="15"/>
        <v>#VALUE!</v>
      </c>
    </row>
    <row r="161" spans="1:9" ht="15" customHeight="1">
      <c r="A161" s="80">
        <v>2024</v>
      </c>
      <c r="B161" s="81" t="e">
        <f t="shared" si="20"/>
        <v>#VALUE!</v>
      </c>
      <c r="C161" s="135"/>
      <c r="D161" s="67">
        <f t="shared" si="17"/>
        <v>36</v>
      </c>
      <c r="E161" s="67"/>
      <c r="F161" s="69"/>
      <c r="G161" s="69"/>
      <c r="H161" s="69"/>
      <c r="I161" s="136" t="e">
        <f t="shared" si="15"/>
        <v>#VALUE!</v>
      </c>
    </row>
    <row r="162" spans="1:9" ht="15" customHeight="1">
      <c r="A162" s="85">
        <v>2025</v>
      </c>
      <c r="B162" s="81" t="e">
        <f t="shared" si="20"/>
        <v>#VALUE!</v>
      </c>
      <c r="C162" s="137"/>
      <c r="D162" s="87">
        <f t="shared" si="17"/>
        <v>37</v>
      </c>
      <c r="E162" s="87"/>
      <c r="F162" s="89"/>
      <c r="G162" s="89"/>
      <c r="H162" s="89"/>
      <c r="I162" s="138" t="e">
        <f t="shared" si="15"/>
        <v>#VALUE!</v>
      </c>
    </row>
    <row r="163" spans="1:9" ht="15" customHeight="1">
      <c r="A163" s="56" t="s">
        <v>87</v>
      </c>
      <c r="B163" s="57"/>
    </row>
    <row r="164" spans="1:9" ht="15" customHeight="1">
      <c r="A164" s="58" t="s">
        <v>32</v>
      </c>
      <c r="B164" s="59" t="s">
        <v>40</v>
      </c>
      <c r="C164" s="59" t="s">
        <v>36</v>
      </c>
      <c r="D164" s="59" t="s">
        <v>33</v>
      </c>
      <c r="E164" s="103"/>
      <c r="F164" s="60"/>
      <c r="G164" s="61"/>
      <c r="H164" s="63" t="s">
        <v>104</v>
      </c>
      <c r="I164" s="64">
        <f>RSQ(I165:I185,B165:B185)</f>
        <v>0.93722840439697952</v>
      </c>
    </row>
    <row r="165" spans="1:9" ht="15" customHeight="1">
      <c r="A165" s="65">
        <f t="shared" ref="A165:A185" si="21">A5</f>
        <v>1988</v>
      </c>
      <c r="B165" s="104">
        <f t="shared" ref="B165:B184" si="22">+B5</f>
        <v>8293</v>
      </c>
      <c r="C165" s="126">
        <f t="shared" ref="C165:C184" si="23">LN(F$168/B165-1)</f>
        <v>1.8399563276292701E-2</v>
      </c>
      <c r="D165" s="67">
        <v>0</v>
      </c>
      <c r="E165" s="106" t="s">
        <v>75</v>
      </c>
      <c r="F165" s="139">
        <f>INDEX(LINEST(C165:C184,D165:D184),1)</f>
        <v>5.016067313503985E-2</v>
      </c>
      <c r="G165" s="140" t="s">
        <v>88</v>
      </c>
      <c r="H165" s="127"/>
      <c r="I165" s="128">
        <f t="shared" ref="I165:I202" si="24">$F$168/(1+EXP($F$166+$F$165*D165))</f>
        <v>7795.2564990837573</v>
      </c>
    </row>
    <row r="166" spans="1:9" ht="15" customHeight="1">
      <c r="A166" s="65">
        <f t="shared" si="21"/>
        <v>1989</v>
      </c>
      <c r="B166" s="104">
        <f t="shared" si="22"/>
        <v>8370</v>
      </c>
      <c r="C166" s="126">
        <f t="shared" si="23"/>
        <v>0</v>
      </c>
      <c r="D166" s="67">
        <f t="shared" ref="D166:D202" si="25">D165+1</f>
        <v>1</v>
      </c>
      <c r="E166" s="106" t="s">
        <v>76</v>
      </c>
      <c r="F166" s="139">
        <f>INDEX(LINEST(C165:C184,D165:D184),2)</f>
        <v>0.13755063385480265</v>
      </c>
      <c r="G166" s="69"/>
      <c r="H166" s="127"/>
      <c r="I166" s="128">
        <f t="shared" si="24"/>
        <v>7586.7267517118571</v>
      </c>
    </row>
    <row r="167" spans="1:9" ht="15" customHeight="1">
      <c r="A167" s="65">
        <f t="shared" si="21"/>
        <v>1990</v>
      </c>
      <c r="B167" s="104">
        <f t="shared" si="22"/>
        <v>7082</v>
      </c>
      <c r="C167" s="126">
        <f t="shared" si="23"/>
        <v>0.31023023376163811</v>
      </c>
      <c r="D167" s="67">
        <f t="shared" si="25"/>
        <v>2</v>
      </c>
      <c r="E167" s="106" t="s">
        <v>77</v>
      </c>
      <c r="F167" s="73">
        <f>I164</f>
        <v>0.93722840439697952</v>
      </c>
      <c r="G167" s="69"/>
      <c r="H167" s="127"/>
      <c r="I167" s="128">
        <f t="shared" si="24"/>
        <v>7379.1733649751241</v>
      </c>
    </row>
    <row r="168" spans="1:9" ht="15" customHeight="1">
      <c r="A168" s="65">
        <f t="shared" si="21"/>
        <v>1991</v>
      </c>
      <c r="B168" s="104">
        <f t="shared" si="22"/>
        <v>7199</v>
      </c>
      <c r="C168" s="126">
        <f t="shared" si="23"/>
        <v>0.28165617428254291</v>
      </c>
      <c r="D168" s="67">
        <f t="shared" si="25"/>
        <v>3</v>
      </c>
      <c r="E168" s="106" t="s">
        <v>39</v>
      </c>
      <c r="F168" s="110">
        <f>MAX(B165:B184)*2</f>
        <v>16740</v>
      </c>
      <c r="G168" s="69"/>
      <c r="H168" s="127"/>
      <c r="I168" s="128">
        <f t="shared" si="24"/>
        <v>7172.848512070942</v>
      </c>
    </row>
    <row r="169" spans="1:9" ht="15" customHeight="1">
      <c r="A169" s="65">
        <f t="shared" si="21"/>
        <v>1992</v>
      </c>
      <c r="B169" s="104">
        <f t="shared" si="22"/>
        <v>6932</v>
      </c>
      <c r="C169" s="126">
        <f t="shared" si="23"/>
        <v>0.34705000734049596</v>
      </c>
      <c r="D169" s="67">
        <f t="shared" si="25"/>
        <v>4</v>
      </c>
      <c r="E169" s="106"/>
      <c r="F169" s="53"/>
      <c r="G169" s="69"/>
      <c r="H169" s="127"/>
      <c r="I169" s="128">
        <f t="shared" si="24"/>
        <v>6967.9983219211053</v>
      </c>
    </row>
    <row r="170" spans="1:9" ht="15" customHeight="1">
      <c r="A170" s="65">
        <f t="shared" si="21"/>
        <v>1993</v>
      </c>
      <c r="B170" s="104">
        <f t="shared" si="22"/>
        <v>6684</v>
      </c>
      <c r="C170" s="126">
        <f t="shared" si="23"/>
        <v>0.4084528605547989</v>
      </c>
      <c r="D170" s="67">
        <f t="shared" si="25"/>
        <v>5</v>
      </c>
      <c r="E170" s="106"/>
      <c r="F170" s="53"/>
      <c r="G170" s="69"/>
      <c r="H170" s="127"/>
      <c r="I170" s="128">
        <f t="shared" si="24"/>
        <v>6764.8617397330936</v>
      </c>
    </row>
    <row r="171" spans="1:9" ht="15" customHeight="1">
      <c r="A171" s="65">
        <f t="shared" si="21"/>
        <v>1994</v>
      </c>
      <c r="B171" s="104">
        <f t="shared" si="22"/>
        <v>6207</v>
      </c>
      <c r="C171" s="126">
        <f t="shared" si="23"/>
        <v>0.52883549842288924</v>
      </c>
      <c r="D171" s="67">
        <f t="shared" si="25"/>
        <v>6</v>
      </c>
      <c r="E171" s="132" t="s">
        <v>89</v>
      </c>
      <c r="F171" s="53"/>
      <c r="G171" s="69"/>
      <c r="H171" s="127"/>
      <c r="I171" s="128">
        <f t="shared" si="24"/>
        <v>6563.6694609837068</v>
      </c>
    </row>
    <row r="172" spans="1:9" ht="15" customHeight="1">
      <c r="A172" s="65">
        <f t="shared" si="21"/>
        <v>1995</v>
      </c>
      <c r="B172" s="104">
        <f t="shared" si="22"/>
        <v>5816</v>
      </c>
      <c r="C172" s="126">
        <f t="shared" si="23"/>
        <v>0.63034946338024034</v>
      </c>
      <c r="D172" s="67">
        <f t="shared" si="25"/>
        <v>7</v>
      </c>
      <c r="E172" s="132" t="s">
        <v>90</v>
      </c>
      <c r="F172" s="53"/>
      <c r="G172" s="69"/>
      <c r="H172" s="127"/>
      <c r="I172" s="128">
        <f t="shared" si="24"/>
        <v>6364.6429483550892</v>
      </c>
    </row>
    <row r="173" spans="1:9" ht="15" customHeight="1">
      <c r="A173" s="65">
        <f t="shared" si="21"/>
        <v>1996</v>
      </c>
      <c r="B173" s="104">
        <f t="shared" si="22"/>
        <v>5548</v>
      </c>
      <c r="C173" s="126">
        <f t="shared" si="23"/>
        <v>0.7017617349105949</v>
      </c>
      <c r="D173" s="67">
        <f t="shared" si="25"/>
        <v>8</v>
      </c>
      <c r="E173" s="132"/>
      <c r="F173" s="53"/>
      <c r="G173" s="69"/>
      <c r="H173" s="127"/>
      <c r="I173" s="128">
        <f t="shared" si="24"/>
        <v>6167.993539748446</v>
      </c>
    </row>
    <row r="174" spans="1:9" ht="15" customHeight="1">
      <c r="A174" s="65">
        <f t="shared" si="21"/>
        <v>1997</v>
      </c>
      <c r="B174" s="104">
        <f t="shared" si="22"/>
        <v>5872</v>
      </c>
      <c r="C174" s="126">
        <f t="shared" si="23"/>
        <v>0.61562740025188678</v>
      </c>
      <c r="D174" s="67">
        <f t="shared" si="25"/>
        <v>9</v>
      </c>
      <c r="E174" s="132"/>
      <c r="F174" s="53"/>
      <c r="G174" s="69"/>
      <c r="H174" s="127"/>
      <c r="I174" s="128">
        <f t="shared" si="24"/>
        <v>5973.9216539969966</v>
      </c>
    </row>
    <row r="175" spans="1:9" ht="15" customHeight="1">
      <c r="A175" s="65">
        <f t="shared" si="21"/>
        <v>1998</v>
      </c>
      <c r="B175" s="104">
        <f t="shared" si="22"/>
        <v>5835</v>
      </c>
      <c r="C175" s="126">
        <f t="shared" si="23"/>
        <v>0.62534713391507302</v>
      </c>
      <c r="D175" s="67">
        <f t="shared" si="25"/>
        <v>10</v>
      </c>
      <c r="E175" s="132"/>
      <c r="F175" s="53"/>
      <c r="G175" s="69"/>
      <c r="H175" s="127"/>
      <c r="I175" s="128">
        <f t="shared" si="24"/>
        <v>5782.6160993339581</v>
      </c>
    </row>
    <row r="176" spans="1:9" ht="15" customHeight="1">
      <c r="A176" s="65">
        <f t="shared" si="21"/>
        <v>1999</v>
      </c>
      <c r="B176" s="104">
        <f t="shared" si="22"/>
        <v>5719</v>
      </c>
      <c r="C176" s="126">
        <f t="shared" si="23"/>
        <v>0.65600857877622576</v>
      </c>
      <c r="D176" s="67">
        <f t="shared" si="25"/>
        <v>11</v>
      </c>
      <c r="E176" s="132"/>
      <c r="F176" s="53"/>
      <c r="G176" s="69"/>
      <c r="H176" s="127"/>
      <c r="I176" s="128">
        <f t="shared" si="24"/>
        <v>5594.2534880803551</v>
      </c>
    </row>
    <row r="177" spans="1:9" ht="15" customHeight="1">
      <c r="A177" s="65">
        <f t="shared" si="21"/>
        <v>2000</v>
      </c>
      <c r="B177" s="104">
        <f t="shared" si="22"/>
        <v>5594</v>
      </c>
      <c r="C177" s="126">
        <f t="shared" si="23"/>
        <v>0.6893860943675767</v>
      </c>
      <c r="D177" s="67">
        <f t="shared" si="25"/>
        <v>12</v>
      </c>
      <c r="E177" s="132"/>
      <c r="F177" s="53"/>
      <c r="G177" s="69"/>
      <c r="H177" s="127"/>
      <c r="I177" s="128">
        <f t="shared" si="24"/>
        <v>5408.997759437234</v>
      </c>
    </row>
    <row r="178" spans="1:9" ht="15" customHeight="1">
      <c r="A178" s="65">
        <f t="shared" si="21"/>
        <v>2001</v>
      </c>
      <c r="B178" s="104">
        <f t="shared" si="22"/>
        <v>5248</v>
      </c>
      <c r="C178" s="126">
        <f t="shared" si="23"/>
        <v>0.78380408947525526</v>
      </c>
      <c r="D178" s="67">
        <f t="shared" si="25"/>
        <v>13</v>
      </c>
      <c r="E178" s="132"/>
      <c r="F178" s="53"/>
      <c r="G178" s="69"/>
      <c r="H178" s="127"/>
      <c r="I178" s="128">
        <f t="shared" si="24"/>
        <v>5226.9998107305837</v>
      </c>
    </row>
    <row r="179" spans="1:9" ht="15" customHeight="1">
      <c r="A179" s="65">
        <f t="shared" si="21"/>
        <v>2002</v>
      </c>
      <c r="B179" s="104">
        <f t="shared" si="22"/>
        <v>5034</v>
      </c>
      <c r="C179" s="126">
        <f t="shared" si="23"/>
        <v>0.84388663415590492</v>
      </c>
      <c r="D179" s="67">
        <f t="shared" si="25"/>
        <v>14</v>
      </c>
      <c r="E179" s="132"/>
      <c r="F179" s="53"/>
      <c r="G179" s="69"/>
      <c r="H179" s="127"/>
      <c r="I179" s="128">
        <f t="shared" si="24"/>
        <v>5048.3972359958598</v>
      </c>
    </row>
    <row r="180" spans="1:9" ht="15" customHeight="1">
      <c r="A180" s="65">
        <f t="shared" si="21"/>
        <v>2003</v>
      </c>
      <c r="B180" s="104">
        <f t="shared" si="22"/>
        <v>4835</v>
      </c>
      <c r="C180" s="126">
        <f t="shared" si="23"/>
        <v>0.90107735103356856</v>
      </c>
      <c r="D180" s="67">
        <f t="shared" si="25"/>
        <v>15</v>
      </c>
      <c r="E180" s="132"/>
      <c r="F180" s="53"/>
      <c r="G180" s="69"/>
      <c r="H180" s="127"/>
      <c r="I180" s="128">
        <f t="shared" si="24"/>
        <v>4873.3141694284759</v>
      </c>
    </row>
    <row r="181" spans="1:9" ht="15" customHeight="1">
      <c r="A181" s="65">
        <f t="shared" si="21"/>
        <v>2004</v>
      </c>
      <c r="B181" s="104">
        <f t="shared" si="22"/>
        <v>4742</v>
      </c>
      <c r="C181" s="126">
        <f t="shared" si="23"/>
        <v>0.92828098158768757</v>
      </c>
      <c r="D181" s="67">
        <f t="shared" si="25"/>
        <v>16</v>
      </c>
      <c r="E181" s="106"/>
      <c r="F181" s="53"/>
      <c r="G181" s="69"/>
      <c r="H181" s="127"/>
      <c r="I181" s="128">
        <f t="shared" si="24"/>
        <v>4701.8612299896522</v>
      </c>
    </row>
    <row r="182" spans="1:9" ht="15" customHeight="1">
      <c r="A182" s="65">
        <f t="shared" si="21"/>
        <v>2005</v>
      </c>
      <c r="B182" s="104">
        <f t="shared" si="22"/>
        <v>4623</v>
      </c>
      <c r="C182" s="126">
        <f t="shared" si="23"/>
        <v>0.96356558024329708</v>
      </c>
      <c r="D182" s="67">
        <f t="shared" si="25"/>
        <v>17</v>
      </c>
      <c r="E182" s="83"/>
      <c r="F182" s="69"/>
      <c r="G182" s="69"/>
      <c r="H182" s="127"/>
      <c r="I182" s="128">
        <f t="shared" si="24"/>
        <v>4534.135562360505</v>
      </c>
    </row>
    <row r="183" spans="1:9" ht="15" customHeight="1">
      <c r="A183" s="65">
        <f t="shared" si="21"/>
        <v>2006</v>
      </c>
      <c r="B183" s="104">
        <f t="shared" si="22"/>
        <v>4474</v>
      </c>
      <c r="C183" s="126">
        <f t="shared" si="23"/>
        <v>1.0085483441358543</v>
      </c>
      <c r="D183" s="67">
        <f t="shared" si="25"/>
        <v>18</v>
      </c>
      <c r="E183" s="83"/>
      <c r="F183" s="69"/>
      <c r="G183" s="69"/>
      <c r="H183" s="127"/>
      <c r="I183" s="128">
        <f t="shared" si="24"/>
        <v>4370.2209684940717</v>
      </c>
    </row>
    <row r="184" spans="1:9" ht="15" customHeight="1" thickBot="1">
      <c r="A184" s="97">
        <f t="shared" si="21"/>
        <v>2007</v>
      </c>
      <c r="B184" s="116">
        <f t="shared" si="22"/>
        <v>4374</v>
      </c>
      <c r="C184" s="141">
        <f t="shared" si="23"/>
        <v>1.0392728488818008</v>
      </c>
      <c r="D184" s="99">
        <f t="shared" si="25"/>
        <v>19</v>
      </c>
      <c r="E184" s="142"/>
      <c r="F184" s="100"/>
      <c r="G184" s="100"/>
      <c r="H184" s="143"/>
      <c r="I184" s="144">
        <f t="shared" si="24"/>
        <v>4210.1881232325395</v>
      </c>
    </row>
    <row r="185" spans="1:9" ht="15" customHeight="1" thickTop="1">
      <c r="A185" s="255">
        <f t="shared" si="21"/>
        <v>2008</v>
      </c>
      <c r="B185" s="81">
        <f t="shared" ref="B185:B202" si="26">ROUND(F$168/(1+EXP(F$166+F$165*D185)),0)</f>
        <v>4054</v>
      </c>
      <c r="C185" s="257"/>
      <c r="D185" s="77">
        <f t="shared" si="25"/>
        <v>20</v>
      </c>
      <c r="E185" s="122"/>
      <c r="F185" s="78"/>
      <c r="G185" s="78"/>
      <c r="H185" s="258"/>
      <c r="I185" s="133">
        <f t="shared" si="24"/>
        <v>4054.0948668383216</v>
      </c>
    </row>
    <row r="186" spans="1:9" ht="15" customHeight="1">
      <c r="A186" s="80">
        <v>2009</v>
      </c>
      <c r="B186" s="81">
        <f t="shared" si="26"/>
        <v>3902</v>
      </c>
      <c r="C186" s="134"/>
      <c r="D186" s="67">
        <f t="shared" si="25"/>
        <v>21</v>
      </c>
      <c r="E186" s="83"/>
      <c r="F186" s="69"/>
      <c r="G186" s="69"/>
      <c r="H186" s="84"/>
      <c r="I186" s="128">
        <f t="shared" si="24"/>
        <v>3901.9865668316156</v>
      </c>
    </row>
    <row r="187" spans="1:9" ht="15" customHeight="1">
      <c r="A187" s="80">
        <v>2010</v>
      </c>
      <c r="B187" s="81">
        <f t="shared" si="26"/>
        <v>3754</v>
      </c>
      <c r="C187" s="134"/>
      <c r="D187" s="67">
        <f t="shared" si="25"/>
        <v>22</v>
      </c>
      <c r="E187" s="83"/>
      <c r="F187" s="69"/>
      <c r="G187" s="69"/>
      <c r="H187" s="84"/>
      <c r="I187" s="128">
        <f t="shared" si="24"/>
        <v>3753.8965412284424</v>
      </c>
    </row>
    <row r="188" spans="1:9" ht="15" customHeight="1">
      <c r="A188" s="80">
        <v>2011</v>
      </c>
      <c r="B188" s="81">
        <f t="shared" si="26"/>
        <v>3610</v>
      </c>
      <c r="C188" s="134"/>
      <c r="D188" s="67">
        <f t="shared" si="25"/>
        <v>23</v>
      </c>
      <c r="E188" s="83"/>
      <c r="F188" s="69"/>
      <c r="G188" s="69"/>
      <c r="H188" s="84"/>
      <c r="I188" s="128">
        <f t="shared" si="24"/>
        <v>3609.8465351236091</v>
      </c>
    </row>
    <row r="189" spans="1:9" ht="15" customHeight="1">
      <c r="A189" s="80">
        <v>2012</v>
      </c>
      <c r="B189" s="81">
        <f t="shared" si="26"/>
        <v>3470</v>
      </c>
      <c r="C189" s="134"/>
      <c r="D189" s="67">
        <f t="shared" si="25"/>
        <v>24</v>
      </c>
      <c r="E189" s="83"/>
      <c r="F189" s="69"/>
      <c r="G189" s="69"/>
      <c r="H189" s="84"/>
      <c r="I189" s="128">
        <f t="shared" si="24"/>
        <v>3469.8472425515056</v>
      </c>
    </row>
    <row r="190" spans="1:9" ht="15" customHeight="1">
      <c r="A190" s="80">
        <v>2013</v>
      </c>
      <c r="B190" s="81">
        <f t="shared" si="26"/>
        <v>3334</v>
      </c>
      <c r="C190" s="134"/>
      <c r="D190" s="67">
        <f t="shared" si="25"/>
        <v>25</v>
      </c>
      <c r="E190" s="83"/>
      <c r="F190" s="69"/>
      <c r="G190" s="69"/>
      <c r="H190" s="84"/>
      <c r="I190" s="128">
        <f t="shared" si="24"/>
        <v>3333.8988656708593</v>
      </c>
    </row>
    <row r="191" spans="1:9" ht="15" customHeight="1">
      <c r="A191" s="80">
        <v>2014</v>
      </c>
      <c r="B191" s="81">
        <f t="shared" si="26"/>
        <v>3202</v>
      </c>
      <c r="C191" s="134"/>
      <c r="D191" s="67">
        <f t="shared" si="25"/>
        <v>26</v>
      </c>
      <c r="E191" s="83"/>
      <c r="F191" s="69"/>
      <c r="G191" s="69"/>
      <c r="H191" s="84"/>
      <c r="I191" s="128">
        <f t="shared" si="24"/>
        <v>3201.9917035430535</v>
      </c>
    </row>
    <row r="192" spans="1:9" ht="15" customHeight="1">
      <c r="A192" s="80">
        <v>2015</v>
      </c>
      <c r="B192" s="81">
        <f t="shared" si="26"/>
        <v>3074</v>
      </c>
      <c r="C192" s="134"/>
      <c r="D192" s="67">
        <f t="shared" si="25"/>
        <v>27</v>
      </c>
      <c r="E192" s="83"/>
      <c r="F192" s="69"/>
      <c r="G192" s="69"/>
      <c r="H192" s="84"/>
      <c r="I192" s="128">
        <f t="shared" si="24"/>
        <v>3074.1067630917387</v>
      </c>
    </row>
    <row r="193" spans="1:10" ht="15" customHeight="1">
      <c r="A193" s="80">
        <v>2016</v>
      </c>
      <c r="B193" s="81">
        <f t="shared" si="26"/>
        <v>2950</v>
      </c>
      <c r="C193" s="134"/>
      <c r="D193" s="67">
        <f t="shared" si="25"/>
        <v>28</v>
      </c>
      <c r="E193" s="83"/>
      <c r="F193" s="69"/>
      <c r="G193" s="69"/>
      <c r="H193" s="84"/>
      <c r="I193" s="128">
        <f t="shared" si="24"/>
        <v>2950.2163852283516</v>
      </c>
    </row>
    <row r="194" spans="1:10" ht="15" customHeight="1">
      <c r="A194" s="80">
        <v>2017</v>
      </c>
      <c r="B194" s="81">
        <f t="shared" si="26"/>
        <v>2830</v>
      </c>
      <c r="C194" s="134"/>
      <c r="D194" s="67">
        <f t="shared" si="25"/>
        <v>29</v>
      </c>
      <c r="E194" s="83"/>
      <c r="F194" s="69"/>
      <c r="G194" s="69"/>
      <c r="H194" s="84"/>
      <c r="I194" s="128">
        <f t="shared" si="24"/>
        <v>2830.2848795880459</v>
      </c>
    </row>
    <row r="195" spans="1:10" ht="15" customHeight="1">
      <c r="A195" s="80">
        <v>2018</v>
      </c>
      <c r="B195" s="81">
        <f t="shared" si="26"/>
        <v>2714</v>
      </c>
      <c r="C195" s="134"/>
      <c r="D195" s="67">
        <f t="shared" si="25"/>
        <v>30</v>
      </c>
      <c r="E195" s="83"/>
      <c r="F195" s="69"/>
      <c r="G195" s="69"/>
      <c r="H195" s="84"/>
      <c r="I195" s="128">
        <f t="shared" si="24"/>
        <v>2714.2691618281019</v>
      </c>
    </row>
    <row r="196" spans="1:10" ht="15" customHeight="1">
      <c r="A196" s="80">
        <v>2019</v>
      </c>
      <c r="B196" s="81">
        <f t="shared" si="26"/>
        <v>2602</v>
      </c>
      <c r="C196" s="134"/>
      <c r="D196" s="67">
        <f t="shared" si="25"/>
        <v>31</v>
      </c>
      <c r="E196" s="83"/>
      <c r="F196" s="69"/>
      <c r="G196" s="69"/>
      <c r="H196" s="84"/>
      <c r="I196" s="128">
        <f t="shared" si="24"/>
        <v>2602.1193879817174</v>
      </c>
    </row>
    <row r="197" spans="1:10" ht="15" customHeight="1">
      <c r="A197" s="80">
        <v>2020</v>
      </c>
      <c r="B197" s="81">
        <f t="shared" si="26"/>
        <v>2494</v>
      </c>
      <c r="C197" s="134"/>
      <c r="D197" s="67">
        <f t="shared" si="25"/>
        <v>32</v>
      </c>
      <c r="E197" s="83"/>
      <c r="F197" s="69"/>
      <c r="G197" s="69"/>
      <c r="H197" s="84"/>
      <c r="I197" s="128">
        <f t="shared" si="24"/>
        <v>2493.7795809208001</v>
      </c>
    </row>
    <row r="198" spans="1:10" ht="15" customHeight="1">
      <c r="A198" s="80">
        <v>2021</v>
      </c>
      <c r="B198" s="81">
        <f t="shared" si="26"/>
        <v>2389</v>
      </c>
      <c r="C198" s="134"/>
      <c r="D198" s="67">
        <f t="shared" si="25"/>
        <v>33</v>
      </c>
      <c r="E198" s="83"/>
      <c r="F198" s="69"/>
      <c r="G198" s="69"/>
      <c r="H198" s="84"/>
      <c r="I198" s="128">
        <f t="shared" si="24"/>
        <v>2389.188244549975</v>
      </c>
    </row>
    <row r="199" spans="1:10" ht="15" customHeight="1">
      <c r="A199" s="80">
        <v>2022</v>
      </c>
      <c r="B199" s="81">
        <f t="shared" si="26"/>
        <v>2288</v>
      </c>
      <c r="C199" s="134"/>
      <c r="D199" s="67">
        <f t="shared" si="25"/>
        <v>34</v>
      </c>
      <c r="E199" s="83"/>
      <c r="F199" s="69"/>
      <c r="G199" s="69"/>
      <c r="H199" s="84"/>
      <c r="I199" s="128">
        <f t="shared" si="24"/>
        <v>2288.2789619197683</v>
      </c>
    </row>
    <row r="200" spans="1:10" ht="15" customHeight="1">
      <c r="A200" s="80">
        <v>2023</v>
      </c>
      <c r="B200" s="81">
        <f t="shared" si="26"/>
        <v>2191</v>
      </c>
      <c r="C200" s="134"/>
      <c r="D200" s="67">
        <f t="shared" si="25"/>
        <v>35</v>
      </c>
      <c r="E200" s="83"/>
      <c r="F200" s="69"/>
      <c r="G200" s="69"/>
      <c r="H200" s="84"/>
      <c r="I200" s="128">
        <f t="shared" si="24"/>
        <v>2190.9809740007372</v>
      </c>
    </row>
    <row r="201" spans="1:10" ht="15" customHeight="1">
      <c r="A201" s="80">
        <v>2024</v>
      </c>
      <c r="B201" s="81">
        <f t="shared" si="26"/>
        <v>2097</v>
      </c>
      <c r="C201" s="135"/>
      <c r="D201" s="67">
        <f t="shared" si="25"/>
        <v>36</v>
      </c>
      <c r="E201" s="69"/>
      <c r="F201" s="69"/>
      <c r="G201" s="69"/>
      <c r="H201" s="69"/>
      <c r="I201" s="136">
        <f t="shared" si="24"/>
        <v>2097.2197363943983</v>
      </c>
    </row>
    <row r="202" spans="1:10" ht="15" customHeight="1">
      <c r="A202" s="85">
        <v>2025</v>
      </c>
      <c r="B202" s="86">
        <f t="shared" si="26"/>
        <v>2007</v>
      </c>
      <c r="C202" s="137"/>
      <c r="D202" s="87">
        <f t="shared" si="25"/>
        <v>37</v>
      </c>
      <c r="E202" s="89"/>
      <c r="F202" s="89"/>
      <c r="G202" s="89"/>
      <c r="H202" s="89"/>
      <c r="I202" s="138">
        <f t="shared" si="24"/>
        <v>2006.9174517649781</v>
      </c>
    </row>
    <row r="203" spans="1:10" ht="15" customHeight="1">
      <c r="A203" s="56" t="s">
        <v>105</v>
      </c>
      <c r="B203" s="57"/>
    </row>
    <row r="204" spans="1:10" ht="15" customHeight="1">
      <c r="A204" s="56"/>
      <c r="B204" s="57"/>
    </row>
    <row r="205" spans="1:10" ht="24">
      <c r="A205" s="145" t="s">
        <v>32</v>
      </c>
      <c r="B205" s="146" t="s">
        <v>91</v>
      </c>
      <c r="C205" s="147" t="s">
        <v>72</v>
      </c>
      <c r="D205" s="147" t="s">
        <v>92</v>
      </c>
      <c r="E205" s="147" t="s">
        <v>93</v>
      </c>
      <c r="F205" s="147" t="s">
        <v>94</v>
      </c>
      <c r="G205" s="147" t="s">
        <v>95</v>
      </c>
      <c r="H205" s="148" t="s">
        <v>96</v>
      </c>
      <c r="I205" s="149" t="s">
        <v>106</v>
      </c>
      <c r="J205" s="150" t="s">
        <v>107</v>
      </c>
    </row>
    <row r="206" spans="1:10" ht="20.100000000000001" customHeight="1">
      <c r="A206" s="65">
        <v>2008</v>
      </c>
      <c r="B206" s="151">
        <f>B25</f>
        <v>4168</v>
      </c>
      <c r="C206" s="152">
        <f t="shared" ref="C206:C223" si="27">B65</f>
        <v>3913</v>
      </c>
      <c r="D206" s="152">
        <f t="shared" ref="D206:D223" si="28">B105</f>
        <v>4229</v>
      </c>
      <c r="E206" s="152"/>
      <c r="F206" s="152">
        <f t="shared" ref="F206:F223" si="29">B185</f>
        <v>4054</v>
      </c>
      <c r="G206" s="152">
        <f t="shared" ref="G206:G223" si="30">ROUND(AVERAGE(B206:F206),1)</f>
        <v>4091</v>
      </c>
      <c r="H206" s="152">
        <f t="shared" ref="H206:H223" si="31">ROUND((SUM(B206:F206)-MAX(B206:F206)-MIN(B206:F206))/(COUNT(B206:F206)-2),1)</f>
        <v>4111</v>
      </c>
      <c r="I206" s="153">
        <f t="shared" ref="I206:I223" si="32">ROUND(SUMIF(B$224:H$224,"○",B206:H206),0)</f>
        <v>4091</v>
      </c>
      <c r="J206" s="261"/>
    </row>
    <row r="207" spans="1:10" ht="20.100000000000001" customHeight="1">
      <c r="A207" s="80">
        <v>2009</v>
      </c>
      <c r="B207" s="151">
        <f t="shared" ref="B207:B223" si="33">B26</f>
        <v>3961</v>
      </c>
      <c r="C207" s="152">
        <f t="shared" si="27"/>
        <v>3721</v>
      </c>
      <c r="D207" s="152">
        <f t="shared" si="28"/>
        <v>4089</v>
      </c>
      <c r="E207" s="152"/>
      <c r="F207" s="152">
        <f t="shared" si="29"/>
        <v>3902</v>
      </c>
      <c r="G207" s="152">
        <f t="shared" si="30"/>
        <v>3918.3</v>
      </c>
      <c r="H207" s="152">
        <f t="shared" si="31"/>
        <v>3931.5</v>
      </c>
      <c r="I207" s="153">
        <f t="shared" si="32"/>
        <v>3918</v>
      </c>
      <c r="J207" s="154"/>
    </row>
    <row r="208" spans="1:10" ht="20.100000000000001" customHeight="1">
      <c r="A208" s="80">
        <v>2010</v>
      </c>
      <c r="B208" s="151">
        <f t="shared" si="33"/>
        <v>3755</v>
      </c>
      <c r="C208" s="152">
        <f t="shared" si="27"/>
        <v>3529</v>
      </c>
      <c r="D208" s="152">
        <f t="shared" si="28"/>
        <v>3954</v>
      </c>
      <c r="E208" s="152"/>
      <c r="F208" s="152">
        <f t="shared" si="29"/>
        <v>3754</v>
      </c>
      <c r="G208" s="152">
        <f t="shared" si="30"/>
        <v>3748</v>
      </c>
      <c r="H208" s="152">
        <f t="shared" si="31"/>
        <v>3754.5</v>
      </c>
      <c r="I208" s="153">
        <f t="shared" si="32"/>
        <v>3748</v>
      </c>
      <c r="J208" s="154"/>
    </row>
    <row r="209" spans="1:49" ht="20.100000000000001" customHeight="1">
      <c r="A209" s="80">
        <v>2011</v>
      </c>
      <c r="B209" s="151">
        <f t="shared" si="33"/>
        <v>3549</v>
      </c>
      <c r="C209" s="152">
        <f t="shared" si="27"/>
        <v>3338</v>
      </c>
      <c r="D209" s="152">
        <f t="shared" si="28"/>
        <v>3823</v>
      </c>
      <c r="E209" s="152"/>
      <c r="F209" s="152">
        <f t="shared" si="29"/>
        <v>3610</v>
      </c>
      <c r="G209" s="152">
        <f t="shared" si="30"/>
        <v>3580</v>
      </c>
      <c r="H209" s="152">
        <f t="shared" si="31"/>
        <v>3579.5</v>
      </c>
      <c r="I209" s="153">
        <f t="shared" si="32"/>
        <v>3580</v>
      </c>
      <c r="J209" s="154"/>
    </row>
    <row r="210" spans="1:49" ht="20.100000000000001" customHeight="1">
      <c r="A210" s="80">
        <v>2012</v>
      </c>
      <c r="B210" s="151">
        <f t="shared" si="33"/>
        <v>3343</v>
      </c>
      <c r="C210" s="152">
        <f t="shared" si="27"/>
        <v>3146</v>
      </c>
      <c r="D210" s="152">
        <f t="shared" si="28"/>
        <v>3696</v>
      </c>
      <c r="E210" s="152"/>
      <c r="F210" s="152">
        <f t="shared" si="29"/>
        <v>3470</v>
      </c>
      <c r="G210" s="152">
        <f t="shared" si="30"/>
        <v>3413.8</v>
      </c>
      <c r="H210" s="152">
        <f t="shared" si="31"/>
        <v>3406.5</v>
      </c>
      <c r="I210" s="153">
        <f t="shared" si="32"/>
        <v>3414</v>
      </c>
      <c r="J210" s="154"/>
    </row>
    <row r="211" spans="1:49" ht="20.100000000000001" customHeight="1">
      <c r="A211" s="80">
        <v>2013</v>
      </c>
      <c r="B211" s="151">
        <f t="shared" si="33"/>
        <v>3136</v>
      </c>
      <c r="C211" s="152">
        <f t="shared" si="27"/>
        <v>2955</v>
      </c>
      <c r="D211" s="152">
        <f t="shared" si="28"/>
        <v>3574</v>
      </c>
      <c r="E211" s="152"/>
      <c r="F211" s="152">
        <f t="shared" si="29"/>
        <v>3334</v>
      </c>
      <c r="G211" s="152">
        <f t="shared" si="30"/>
        <v>3249.8</v>
      </c>
      <c r="H211" s="152">
        <f t="shared" si="31"/>
        <v>3235</v>
      </c>
      <c r="I211" s="153">
        <f t="shared" si="32"/>
        <v>3250</v>
      </c>
      <c r="J211" s="154"/>
    </row>
    <row r="212" spans="1:49" ht="20.100000000000001" customHeight="1">
      <c r="A212" s="80">
        <v>2014</v>
      </c>
      <c r="B212" s="151">
        <f t="shared" si="33"/>
        <v>2930</v>
      </c>
      <c r="C212" s="152">
        <f t="shared" si="27"/>
        <v>2763</v>
      </c>
      <c r="D212" s="152">
        <f t="shared" si="28"/>
        <v>3456</v>
      </c>
      <c r="E212" s="152"/>
      <c r="F212" s="152">
        <f t="shared" si="29"/>
        <v>3202</v>
      </c>
      <c r="G212" s="152">
        <f t="shared" si="30"/>
        <v>3087.8</v>
      </c>
      <c r="H212" s="152">
        <f t="shared" si="31"/>
        <v>3066</v>
      </c>
      <c r="I212" s="153">
        <f t="shared" si="32"/>
        <v>3088</v>
      </c>
      <c r="J212" s="154"/>
    </row>
    <row r="213" spans="1:49" ht="20.100000000000001" customHeight="1">
      <c r="A213" s="80">
        <v>2015</v>
      </c>
      <c r="B213" s="151">
        <f t="shared" si="33"/>
        <v>2724</v>
      </c>
      <c r="C213" s="152">
        <f t="shared" si="27"/>
        <v>2572</v>
      </c>
      <c r="D213" s="152">
        <f t="shared" si="28"/>
        <v>3341</v>
      </c>
      <c r="E213" s="152"/>
      <c r="F213" s="152">
        <f t="shared" si="29"/>
        <v>3074</v>
      </c>
      <c r="G213" s="152">
        <f t="shared" si="30"/>
        <v>2927.8</v>
      </c>
      <c r="H213" s="152">
        <f t="shared" si="31"/>
        <v>2899</v>
      </c>
      <c r="I213" s="153">
        <f t="shared" si="32"/>
        <v>2928</v>
      </c>
      <c r="J213" s="154"/>
    </row>
    <row r="214" spans="1:49" ht="20.100000000000001" customHeight="1">
      <c r="A214" s="80">
        <v>2016</v>
      </c>
      <c r="B214" s="151">
        <f t="shared" si="33"/>
        <v>2518</v>
      </c>
      <c r="C214" s="152">
        <f t="shared" si="27"/>
        <v>2380</v>
      </c>
      <c r="D214" s="152">
        <f t="shared" si="28"/>
        <v>3230</v>
      </c>
      <c r="E214" s="152"/>
      <c r="F214" s="152">
        <f t="shared" si="29"/>
        <v>2950</v>
      </c>
      <c r="G214" s="152">
        <f t="shared" si="30"/>
        <v>2769.5</v>
      </c>
      <c r="H214" s="152">
        <f t="shared" si="31"/>
        <v>2734</v>
      </c>
      <c r="I214" s="153">
        <f t="shared" si="32"/>
        <v>2770</v>
      </c>
      <c r="J214" s="154"/>
    </row>
    <row r="215" spans="1:49" ht="20.100000000000001" customHeight="1">
      <c r="A215" s="80">
        <v>2017</v>
      </c>
      <c r="B215" s="151">
        <f t="shared" si="33"/>
        <v>2311</v>
      </c>
      <c r="C215" s="152">
        <f t="shared" si="27"/>
        <v>2189</v>
      </c>
      <c r="D215" s="152">
        <f t="shared" si="28"/>
        <v>3124</v>
      </c>
      <c r="E215" s="152"/>
      <c r="F215" s="152">
        <f t="shared" si="29"/>
        <v>2830</v>
      </c>
      <c r="G215" s="152">
        <f t="shared" si="30"/>
        <v>2613.5</v>
      </c>
      <c r="H215" s="152">
        <f t="shared" si="31"/>
        <v>2570.5</v>
      </c>
      <c r="I215" s="153">
        <f t="shared" si="32"/>
        <v>2614</v>
      </c>
      <c r="J215" s="154"/>
    </row>
    <row r="216" spans="1:49" ht="20.100000000000001" customHeight="1">
      <c r="A216" s="80">
        <v>2018</v>
      </c>
      <c r="B216" s="151">
        <f t="shared" si="33"/>
        <v>2105</v>
      </c>
      <c r="C216" s="152">
        <f t="shared" si="27"/>
        <v>1997</v>
      </c>
      <c r="D216" s="152">
        <f t="shared" si="28"/>
        <v>3020</v>
      </c>
      <c r="E216" s="152"/>
      <c r="F216" s="152">
        <f t="shared" si="29"/>
        <v>2714</v>
      </c>
      <c r="G216" s="152">
        <f t="shared" si="30"/>
        <v>2459</v>
      </c>
      <c r="H216" s="152">
        <f t="shared" si="31"/>
        <v>2409.5</v>
      </c>
      <c r="I216" s="153">
        <f t="shared" si="32"/>
        <v>2459</v>
      </c>
      <c r="J216" s="154"/>
    </row>
    <row r="217" spans="1:49" ht="20.100000000000001" customHeight="1">
      <c r="A217" s="80">
        <v>2019</v>
      </c>
      <c r="B217" s="151">
        <f t="shared" si="33"/>
        <v>1899</v>
      </c>
      <c r="C217" s="152">
        <f t="shared" si="27"/>
        <v>1805</v>
      </c>
      <c r="D217" s="152">
        <f t="shared" si="28"/>
        <v>2920</v>
      </c>
      <c r="E217" s="152"/>
      <c r="F217" s="152">
        <f t="shared" si="29"/>
        <v>2602</v>
      </c>
      <c r="G217" s="152">
        <f t="shared" si="30"/>
        <v>2306.5</v>
      </c>
      <c r="H217" s="152">
        <f t="shared" si="31"/>
        <v>2250.5</v>
      </c>
      <c r="I217" s="153">
        <f t="shared" si="32"/>
        <v>2307</v>
      </c>
      <c r="J217" s="154"/>
    </row>
    <row r="218" spans="1:49" ht="20.100000000000001" customHeight="1">
      <c r="A218" s="80">
        <v>2020</v>
      </c>
      <c r="B218" s="151">
        <f t="shared" si="33"/>
        <v>1693</v>
      </c>
      <c r="C218" s="152">
        <f t="shared" si="27"/>
        <v>1614</v>
      </c>
      <c r="D218" s="152">
        <f t="shared" si="28"/>
        <v>2823</v>
      </c>
      <c r="E218" s="152"/>
      <c r="F218" s="152">
        <f t="shared" si="29"/>
        <v>2494</v>
      </c>
      <c r="G218" s="152">
        <f t="shared" si="30"/>
        <v>2156</v>
      </c>
      <c r="H218" s="152">
        <f t="shared" si="31"/>
        <v>2093.5</v>
      </c>
      <c r="I218" s="153">
        <f t="shared" si="32"/>
        <v>2156</v>
      </c>
      <c r="J218" s="154"/>
    </row>
    <row r="219" spans="1:49" ht="20.100000000000001" customHeight="1">
      <c r="A219" s="80">
        <v>2021</v>
      </c>
      <c r="B219" s="151">
        <f t="shared" si="33"/>
        <v>1486</v>
      </c>
      <c r="C219" s="152">
        <f t="shared" si="27"/>
        <v>1422</v>
      </c>
      <c r="D219" s="152">
        <f t="shared" si="28"/>
        <v>2730</v>
      </c>
      <c r="E219" s="152"/>
      <c r="F219" s="152">
        <f t="shared" si="29"/>
        <v>2389</v>
      </c>
      <c r="G219" s="152">
        <f t="shared" si="30"/>
        <v>2006.8</v>
      </c>
      <c r="H219" s="152">
        <f t="shared" si="31"/>
        <v>1937.5</v>
      </c>
      <c r="I219" s="153">
        <f t="shared" si="32"/>
        <v>2007</v>
      </c>
      <c r="J219" s="154"/>
    </row>
    <row r="220" spans="1:49" ht="20.100000000000001" customHeight="1">
      <c r="A220" s="80">
        <v>2022</v>
      </c>
      <c r="B220" s="151">
        <f t="shared" si="33"/>
        <v>1280</v>
      </c>
      <c r="C220" s="152">
        <f t="shared" si="27"/>
        <v>1231</v>
      </c>
      <c r="D220" s="152">
        <f t="shared" si="28"/>
        <v>2640</v>
      </c>
      <c r="E220" s="152"/>
      <c r="F220" s="152">
        <f t="shared" si="29"/>
        <v>2288</v>
      </c>
      <c r="G220" s="152">
        <f t="shared" si="30"/>
        <v>1859.8</v>
      </c>
      <c r="H220" s="152">
        <f t="shared" si="31"/>
        <v>1784</v>
      </c>
      <c r="I220" s="153">
        <f t="shared" si="32"/>
        <v>1860</v>
      </c>
      <c r="J220" s="154"/>
      <c r="L220" s="55">
        <v>806200</v>
      </c>
    </row>
    <row r="221" spans="1:49" ht="20.100000000000001" customHeight="1">
      <c r="A221" s="80">
        <v>2023</v>
      </c>
      <c r="B221" s="151">
        <f t="shared" si="33"/>
        <v>1074</v>
      </c>
      <c r="C221" s="152">
        <f t="shared" si="27"/>
        <v>1039</v>
      </c>
      <c r="D221" s="152">
        <f t="shared" si="28"/>
        <v>2552</v>
      </c>
      <c r="E221" s="152"/>
      <c r="F221" s="152">
        <f t="shared" si="29"/>
        <v>2191</v>
      </c>
      <c r="G221" s="152">
        <f t="shared" si="30"/>
        <v>1714</v>
      </c>
      <c r="H221" s="152">
        <f t="shared" si="31"/>
        <v>1632.5</v>
      </c>
      <c r="I221" s="153">
        <f t="shared" si="32"/>
        <v>1714</v>
      </c>
      <c r="J221" s="154"/>
      <c r="K221" s="55">
        <v>51000</v>
      </c>
      <c r="L221" s="75">
        <f>+K221+E221</f>
        <v>51000</v>
      </c>
    </row>
    <row r="222" spans="1:49" ht="20.100000000000001" customHeight="1">
      <c r="A222" s="80">
        <v>2024</v>
      </c>
      <c r="B222" s="151">
        <f t="shared" si="33"/>
        <v>868</v>
      </c>
      <c r="C222" s="152">
        <f t="shared" si="27"/>
        <v>848</v>
      </c>
      <c r="D222" s="152">
        <f t="shared" si="28"/>
        <v>2468</v>
      </c>
      <c r="E222" s="152"/>
      <c r="F222" s="152">
        <f t="shared" si="29"/>
        <v>2097</v>
      </c>
      <c r="G222" s="152">
        <f t="shared" si="30"/>
        <v>1570.3</v>
      </c>
      <c r="H222" s="152">
        <f t="shared" si="31"/>
        <v>1482.5</v>
      </c>
      <c r="I222" s="153">
        <f t="shared" si="32"/>
        <v>1570</v>
      </c>
      <c r="J222" s="154"/>
      <c r="L222" s="75">
        <f>+L220-L221</f>
        <v>755200</v>
      </c>
    </row>
    <row r="223" spans="1:49" ht="20.100000000000001" customHeight="1">
      <c r="A223" s="80">
        <v>2025</v>
      </c>
      <c r="B223" s="151">
        <f t="shared" si="33"/>
        <v>661</v>
      </c>
      <c r="C223" s="152">
        <f t="shared" si="27"/>
        <v>656</v>
      </c>
      <c r="D223" s="152">
        <f t="shared" si="28"/>
        <v>2386</v>
      </c>
      <c r="E223" s="152"/>
      <c r="F223" s="152">
        <f t="shared" si="29"/>
        <v>2007</v>
      </c>
      <c r="G223" s="152">
        <f t="shared" si="30"/>
        <v>1427.5</v>
      </c>
      <c r="H223" s="152">
        <f t="shared" si="31"/>
        <v>1334</v>
      </c>
      <c r="I223" s="153">
        <f t="shared" si="32"/>
        <v>1428</v>
      </c>
      <c r="J223" s="154"/>
      <c r="K223" s="161"/>
      <c r="L223" s="161">
        <f>B165</f>
        <v>8293</v>
      </c>
      <c r="M223" s="162">
        <f>B166</f>
        <v>8370</v>
      </c>
      <c r="N223" s="161">
        <f>B167</f>
        <v>7082</v>
      </c>
      <c r="O223" s="162">
        <f>B168</f>
        <v>7199</v>
      </c>
      <c r="P223" s="161">
        <f>B169</f>
        <v>6932</v>
      </c>
      <c r="Q223" s="162">
        <f>B170</f>
        <v>6684</v>
      </c>
      <c r="R223" s="162">
        <f>B171</f>
        <v>6207</v>
      </c>
      <c r="S223" s="162">
        <f>B172</f>
        <v>5816</v>
      </c>
      <c r="T223" s="162">
        <f>B173</f>
        <v>5548</v>
      </c>
      <c r="U223" s="162">
        <f>B174</f>
        <v>5872</v>
      </c>
      <c r="V223" s="162">
        <f>B175</f>
        <v>5835</v>
      </c>
      <c r="W223" s="162">
        <f>B176</f>
        <v>5719</v>
      </c>
      <c r="X223" s="162">
        <f>B177</f>
        <v>5594</v>
      </c>
      <c r="Y223" s="162">
        <f>B178</f>
        <v>5248</v>
      </c>
      <c r="Z223" s="162">
        <f>B179</f>
        <v>5034</v>
      </c>
      <c r="AA223" s="162">
        <f>B180</f>
        <v>4835</v>
      </c>
      <c r="AB223" s="162">
        <f>B181</f>
        <v>4742</v>
      </c>
      <c r="AC223" s="162">
        <f>B182</f>
        <v>4623</v>
      </c>
      <c r="AD223" s="162">
        <f>B183</f>
        <v>4474</v>
      </c>
      <c r="AE223" s="162">
        <f>B184</f>
        <v>4374</v>
      </c>
      <c r="AF223" s="162">
        <f>$B185</f>
        <v>4054</v>
      </c>
      <c r="AG223" s="162"/>
      <c r="AH223" s="161"/>
      <c r="AI223" s="161"/>
      <c r="AJ223" s="161"/>
      <c r="AK223" s="161"/>
      <c r="AL223" s="161"/>
      <c r="AM223" s="161"/>
      <c r="AN223" s="161"/>
      <c r="AO223" s="161"/>
      <c r="AP223" s="161"/>
      <c r="AQ223" s="161"/>
      <c r="AR223" s="161"/>
      <c r="AS223" s="161"/>
      <c r="AT223" s="161"/>
      <c r="AU223" s="161"/>
      <c r="AV223" s="161"/>
      <c r="AW223" s="161"/>
    </row>
    <row r="224" spans="1:49" ht="20.100000000000001" customHeight="1">
      <c r="A224" s="155" t="s">
        <v>97</v>
      </c>
      <c r="B224" s="156"/>
      <c r="C224" s="157"/>
      <c r="D224" s="157"/>
      <c r="E224" s="157"/>
      <c r="F224" s="156"/>
      <c r="G224" s="158" t="s">
        <v>243</v>
      </c>
      <c r="H224" s="157"/>
      <c r="I224" s="159"/>
      <c r="J224" s="160"/>
      <c r="K224" s="161"/>
      <c r="L224" s="161"/>
      <c r="M224" s="161"/>
      <c r="N224" s="161"/>
      <c r="O224" s="161"/>
      <c r="P224" s="161"/>
      <c r="Q224" s="161"/>
      <c r="R224" s="161"/>
      <c r="S224" s="161"/>
      <c r="T224" s="161"/>
      <c r="U224" s="161"/>
      <c r="V224" s="161"/>
      <c r="W224" s="161"/>
      <c r="X224" s="161"/>
      <c r="Y224" s="161"/>
      <c r="Z224" s="161"/>
      <c r="AA224" s="161"/>
      <c r="AB224" s="161"/>
      <c r="AC224" s="161"/>
      <c r="AD224" s="161"/>
      <c r="AE224" s="161"/>
      <c r="AF224" s="161"/>
      <c r="AG224" s="161"/>
      <c r="AH224" s="161"/>
      <c r="AI224" s="161"/>
      <c r="AJ224" s="161"/>
      <c r="AK224" s="161"/>
      <c r="AL224" s="161"/>
      <c r="AM224" s="161"/>
      <c r="AN224" s="161"/>
      <c r="AO224" s="161"/>
      <c r="AP224" s="161"/>
      <c r="AQ224" s="161"/>
      <c r="AR224" s="161"/>
      <c r="AS224" s="161"/>
      <c r="AT224" s="161"/>
      <c r="AU224" s="161"/>
      <c r="AV224" s="161"/>
      <c r="AW224" s="161"/>
    </row>
    <row r="225" spans="1:50" s="161" customFormat="1" ht="20.100000000000001" customHeight="1">
      <c r="A225" s="85"/>
      <c r="B225" s="163"/>
      <c r="C225" s="164"/>
      <c r="D225" s="164"/>
      <c r="E225" s="164"/>
      <c r="F225" s="164"/>
      <c r="G225" s="164"/>
      <c r="H225" s="164"/>
      <c r="I225" s="165"/>
      <c r="J225" s="166"/>
      <c r="K225" s="174">
        <f>MAX(B225:I225,F225)</f>
        <v>0</v>
      </c>
      <c r="L225" s="161">
        <f>A165</f>
        <v>1988</v>
      </c>
      <c r="M225" s="161">
        <f t="shared" ref="M225:AX225" si="34">+L225+1</f>
        <v>1989</v>
      </c>
      <c r="N225" s="161">
        <f t="shared" si="34"/>
        <v>1990</v>
      </c>
      <c r="O225" s="161">
        <f t="shared" si="34"/>
        <v>1991</v>
      </c>
      <c r="P225" s="161">
        <f t="shared" si="34"/>
        <v>1992</v>
      </c>
      <c r="Q225" s="161">
        <f t="shared" si="34"/>
        <v>1993</v>
      </c>
      <c r="R225" s="161">
        <f t="shared" si="34"/>
        <v>1994</v>
      </c>
      <c r="S225" s="161">
        <f t="shared" si="34"/>
        <v>1995</v>
      </c>
      <c r="T225" s="161">
        <f t="shared" si="34"/>
        <v>1996</v>
      </c>
      <c r="U225" s="161">
        <f t="shared" si="34"/>
        <v>1997</v>
      </c>
      <c r="V225" s="161">
        <f t="shared" si="34"/>
        <v>1998</v>
      </c>
      <c r="W225" s="161">
        <f t="shared" si="34"/>
        <v>1999</v>
      </c>
      <c r="X225" s="161">
        <f t="shared" si="34"/>
        <v>2000</v>
      </c>
      <c r="Y225" s="161">
        <f t="shared" si="34"/>
        <v>2001</v>
      </c>
      <c r="Z225" s="161">
        <f t="shared" si="34"/>
        <v>2002</v>
      </c>
      <c r="AA225" s="161">
        <f t="shared" si="34"/>
        <v>2003</v>
      </c>
      <c r="AB225" s="161">
        <f t="shared" si="34"/>
        <v>2004</v>
      </c>
      <c r="AC225" s="161">
        <f t="shared" si="34"/>
        <v>2005</v>
      </c>
      <c r="AD225" s="161">
        <f t="shared" si="34"/>
        <v>2006</v>
      </c>
      <c r="AE225" s="161">
        <f t="shared" si="34"/>
        <v>2007</v>
      </c>
      <c r="AF225" s="161">
        <f t="shared" si="34"/>
        <v>2008</v>
      </c>
      <c r="AG225" s="161">
        <f t="shared" si="34"/>
        <v>2009</v>
      </c>
      <c r="AH225" s="161">
        <f t="shared" si="34"/>
        <v>2010</v>
      </c>
      <c r="AI225" s="161">
        <f t="shared" si="34"/>
        <v>2011</v>
      </c>
      <c r="AJ225" s="161">
        <f t="shared" si="34"/>
        <v>2012</v>
      </c>
      <c r="AK225" s="161">
        <f t="shared" si="34"/>
        <v>2013</v>
      </c>
      <c r="AL225" s="161">
        <f t="shared" si="34"/>
        <v>2014</v>
      </c>
      <c r="AM225" s="161">
        <f t="shared" si="34"/>
        <v>2015</v>
      </c>
      <c r="AN225" s="161">
        <f t="shared" si="34"/>
        <v>2016</v>
      </c>
      <c r="AO225" s="161">
        <f t="shared" si="34"/>
        <v>2017</v>
      </c>
      <c r="AP225" s="161">
        <f t="shared" si="34"/>
        <v>2018</v>
      </c>
      <c r="AQ225" s="161">
        <f t="shared" si="34"/>
        <v>2019</v>
      </c>
      <c r="AR225" s="161">
        <f t="shared" si="34"/>
        <v>2020</v>
      </c>
      <c r="AS225" s="161">
        <f t="shared" si="34"/>
        <v>2021</v>
      </c>
      <c r="AT225" s="161">
        <f t="shared" si="34"/>
        <v>2022</v>
      </c>
      <c r="AU225" s="161">
        <f t="shared" si="34"/>
        <v>2023</v>
      </c>
      <c r="AV225" s="161">
        <f t="shared" si="34"/>
        <v>2024</v>
      </c>
      <c r="AW225" s="161">
        <f t="shared" si="34"/>
        <v>2025</v>
      </c>
      <c r="AX225" s="161">
        <f t="shared" si="34"/>
        <v>2026</v>
      </c>
    </row>
    <row r="226" spans="1:50" ht="20.100000000000001" customHeight="1">
      <c r="A226" s="167" t="s">
        <v>98</v>
      </c>
      <c r="B226" s="168">
        <f>I4</f>
        <v>0.91813951041058972</v>
      </c>
      <c r="C226" s="169">
        <f>I44</f>
        <v>0.92850065466925857</v>
      </c>
      <c r="D226" s="169">
        <f>I84</f>
        <v>0.94837074659410492</v>
      </c>
      <c r="E226" s="169"/>
      <c r="F226" s="169">
        <f>I164</f>
        <v>0.93722840439697952</v>
      </c>
      <c r="G226" s="170"/>
      <c r="H226" s="171"/>
      <c r="I226" s="172"/>
      <c r="J226" s="173"/>
      <c r="K226" s="161" t="s">
        <v>99</v>
      </c>
      <c r="L226" s="161"/>
      <c r="M226" s="161"/>
      <c r="N226" s="161"/>
      <c r="O226" s="161"/>
      <c r="P226" s="161"/>
      <c r="Q226" s="161"/>
      <c r="R226" s="161"/>
      <c r="S226" s="161"/>
      <c r="T226" s="161"/>
      <c r="U226" s="161"/>
      <c r="V226" s="161"/>
      <c r="W226" s="161"/>
      <c r="X226" s="161"/>
      <c r="Y226" s="161"/>
      <c r="Z226" s="161"/>
      <c r="AA226" s="161"/>
      <c r="AB226" s="161"/>
      <c r="AC226" s="161"/>
      <c r="AD226" s="161"/>
      <c r="AE226" s="162">
        <f>+AE223</f>
        <v>4374</v>
      </c>
      <c r="AF226" s="210">
        <f>+B25</f>
        <v>4168</v>
      </c>
      <c r="AG226" s="162">
        <f>B26</f>
        <v>3961</v>
      </c>
      <c r="AH226" s="162">
        <f>B27</f>
        <v>3755</v>
      </c>
      <c r="AI226" s="162">
        <f>B28</f>
        <v>3549</v>
      </c>
      <c r="AJ226" s="162">
        <f>B29</f>
        <v>3343</v>
      </c>
      <c r="AK226" s="162">
        <f>B30</f>
        <v>3136</v>
      </c>
      <c r="AL226" s="162">
        <f>B31</f>
        <v>2930</v>
      </c>
      <c r="AM226" s="162">
        <f>B32</f>
        <v>2724</v>
      </c>
      <c r="AN226" s="162">
        <f>B33</f>
        <v>2518</v>
      </c>
      <c r="AO226" s="162">
        <f>B34</f>
        <v>2311</v>
      </c>
      <c r="AP226" s="162">
        <f>B35</f>
        <v>2105</v>
      </c>
      <c r="AQ226" s="162">
        <f>B36</f>
        <v>1899</v>
      </c>
      <c r="AR226" s="162">
        <f>B37</f>
        <v>1693</v>
      </c>
      <c r="AS226" s="162">
        <f>B38</f>
        <v>1486</v>
      </c>
      <c r="AT226" s="162">
        <f>B39</f>
        <v>1280</v>
      </c>
      <c r="AU226" s="162">
        <f>B40</f>
        <v>1074</v>
      </c>
      <c r="AV226" s="162">
        <f>B41</f>
        <v>868</v>
      </c>
      <c r="AW226" s="162">
        <f>B42</f>
        <v>661</v>
      </c>
      <c r="AX226" s="161" t="s">
        <v>99</v>
      </c>
    </row>
    <row r="227" spans="1:50" ht="20.100000000000001" customHeight="1">
      <c r="K227" s="161" t="s">
        <v>100</v>
      </c>
      <c r="L227" s="161"/>
      <c r="M227" s="161"/>
      <c r="N227" s="161"/>
      <c r="O227" s="161"/>
      <c r="P227" s="161"/>
      <c r="Q227" s="161"/>
      <c r="R227" s="161"/>
      <c r="S227" s="161"/>
      <c r="T227" s="161"/>
      <c r="U227" s="161"/>
      <c r="V227" s="161"/>
      <c r="W227" s="161"/>
      <c r="X227" s="161"/>
      <c r="Y227" s="161"/>
      <c r="Z227" s="161"/>
      <c r="AA227" s="161"/>
      <c r="AB227" s="161"/>
      <c r="AC227" s="161"/>
      <c r="AD227" s="161"/>
      <c r="AE227" s="162">
        <f>+AE226</f>
        <v>4374</v>
      </c>
      <c r="AF227" s="210">
        <f>+B65</f>
        <v>3913</v>
      </c>
      <c r="AG227" s="162">
        <f>B66</f>
        <v>3721</v>
      </c>
      <c r="AH227" s="162">
        <f>B67</f>
        <v>3529</v>
      </c>
      <c r="AI227" s="162">
        <f>B68</f>
        <v>3338</v>
      </c>
      <c r="AJ227" s="162">
        <f>B69</f>
        <v>3146</v>
      </c>
      <c r="AK227" s="162">
        <f>B70</f>
        <v>2955</v>
      </c>
      <c r="AL227" s="162">
        <f>B71</f>
        <v>2763</v>
      </c>
      <c r="AM227" s="162">
        <f>B72</f>
        <v>2572</v>
      </c>
      <c r="AN227" s="162">
        <f>B73</f>
        <v>2380</v>
      </c>
      <c r="AO227" s="162">
        <f>B74</f>
        <v>2189</v>
      </c>
      <c r="AP227" s="162">
        <f>B75</f>
        <v>1997</v>
      </c>
      <c r="AQ227" s="162">
        <f>B76</f>
        <v>1805</v>
      </c>
      <c r="AR227" s="162">
        <f>B77</f>
        <v>1614</v>
      </c>
      <c r="AS227" s="162">
        <f>B78</f>
        <v>1422</v>
      </c>
      <c r="AT227" s="162">
        <f>B79</f>
        <v>1231</v>
      </c>
      <c r="AU227" s="162">
        <f>B80</f>
        <v>1039</v>
      </c>
      <c r="AV227" s="162">
        <f>B81</f>
        <v>848</v>
      </c>
      <c r="AW227" s="162">
        <f>B82</f>
        <v>656</v>
      </c>
      <c r="AX227" s="161" t="s">
        <v>100</v>
      </c>
    </row>
    <row r="228" spans="1:50" ht="20.100000000000001" customHeight="1">
      <c r="K228" s="161" t="s">
        <v>101</v>
      </c>
      <c r="L228" s="161"/>
      <c r="M228" s="161"/>
      <c r="N228" s="161"/>
      <c r="O228" s="161"/>
      <c r="P228" s="161"/>
      <c r="Q228" s="161"/>
      <c r="R228" s="161"/>
      <c r="S228" s="161"/>
      <c r="T228" s="161"/>
      <c r="U228" s="161"/>
      <c r="V228" s="161"/>
      <c r="W228" s="161"/>
      <c r="X228" s="161"/>
      <c r="Y228" s="161"/>
      <c r="Z228" s="161"/>
      <c r="AA228" s="161"/>
      <c r="AB228" s="161"/>
      <c r="AC228" s="161"/>
      <c r="AD228" s="161"/>
      <c r="AE228" s="162">
        <f>+AE227</f>
        <v>4374</v>
      </c>
      <c r="AF228" s="210">
        <f>+B105</f>
        <v>4229</v>
      </c>
      <c r="AG228" s="162">
        <f>B106</f>
        <v>4089</v>
      </c>
      <c r="AH228" s="162">
        <f>B107</f>
        <v>3954</v>
      </c>
      <c r="AI228" s="162">
        <f>B108</f>
        <v>3823</v>
      </c>
      <c r="AJ228" s="162">
        <f>B109</f>
        <v>3696</v>
      </c>
      <c r="AK228" s="162">
        <f>B110</f>
        <v>3574</v>
      </c>
      <c r="AL228" s="162">
        <f>B111</f>
        <v>3456</v>
      </c>
      <c r="AM228" s="162">
        <f>B112</f>
        <v>3341</v>
      </c>
      <c r="AN228" s="162">
        <f>B113</f>
        <v>3230</v>
      </c>
      <c r="AO228" s="162">
        <f>B114</f>
        <v>3124</v>
      </c>
      <c r="AP228" s="162">
        <f>B115</f>
        <v>3020</v>
      </c>
      <c r="AQ228" s="162">
        <f>B116</f>
        <v>2920</v>
      </c>
      <c r="AR228" s="162">
        <f>B117</f>
        <v>2823</v>
      </c>
      <c r="AS228" s="162">
        <f>B118</f>
        <v>2730</v>
      </c>
      <c r="AT228" s="162">
        <f>B119</f>
        <v>2640</v>
      </c>
      <c r="AU228" s="162">
        <f>B120</f>
        <v>2552</v>
      </c>
      <c r="AV228" s="162">
        <f>B121</f>
        <v>2468</v>
      </c>
      <c r="AW228" s="162">
        <f>B122</f>
        <v>2386</v>
      </c>
      <c r="AX228" s="161" t="s">
        <v>101</v>
      </c>
    </row>
    <row r="229" spans="1:50" ht="20.100000000000001" customHeight="1">
      <c r="K229" s="161" t="s">
        <v>102</v>
      </c>
      <c r="L229" s="161"/>
      <c r="M229" s="161"/>
      <c r="N229" s="161"/>
      <c r="O229" s="161"/>
      <c r="P229" s="161"/>
      <c r="Q229" s="161"/>
      <c r="R229" s="161"/>
      <c r="S229" s="161"/>
      <c r="T229" s="161"/>
      <c r="U229" s="161"/>
      <c r="V229" s="161"/>
      <c r="W229" s="161"/>
      <c r="X229" s="161"/>
      <c r="Y229" s="161"/>
      <c r="Z229" s="161"/>
      <c r="AA229" s="161"/>
      <c r="AB229" s="161"/>
      <c r="AC229" s="161"/>
      <c r="AD229" s="161"/>
      <c r="AE229" s="162">
        <f>+AE228</f>
        <v>4374</v>
      </c>
      <c r="AF229" s="210" t="e">
        <f>+B145</f>
        <v>#VALUE!</v>
      </c>
      <c r="AG229" s="161"/>
      <c r="AH229" s="161"/>
      <c r="AI229" s="161"/>
      <c r="AJ229" s="161"/>
      <c r="AK229" s="161"/>
      <c r="AL229" s="161"/>
      <c r="AM229" s="161"/>
      <c r="AN229" s="161"/>
      <c r="AO229" s="161"/>
      <c r="AP229" s="161"/>
      <c r="AQ229" s="161"/>
      <c r="AR229" s="161"/>
      <c r="AS229" s="161"/>
      <c r="AT229" s="161"/>
      <c r="AU229" s="161"/>
      <c r="AV229" s="161"/>
      <c r="AW229" s="161"/>
      <c r="AX229" s="161" t="s">
        <v>102</v>
      </c>
    </row>
    <row r="230" spans="1:50" ht="20.100000000000001" customHeight="1">
      <c r="K230" s="161" t="s">
        <v>103</v>
      </c>
      <c r="L230" s="161"/>
      <c r="M230" s="161"/>
      <c r="N230" s="161"/>
      <c r="O230" s="161"/>
      <c r="P230" s="161"/>
      <c r="Q230" s="161"/>
      <c r="R230" s="161"/>
      <c r="S230" s="161"/>
      <c r="T230" s="161"/>
      <c r="U230" s="161"/>
      <c r="V230" s="161"/>
      <c r="W230" s="161"/>
      <c r="X230" s="161"/>
      <c r="Y230" s="161"/>
      <c r="Z230" s="161"/>
      <c r="AA230" s="161"/>
      <c r="AB230" s="161"/>
      <c r="AC230" s="161"/>
      <c r="AD230" s="161"/>
      <c r="AE230" s="162">
        <f>+AE229</f>
        <v>4374</v>
      </c>
      <c r="AF230" s="210">
        <f>+B185</f>
        <v>4054</v>
      </c>
      <c r="AG230" s="162">
        <f>B186</f>
        <v>3902</v>
      </c>
      <c r="AH230" s="162">
        <f>B187</f>
        <v>3754</v>
      </c>
      <c r="AI230" s="162">
        <f>B188</f>
        <v>3610</v>
      </c>
      <c r="AJ230" s="162">
        <f>B189</f>
        <v>3470</v>
      </c>
      <c r="AK230" s="162">
        <f>B190</f>
        <v>3334</v>
      </c>
      <c r="AL230" s="162">
        <f>B191</f>
        <v>3202</v>
      </c>
      <c r="AM230" s="162">
        <f>B192</f>
        <v>3074</v>
      </c>
      <c r="AN230" s="162">
        <f>B193</f>
        <v>2950</v>
      </c>
      <c r="AO230" s="162">
        <f>B194</f>
        <v>2830</v>
      </c>
      <c r="AP230" s="162">
        <f>B195</f>
        <v>2714</v>
      </c>
      <c r="AQ230" s="162">
        <f>B196</f>
        <v>2602</v>
      </c>
      <c r="AR230" s="162">
        <f>B197</f>
        <v>2494</v>
      </c>
      <c r="AS230" s="162">
        <f>B198</f>
        <v>2389</v>
      </c>
      <c r="AT230" s="162">
        <f>B199</f>
        <v>2288</v>
      </c>
      <c r="AU230" s="162">
        <f>B200</f>
        <v>2191</v>
      </c>
      <c r="AV230" s="162">
        <f>B201</f>
        <v>2097</v>
      </c>
      <c r="AW230" s="162">
        <f>B202</f>
        <v>2007</v>
      </c>
      <c r="AX230" s="161" t="s">
        <v>103</v>
      </c>
    </row>
    <row r="231" spans="1:50" ht="20.100000000000001" customHeight="1">
      <c r="K231" s="161" t="s">
        <v>95</v>
      </c>
      <c r="L231" s="161"/>
      <c r="M231" s="161"/>
      <c r="N231" s="161"/>
      <c r="O231" s="161"/>
      <c r="P231" s="161"/>
      <c r="Q231" s="161"/>
      <c r="R231" s="161"/>
      <c r="S231" s="161"/>
      <c r="T231" s="161"/>
      <c r="U231" s="161"/>
      <c r="V231" s="161"/>
      <c r="W231" s="161"/>
      <c r="X231" s="161"/>
      <c r="Y231" s="161"/>
      <c r="Z231" s="161"/>
      <c r="AA231" s="161"/>
      <c r="AB231" s="161"/>
      <c r="AC231" s="161"/>
      <c r="AD231" s="161"/>
      <c r="AE231" s="162">
        <f>+AE230</f>
        <v>4374</v>
      </c>
      <c r="AF231" s="211">
        <f>+H206</f>
        <v>4111</v>
      </c>
      <c r="AG231" s="211">
        <f>+H207</f>
        <v>3931.5</v>
      </c>
      <c r="AH231" s="211">
        <f>+H208</f>
        <v>3754.5</v>
      </c>
      <c r="AI231" s="211">
        <f>+H209</f>
        <v>3579.5</v>
      </c>
      <c r="AJ231" s="211">
        <f>+H210</f>
        <v>3406.5</v>
      </c>
      <c r="AK231" s="211">
        <f>+H211</f>
        <v>3235</v>
      </c>
      <c r="AL231" s="211">
        <f>+H212</f>
        <v>3066</v>
      </c>
      <c r="AM231" s="211">
        <f>+H213</f>
        <v>2899</v>
      </c>
      <c r="AN231" s="211">
        <f>+H214</f>
        <v>2734</v>
      </c>
      <c r="AO231" s="211">
        <f>+H215</f>
        <v>2570.5</v>
      </c>
      <c r="AP231" s="211">
        <f>+H216</f>
        <v>2409.5</v>
      </c>
      <c r="AQ231" s="211">
        <f>+H217</f>
        <v>2250.5</v>
      </c>
      <c r="AR231" s="211">
        <f>+H218</f>
        <v>2093.5</v>
      </c>
      <c r="AS231" s="211">
        <f>+H219</f>
        <v>1937.5</v>
      </c>
      <c r="AT231" s="211">
        <f>+H220</f>
        <v>1784</v>
      </c>
      <c r="AU231" s="211">
        <f>+H221</f>
        <v>1632.5</v>
      </c>
      <c r="AV231" s="211">
        <f>+H222</f>
        <v>1482.5</v>
      </c>
      <c r="AW231" s="75">
        <f>+H223</f>
        <v>1334</v>
      </c>
      <c r="AX231" s="161" t="s">
        <v>95</v>
      </c>
    </row>
    <row r="232" spans="1:50" ht="20.100000000000001" customHeight="1"/>
    <row r="233" spans="1:50" ht="20.100000000000001" customHeight="1"/>
    <row r="234" spans="1:50" ht="20.100000000000001" customHeight="1"/>
    <row r="235" spans="1:50" ht="20.100000000000001" customHeight="1"/>
    <row r="236" spans="1:50" ht="20.100000000000001" customHeight="1"/>
    <row r="237" spans="1:50" ht="20.100000000000001" customHeight="1"/>
    <row r="238" spans="1:50" ht="20.100000000000001" customHeight="1"/>
    <row r="239" spans="1:50" ht="20.100000000000001" customHeight="1"/>
    <row r="240" spans="1:50" ht="20.100000000000001" customHeight="1"/>
    <row r="241" ht="20.100000000000001" customHeight="1"/>
    <row r="242" ht="20.100000000000001" customHeight="1"/>
    <row r="243" ht="20.100000000000001" customHeight="1"/>
    <row r="244" ht="20.100000000000001" customHeight="1"/>
    <row r="245" ht="20.100000000000001" customHeight="1"/>
    <row r="246" ht="20.100000000000001" customHeight="1"/>
    <row r="247" ht="20.100000000000001" customHeight="1"/>
    <row r="248" ht="20.100000000000001" customHeight="1"/>
  </sheetData>
  <phoneticPr fontId="50" type="noConversion"/>
  <pageMargins left="0.74803149606299213" right="0.74803149606299213" top="0.78740157480314965" bottom="0.78740157480314965" header="0.51181102362204722" footer="0.51181102362204722"/>
  <pageSetup paperSize="9" scale="70" fitToHeight="3" orientation="portrait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>
  <sheetPr codeName="Sheet50">
    <tabColor indexed="53"/>
  </sheetPr>
  <dimension ref="A1:AO204"/>
  <sheetViews>
    <sheetView workbookViewId="0"/>
  </sheetViews>
  <sheetFormatPr defaultRowHeight="15" customHeight="1"/>
  <cols>
    <col min="1" max="1" width="8.88671875" style="55"/>
    <col min="2" max="2" width="9.21875" style="55" customWidth="1"/>
    <col min="3" max="3" width="9.5546875" style="55" customWidth="1"/>
    <col min="4" max="4" width="9" style="55" customWidth="1"/>
    <col min="5" max="5" width="11.33203125" style="55" customWidth="1"/>
    <col min="6" max="6" width="9.44140625" style="55" customWidth="1"/>
    <col min="7" max="7" width="15.109375" style="55" bestFit="1" customWidth="1"/>
    <col min="8" max="8" width="12.88671875" style="55" bestFit="1" customWidth="1"/>
    <col min="9" max="9" width="11.5546875" style="55" bestFit="1" customWidth="1"/>
    <col min="10" max="11" width="8.88671875" style="55"/>
    <col min="12" max="41" width="6.77734375" style="55" customWidth="1"/>
    <col min="42" max="16384" width="8.88671875" style="55"/>
  </cols>
  <sheetData>
    <row r="1" spans="1:13" ht="15" customHeight="1">
      <c r="A1" s="54" t="s">
        <v>284</v>
      </c>
    </row>
    <row r="2" spans="1:13" ht="15" customHeight="1">
      <c r="A2" s="54"/>
    </row>
    <row r="3" spans="1:13" ht="15" customHeight="1">
      <c r="A3" s="56" t="s">
        <v>74</v>
      </c>
      <c r="B3" s="57"/>
    </row>
    <row r="4" spans="1:13" ht="15" customHeight="1">
      <c r="A4" s="58" t="s">
        <v>32</v>
      </c>
      <c r="B4" s="59" t="s">
        <v>40</v>
      </c>
      <c r="C4" s="59" t="s">
        <v>33</v>
      </c>
      <c r="D4" s="60"/>
      <c r="E4" s="60"/>
      <c r="F4" s="61"/>
      <c r="G4" s="62"/>
      <c r="H4" s="63" t="s">
        <v>250</v>
      </c>
      <c r="I4" s="64">
        <f>RSQ(I5:I15,B5:B15)</f>
        <v>0.97717712577674387</v>
      </c>
    </row>
    <row r="5" spans="1:13" ht="15" customHeight="1">
      <c r="A5" s="176">
        <v>1997</v>
      </c>
      <c r="B5" s="180">
        <f>+망상동20년!B14</f>
        <v>5872</v>
      </c>
      <c r="C5" s="177">
        <v>0</v>
      </c>
      <c r="D5" s="178"/>
      <c r="E5" s="178"/>
      <c r="F5" s="179"/>
      <c r="G5" s="262"/>
      <c r="H5" s="263"/>
      <c r="I5" s="70">
        <f t="shared" ref="I5:I33" si="0">$E$6*C5+$E$7</f>
        <v>5872</v>
      </c>
    </row>
    <row r="6" spans="1:13" ht="15" customHeight="1">
      <c r="A6" s="65" t="e">
        <f>#REF!</f>
        <v>#REF!</v>
      </c>
      <c r="B6" s="180">
        <f>+망상동20년!B15</f>
        <v>5835</v>
      </c>
      <c r="C6" s="67">
        <f>+C5+1</f>
        <v>1</v>
      </c>
      <c r="D6" s="53" t="s">
        <v>75</v>
      </c>
      <c r="E6" s="68">
        <f>(B15-B5)/C15</f>
        <v>-149.80000000000001</v>
      </c>
      <c r="F6" s="69"/>
      <c r="G6" s="53"/>
      <c r="H6" s="69"/>
      <c r="I6" s="70">
        <f t="shared" si="0"/>
        <v>5722.2</v>
      </c>
      <c r="J6" s="71">
        <v>570570</v>
      </c>
      <c r="K6" s="55">
        <v>570570</v>
      </c>
      <c r="L6" s="55">
        <v>766</v>
      </c>
    </row>
    <row r="7" spans="1:13" ht="15" customHeight="1">
      <c r="A7" s="65" t="e">
        <f>#REF!</f>
        <v>#REF!</v>
      </c>
      <c r="B7" s="180">
        <f>+망상동20년!B16</f>
        <v>5719</v>
      </c>
      <c r="C7" s="67">
        <f t="shared" ref="C7:C33" si="1">C6+1</f>
        <v>2</v>
      </c>
      <c r="D7" s="53" t="s">
        <v>76</v>
      </c>
      <c r="E7" s="72">
        <f>B5</f>
        <v>5872</v>
      </c>
      <c r="F7" s="69"/>
      <c r="G7" s="53"/>
      <c r="H7" s="69"/>
      <c r="I7" s="70">
        <f t="shared" si="0"/>
        <v>5572.4</v>
      </c>
      <c r="J7" s="71">
        <v>583230</v>
      </c>
      <c r="K7" s="55">
        <v>583230</v>
      </c>
      <c r="L7" s="55">
        <v>1094</v>
      </c>
    </row>
    <row r="8" spans="1:13" ht="15" customHeight="1">
      <c r="A8" s="65" t="e">
        <f>#REF!</f>
        <v>#REF!</v>
      </c>
      <c r="B8" s="180">
        <f>+망상동20년!B17</f>
        <v>5594</v>
      </c>
      <c r="C8" s="67">
        <f t="shared" si="1"/>
        <v>3</v>
      </c>
      <c r="D8" s="53" t="s">
        <v>77</v>
      </c>
      <c r="E8" s="73">
        <f>I4</f>
        <v>0.97717712577674387</v>
      </c>
      <c r="F8" s="69"/>
      <c r="G8" s="53"/>
      <c r="H8" s="69"/>
      <c r="I8" s="70">
        <f t="shared" si="0"/>
        <v>5422.6</v>
      </c>
      <c r="J8" s="71">
        <v>590162</v>
      </c>
      <c r="K8" s="55">
        <v>590162</v>
      </c>
      <c r="L8" s="55">
        <v>1277</v>
      </c>
    </row>
    <row r="9" spans="1:13" ht="15" customHeight="1">
      <c r="A9" s="65" t="e">
        <f>#REF!</f>
        <v>#REF!</v>
      </c>
      <c r="B9" s="180">
        <f>+망상동20년!B18</f>
        <v>5248</v>
      </c>
      <c r="C9" s="67">
        <f t="shared" si="1"/>
        <v>4</v>
      </c>
      <c r="D9" s="53"/>
      <c r="E9" s="53"/>
      <c r="F9" s="69"/>
      <c r="G9" s="53"/>
      <c r="H9" s="69"/>
      <c r="I9" s="70">
        <f t="shared" si="0"/>
        <v>5272.8</v>
      </c>
      <c r="J9" s="71">
        <v>600343</v>
      </c>
      <c r="K9" s="55">
        <v>600343</v>
      </c>
      <c r="L9" s="55">
        <v>1147</v>
      </c>
    </row>
    <row r="10" spans="1:13" ht="15" customHeight="1">
      <c r="A10" s="65" t="e">
        <f>#REF!</f>
        <v>#REF!</v>
      </c>
      <c r="B10" s="180">
        <f>+망상동20년!B19</f>
        <v>5034</v>
      </c>
      <c r="C10" s="67">
        <f t="shared" si="1"/>
        <v>5</v>
      </c>
      <c r="D10" s="53"/>
      <c r="E10" s="53"/>
      <c r="F10" s="69"/>
      <c r="G10" s="53"/>
      <c r="H10" s="69"/>
      <c r="I10" s="70">
        <f t="shared" si="0"/>
        <v>5123</v>
      </c>
      <c r="J10" s="71">
        <v>611921</v>
      </c>
      <c r="K10" s="55">
        <v>611921</v>
      </c>
      <c r="L10" s="55">
        <v>1355</v>
      </c>
    </row>
    <row r="11" spans="1:13" ht="15" customHeight="1">
      <c r="A11" s="65" t="e">
        <f>#REF!</f>
        <v>#REF!</v>
      </c>
      <c r="B11" s="180">
        <f>+망상동20년!B20</f>
        <v>4835</v>
      </c>
      <c r="C11" s="67">
        <f t="shared" si="1"/>
        <v>6</v>
      </c>
      <c r="D11" s="53"/>
      <c r="E11" s="53"/>
      <c r="F11" s="69"/>
      <c r="G11" s="53"/>
      <c r="H11" s="69"/>
      <c r="I11" s="70">
        <f t="shared" si="0"/>
        <v>4973.2</v>
      </c>
      <c r="J11" s="74">
        <v>622238</v>
      </c>
      <c r="K11" s="55">
        <v>622238</v>
      </c>
      <c r="L11" s="55">
        <v>1717</v>
      </c>
    </row>
    <row r="12" spans="1:13" ht="15" customHeight="1">
      <c r="A12" s="65" t="e">
        <f>#REF!</f>
        <v>#REF!</v>
      </c>
      <c r="B12" s="180">
        <f>+망상동20년!B21</f>
        <v>4742</v>
      </c>
      <c r="C12" s="67">
        <f t="shared" si="1"/>
        <v>7</v>
      </c>
      <c r="D12" s="53" t="s">
        <v>73</v>
      </c>
      <c r="E12" s="53"/>
      <c r="F12" s="69"/>
      <c r="G12" s="53"/>
      <c r="H12" s="69"/>
      <c r="I12" s="70">
        <f t="shared" si="0"/>
        <v>4823.3999999999996</v>
      </c>
      <c r="J12" s="74">
        <v>623897</v>
      </c>
      <c r="K12" s="55">
        <v>623897</v>
      </c>
      <c r="L12" s="55">
        <v>1614</v>
      </c>
    </row>
    <row r="13" spans="1:13" ht="15" customHeight="1">
      <c r="A13" s="65" t="e">
        <f>#REF!</f>
        <v>#REF!</v>
      </c>
      <c r="B13" s="180">
        <f>+망상동20년!B22</f>
        <v>4623</v>
      </c>
      <c r="C13" s="67">
        <f t="shared" si="1"/>
        <v>8</v>
      </c>
      <c r="D13" s="53"/>
      <c r="E13" s="53"/>
      <c r="F13" s="69"/>
      <c r="G13" s="53"/>
      <c r="H13" s="69"/>
      <c r="I13" s="70">
        <f t="shared" si="0"/>
        <v>4673.6000000000004</v>
      </c>
      <c r="J13" s="74">
        <v>626069</v>
      </c>
      <c r="K13" s="55">
        <v>626069</v>
      </c>
      <c r="L13" s="55">
        <v>1584</v>
      </c>
    </row>
    <row r="14" spans="1:13" ht="15" customHeight="1">
      <c r="A14" s="65" t="e">
        <f>#REF!</f>
        <v>#REF!</v>
      </c>
      <c r="B14" s="180">
        <f>+망상동20년!B23</f>
        <v>4474</v>
      </c>
      <c r="C14" s="67">
        <f t="shared" si="1"/>
        <v>9</v>
      </c>
      <c r="D14" s="53"/>
      <c r="E14" s="53"/>
      <c r="F14" s="69"/>
      <c r="G14" s="53"/>
      <c r="H14" s="69"/>
      <c r="I14" s="70">
        <f t="shared" si="0"/>
        <v>4523.8</v>
      </c>
      <c r="J14" s="74">
        <v>618816</v>
      </c>
      <c r="K14" s="55">
        <v>620374</v>
      </c>
      <c r="L14" s="75">
        <v>1555</v>
      </c>
      <c r="M14" s="75"/>
    </row>
    <row r="15" spans="1:13" ht="15" customHeight="1" thickBot="1">
      <c r="A15" s="97" t="e">
        <f>#REF!</f>
        <v>#REF!</v>
      </c>
      <c r="B15" s="181">
        <f>+망상동20년!B24</f>
        <v>4374</v>
      </c>
      <c r="C15" s="99">
        <f t="shared" si="1"/>
        <v>10</v>
      </c>
      <c r="D15" s="101"/>
      <c r="E15" s="101"/>
      <c r="F15" s="100"/>
      <c r="G15" s="101"/>
      <c r="H15" s="100"/>
      <c r="I15" s="102">
        <f t="shared" si="0"/>
        <v>4374</v>
      </c>
      <c r="J15" s="74">
        <v>622472</v>
      </c>
      <c r="K15" s="55">
        <v>624260</v>
      </c>
      <c r="L15" s="75">
        <v>1788</v>
      </c>
      <c r="M15" s="75"/>
    </row>
    <row r="16" spans="1:13" ht="15" customHeight="1" thickTop="1">
      <c r="A16" s="80">
        <v>2008</v>
      </c>
      <c r="B16" s="81">
        <f t="shared" ref="B16:B33" si="2">ROUND($E$6*C16+$E$7,0)</f>
        <v>4224</v>
      </c>
      <c r="C16" s="77">
        <f t="shared" si="1"/>
        <v>11</v>
      </c>
      <c r="D16" s="256"/>
      <c r="E16" s="256"/>
      <c r="F16" s="78"/>
      <c r="G16" s="256"/>
      <c r="H16" s="78"/>
      <c r="I16" s="79">
        <f t="shared" si="0"/>
        <v>4224.2</v>
      </c>
      <c r="K16" s="55">
        <v>623804</v>
      </c>
      <c r="L16" s="75">
        <f>+J16-K16</f>
        <v>-623804</v>
      </c>
      <c r="M16" s="75"/>
    </row>
    <row r="17" spans="1:9" ht="15" customHeight="1">
      <c r="A17" s="80">
        <v>2009</v>
      </c>
      <c r="B17" s="81">
        <f t="shared" si="2"/>
        <v>4074</v>
      </c>
      <c r="C17" s="67">
        <f t="shared" si="1"/>
        <v>12</v>
      </c>
      <c r="D17" s="69"/>
      <c r="E17" s="69"/>
      <c r="F17" s="69"/>
      <c r="G17" s="69"/>
      <c r="H17" s="69"/>
      <c r="I17" s="70">
        <f t="shared" si="0"/>
        <v>4074.3999999999996</v>
      </c>
    </row>
    <row r="18" spans="1:9" ht="15" customHeight="1">
      <c r="A18" s="80">
        <v>2010</v>
      </c>
      <c r="B18" s="81">
        <f t="shared" si="2"/>
        <v>3925</v>
      </c>
      <c r="C18" s="82">
        <f t="shared" si="1"/>
        <v>13</v>
      </c>
      <c r="D18" s="69"/>
      <c r="E18" s="69"/>
      <c r="F18" s="69"/>
      <c r="G18" s="69"/>
      <c r="H18" s="69"/>
      <c r="I18" s="70">
        <f t="shared" si="0"/>
        <v>3924.6</v>
      </c>
    </row>
    <row r="19" spans="1:9" ht="15" customHeight="1">
      <c r="A19" s="80">
        <v>2011</v>
      </c>
      <c r="B19" s="81">
        <f t="shared" si="2"/>
        <v>3775</v>
      </c>
      <c r="C19" s="82">
        <f t="shared" si="1"/>
        <v>14</v>
      </c>
      <c r="D19" s="69"/>
      <c r="E19" s="69"/>
      <c r="F19" s="69"/>
      <c r="G19" s="69"/>
      <c r="H19" s="69"/>
      <c r="I19" s="70">
        <f t="shared" si="0"/>
        <v>3774.7999999999997</v>
      </c>
    </row>
    <row r="20" spans="1:9" ht="15" customHeight="1">
      <c r="A20" s="80">
        <v>2012</v>
      </c>
      <c r="B20" s="81">
        <f t="shared" si="2"/>
        <v>3625</v>
      </c>
      <c r="C20" s="82">
        <f t="shared" si="1"/>
        <v>15</v>
      </c>
      <c r="D20" s="69"/>
      <c r="E20" s="69"/>
      <c r="F20" s="69"/>
      <c r="G20" s="69"/>
      <c r="H20" s="69"/>
      <c r="I20" s="70">
        <f t="shared" si="0"/>
        <v>3625</v>
      </c>
    </row>
    <row r="21" spans="1:9" ht="15" customHeight="1">
      <c r="A21" s="80">
        <v>2013</v>
      </c>
      <c r="B21" s="81">
        <f t="shared" si="2"/>
        <v>3475</v>
      </c>
      <c r="C21" s="82">
        <f t="shared" si="1"/>
        <v>16</v>
      </c>
      <c r="D21" s="69"/>
      <c r="E21" s="69"/>
      <c r="F21" s="69"/>
      <c r="G21" s="69"/>
      <c r="H21" s="69"/>
      <c r="I21" s="70">
        <f t="shared" si="0"/>
        <v>3475.2</v>
      </c>
    </row>
    <row r="22" spans="1:9" ht="15" customHeight="1">
      <c r="A22" s="80">
        <v>2014</v>
      </c>
      <c r="B22" s="81">
        <f t="shared" si="2"/>
        <v>3325</v>
      </c>
      <c r="C22" s="82">
        <f t="shared" si="1"/>
        <v>17</v>
      </c>
      <c r="D22" s="69"/>
      <c r="E22" s="69"/>
      <c r="F22" s="69"/>
      <c r="G22" s="69"/>
      <c r="H22" s="69"/>
      <c r="I22" s="70">
        <f t="shared" si="0"/>
        <v>3325.3999999999996</v>
      </c>
    </row>
    <row r="23" spans="1:9" ht="15" customHeight="1">
      <c r="A23" s="80">
        <v>2015</v>
      </c>
      <c r="B23" s="81">
        <f t="shared" si="2"/>
        <v>3176</v>
      </c>
      <c r="C23" s="82">
        <f t="shared" si="1"/>
        <v>18</v>
      </c>
      <c r="D23" s="69"/>
      <c r="E23" s="69"/>
      <c r="F23" s="69"/>
      <c r="G23" s="69"/>
      <c r="H23" s="69"/>
      <c r="I23" s="70">
        <f t="shared" si="0"/>
        <v>3175.6</v>
      </c>
    </row>
    <row r="24" spans="1:9" ht="15" customHeight="1">
      <c r="A24" s="80">
        <v>2016</v>
      </c>
      <c r="B24" s="81">
        <f t="shared" si="2"/>
        <v>3026</v>
      </c>
      <c r="C24" s="82">
        <f t="shared" si="1"/>
        <v>19</v>
      </c>
      <c r="D24" s="69"/>
      <c r="E24" s="69"/>
      <c r="F24" s="69"/>
      <c r="G24" s="69"/>
      <c r="H24" s="69"/>
      <c r="I24" s="70">
        <f t="shared" si="0"/>
        <v>3025.7999999999997</v>
      </c>
    </row>
    <row r="25" spans="1:9" ht="15" customHeight="1">
      <c r="A25" s="80">
        <v>2017</v>
      </c>
      <c r="B25" s="81">
        <f t="shared" si="2"/>
        <v>2876</v>
      </c>
      <c r="C25" s="82">
        <f t="shared" si="1"/>
        <v>20</v>
      </c>
      <c r="D25" s="69"/>
      <c r="E25" s="69"/>
      <c r="F25" s="69"/>
      <c r="G25" s="69"/>
      <c r="H25" s="69"/>
      <c r="I25" s="70">
        <f t="shared" si="0"/>
        <v>2876</v>
      </c>
    </row>
    <row r="26" spans="1:9" ht="15" customHeight="1">
      <c r="A26" s="80">
        <v>2018</v>
      </c>
      <c r="B26" s="81">
        <f t="shared" si="2"/>
        <v>2726</v>
      </c>
      <c r="C26" s="82">
        <f t="shared" si="1"/>
        <v>21</v>
      </c>
      <c r="D26" s="69"/>
      <c r="E26" s="69"/>
      <c r="F26" s="69"/>
      <c r="G26" s="69"/>
      <c r="H26" s="69"/>
      <c r="I26" s="70">
        <f t="shared" si="0"/>
        <v>2726.2</v>
      </c>
    </row>
    <row r="27" spans="1:9" ht="15" customHeight="1">
      <c r="A27" s="80">
        <v>2019</v>
      </c>
      <c r="B27" s="81">
        <f t="shared" si="2"/>
        <v>2576</v>
      </c>
      <c r="C27" s="82">
        <f t="shared" si="1"/>
        <v>22</v>
      </c>
      <c r="D27" s="69"/>
      <c r="E27" s="69"/>
      <c r="F27" s="69"/>
      <c r="G27" s="69"/>
      <c r="H27" s="69"/>
      <c r="I27" s="70">
        <f t="shared" si="0"/>
        <v>2576.3999999999996</v>
      </c>
    </row>
    <row r="28" spans="1:9" ht="15" customHeight="1">
      <c r="A28" s="80">
        <v>2020</v>
      </c>
      <c r="B28" s="81">
        <f t="shared" si="2"/>
        <v>2427</v>
      </c>
      <c r="C28" s="82">
        <f t="shared" si="1"/>
        <v>23</v>
      </c>
      <c r="D28" s="69"/>
      <c r="E28" s="69"/>
      <c r="F28" s="69"/>
      <c r="G28" s="69"/>
      <c r="H28" s="69"/>
      <c r="I28" s="70">
        <f t="shared" si="0"/>
        <v>2426.6</v>
      </c>
    </row>
    <row r="29" spans="1:9" ht="15" customHeight="1">
      <c r="A29" s="80">
        <v>2021</v>
      </c>
      <c r="B29" s="81">
        <f t="shared" si="2"/>
        <v>2277</v>
      </c>
      <c r="C29" s="82">
        <f t="shared" si="1"/>
        <v>24</v>
      </c>
      <c r="D29" s="69"/>
      <c r="E29" s="69"/>
      <c r="F29" s="69"/>
      <c r="G29" s="69"/>
      <c r="H29" s="69"/>
      <c r="I29" s="70">
        <f t="shared" si="0"/>
        <v>2276.7999999999997</v>
      </c>
    </row>
    <row r="30" spans="1:9" ht="15" customHeight="1">
      <c r="A30" s="80">
        <v>2022</v>
      </c>
      <c r="B30" s="81">
        <f t="shared" si="2"/>
        <v>2127</v>
      </c>
      <c r="C30" s="82">
        <f t="shared" si="1"/>
        <v>25</v>
      </c>
      <c r="D30" s="69"/>
      <c r="E30" s="69"/>
      <c r="F30" s="69"/>
      <c r="G30" s="69"/>
      <c r="H30" s="69"/>
      <c r="I30" s="70">
        <f t="shared" si="0"/>
        <v>2126.9999999999995</v>
      </c>
    </row>
    <row r="31" spans="1:9" ht="15" customHeight="1">
      <c r="A31" s="80">
        <v>2023</v>
      </c>
      <c r="B31" s="81">
        <f t="shared" si="2"/>
        <v>1977</v>
      </c>
      <c r="C31" s="82">
        <f t="shared" si="1"/>
        <v>26</v>
      </c>
      <c r="D31" s="69"/>
      <c r="E31" s="69"/>
      <c r="F31" s="69"/>
      <c r="G31" s="69"/>
      <c r="H31" s="69"/>
      <c r="I31" s="70">
        <f t="shared" si="0"/>
        <v>1977.1999999999998</v>
      </c>
    </row>
    <row r="32" spans="1:9" ht="15" customHeight="1">
      <c r="A32" s="80">
        <v>2024</v>
      </c>
      <c r="B32" s="81">
        <f t="shared" si="2"/>
        <v>1827</v>
      </c>
      <c r="C32" s="67">
        <f t="shared" si="1"/>
        <v>27</v>
      </c>
      <c r="D32" s="83"/>
      <c r="E32" s="69"/>
      <c r="F32" s="69"/>
      <c r="G32" s="69"/>
      <c r="H32" s="84"/>
      <c r="I32" s="70">
        <f t="shared" si="0"/>
        <v>1827.3999999999996</v>
      </c>
    </row>
    <row r="33" spans="1:9" ht="15" customHeight="1">
      <c r="A33" s="85">
        <v>2025</v>
      </c>
      <c r="B33" s="86">
        <f t="shared" si="2"/>
        <v>1678</v>
      </c>
      <c r="C33" s="87">
        <f t="shared" si="1"/>
        <v>28</v>
      </c>
      <c r="D33" s="88"/>
      <c r="E33" s="89"/>
      <c r="F33" s="89"/>
      <c r="G33" s="89"/>
      <c r="H33" s="90"/>
      <c r="I33" s="91">
        <f t="shared" si="0"/>
        <v>1677.5999999999995</v>
      </c>
    </row>
    <row r="34" spans="1:9" ht="15" customHeight="1">
      <c r="A34" s="56" t="s">
        <v>78</v>
      </c>
      <c r="B34" s="92"/>
      <c r="I34" s="89"/>
    </row>
    <row r="35" spans="1:9" ht="15" customHeight="1">
      <c r="A35" s="58" t="s">
        <v>32</v>
      </c>
      <c r="B35" s="59" t="s">
        <v>40</v>
      </c>
      <c r="C35" s="59" t="s">
        <v>33</v>
      </c>
      <c r="D35" s="60"/>
      <c r="E35" s="60"/>
      <c r="F35" s="61"/>
      <c r="G35" s="62"/>
      <c r="H35" s="63" t="s">
        <v>250</v>
      </c>
      <c r="I35" s="64">
        <f>RSQ(I36:I46,B36:B46)</f>
        <v>0.97717712577674365</v>
      </c>
    </row>
    <row r="36" spans="1:9" ht="15" customHeight="1">
      <c r="A36" s="65">
        <f t="shared" ref="A36:B46" si="3">A5</f>
        <v>1997</v>
      </c>
      <c r="B36" s="93">
        <f t="shared" si="3"/>
        <v>5872</v>
      </c>
      <c r="C36" s="67">
        <v>0</v>
      </c>
      <c r="D36" s="53"/>
      <c r="E36" s="53"/>
      <c r="F36" s="69"/>
      <c r="G36" s="264"/>
      <c r="H36" s="265"/>
      <c r="I36" s="94">
        <f t="shared" ref="I36:I64" si="4">$E$37*C36+$E$38</f>
        <v>5956.318181818182</v>
      </c>
    </row>
    <row r="37" spans="1:9" ht="15" customHeight="1">
      <c r="A37" s="65" t="e">
        <f t="shared" si="3"/>
        <v>#REF!</v>
      </c>
      <c r="B37" s="93">
        <f t="shared" si="3"/>
        <v>5835</v>
      </c>
      <c r="C37" s="67">
        <f>+C36+1</f>
        <v>1</v>
      </c>
      <c r="D37" s="53" t="s">
        <v>75</v>
      </c>
      <c r="E37" s="68">
        <f>INDEX(LINEST(B36:B46,C36:C46),1)</f>
        <v>-166.71818181818176</v>
      </c>
      <c r="F37" s="69"/>
      <c r="G37" s="53"/>
      <c r="H37" s="69"/>
      <c r="I37" s="70">
        <f t="shared" si="4"/>
        <v>5789.6</v>
      </c>
    </row>
    <row r="38" spans="1:9" ht="15" customHeight="1">
      <c r="A38" s="65" t="e">
        <f t="shared" si="3"/>
        <v>#REF!</v>
      </c>
      <c r="B38" s="93">
        <f t="shared" si="3"/>
        <v>5719</v>
      </c>
      <c r="C38" s="67">
        <f t="shared" ref="C38:C64" si="5">C37+1</f>
        <v>2</v>
      </c>
      <c r="D38" s="53" t="s">
        <v>76</v>
      </c>
      <c r="E38" s="72">
        <f>INDEX(LINEST(B36:B46,C36:C46),2)</f>
        <v>5956.318181818182</v>
      </c>
      <c r="F38" s="69"/>
      <c r="G38" s="53"/>
      <c r="H38" s="69"/>
      <c r="I38" s="70">
        <f t="shared" si="4"/>
        <v>5622.8818181818187</v>
      </c>
    </row>
    <row r="39" spans="1:9" ht="15" customHeight="1">
      <c r="A39" s="65" t="e">
        <f t="shared" si="3"/>
        <v>#REF!</v>
      </c>
      <c r="B39" s="93">
        <f t="shared" si="3"/>
        <v>5594</v>
      </c>
      <c r="C39" s="67">
        <f t="shared" si="5"/>
        <v>3</v>
      </c>
      <c r="D39" s="53" t="s">
        <v>77</v>
      </c>
      <c r="E39" s="73">
        <f>I35</f>
        <v>0.97717712577674365</v>
      </c>
      <c r="F39" s="69"/>
      <c r="G39" s="53"/>
      <c r="H39" s="69"/>
      <c r="I39" s="70">
        <f t="shared" si="4"/>
        <v>5456.1636363636371</v>
      </c>
    </row>
    <row r="40" spans="1:9" ht="15" customHeight="1">
      <c r="A40" s="65" t="e">
        <f t="shared" si="3"/>
        <v>#REF!</v>
      </c>
      <c r="B40" s="93">
        <f t="shared" si="3"/>
        <v>5248</v>
      </c>
      <c r="C40" s="67">
        <f t="shared" si="5"/>
        <v>4</v>
      </c>
      <c r="D40" s="53"/>
      <c r="E40" s="53"/>
      <c r="F40" s="69"/>
      <c r="G40" s="53"/>
      <c r="H40" s="69"/>
      <c r="I40" s="70">
        <f t="shared" si="4"/>
        <v>5289.4454545454546</v>
      </c>
    </row>
    <row r="41" spans="1:9" ht="15" customHeight="1">
      <c r="A41" s="65" t="e">
        <f t="shared" si="3"/>
        <v>#REF!</v>
      </c>
      <c r="B41" s="93">
        <f t="shared" si="3"/>
        <v>5034</v>
      </c>
      <c r="C41" s="67">
        <f t="shared" si="5"/>
        <v>5</v>
      </c>
      <c r="D41" s="53"/>
      <c r="E41" s="53"/>
      <c r="F41" s="69"/>
      <c r="G41" s="95"/>
      <c r="H41" s="69"/>
      <c r="I41" s="70">
        <f t="shared" si="4"/>
        <v>5122.727272727273</v>
      </c>
    </row>
    <row r="42" spans="1:9" ht="15" customHeight="1">
      <c r="A42" s="65" t="e">
        <f t="shared" si="3"/>
        <v>#REF!</v>
      </c>
      <c r="B42" s="93">
        <f t="shared" si="3"/>
        <v>4835</v>
      </c>
      <c r="C42" s="67">
        <f t="shared" si="5"/>
        <v>6</v>
      </c>
      <c r="D42" s="53"/>
      <c r="E42" s="53"/>
      <c r="F42" s="69"/>
      <c r="G42" s="53"/>
      <c r="H42" s="69"/>
      <c r="I42" s="70">
        <f t="shared" si="4"/>
        <v>4956.0090909090914</v>
      </c>
    </row>
    <row r="43" spans="1:9" ht="15" customHeight="1">
      <c r="A43" s="65" t="e">
        <f t="shared" si="3"/>
        <v>#REF!</v>
      </c>
      <c r="B43" s="93">
        <f t="shared" si="3"/>
        <v>4742</v>
      </c>
      <c r="C43" s="67">
        <f t="shared" si="5"/>
        <v>7</v>
      </c>
      <c r="D43" s="53" t="s">
        <v>73</v>
      </c>
      <c r="E43" s="53"/>
      <c r="F43" s="69"/>
      <c r="G43" s="53"/>
      <c r="H43" s="69"/>
      <c r="I43" s="70">
        <f t="shared" si="4"/>
        <v>4789.2909090909097</v>
      </c>
    </row>
    <row r="44" spans="1:9" ht="15" customHeight="1">
      <c r="A44" s="65" t="e">
        <f t="shared" si="3"/>
        <v>#REF!</v>
      </c>
      <c r="B44" s="93">
        <f t="shared" si="3"/>
        <v>4623</v>
      </c>
      <c r="C44" s="67">
        <f t="shared" si="5"/>
        <v>8</v>
      </c>
      <c r="D44" s="53"/>
      <c r="E44" s="53"/>
      <c r="F44" s="69"/>
      <c r="G44" s="53"/>
      <c r="H44" s="69"/>
      <c r="I44" s="70">
        <f t="shared" si="4"/>
        <v>4622.5727272727281</v>
      </c>
    </row>
    <row r="45" spans="1:9" ht="15" customHeight="1">
      <c r="A45" s="65" t="e">
        <f t="shared" si="3"/>
        <v>#REF!</v>
      </c>
      <c r="B45" s="93">
        <f t="shared" si="3"/>
        <v>4474</v>
      </c>
      <c r="C45" s="67">
        <f t="shared" si="5"/>
        <v>9</v>
      </c>
      <c r="D45" s="53"/>
      <c r="E45" s="53"/>
      <c r="F45" s="69"/>
      <c r="G45" s="53"/>
      <c r="H45" s="69"/>
      <c r="I45" s="70">
        <f t="shared" si="4"/>
        <v>4455.8545454545456</v>
      </c>
    </row>
    <row r="46" spans="1:9" ht="15" customHeight="1" thickBot="1">
      <c r="A46" s="97" t="e">
        <f t="shared" si="3"/>
        <v>#REF!</v>
      </c>
      <c r="B46" s="98">
        <f t="shared" si="3"/>
        <v>4374</v>
      </c>
      <c r="C46" s="99">
        <f t="shared" si="5"/>
        <v>10</v>
      </c>
      <c r="D46" s="100"/>
      <c r="E46" s="100"/>
      <c r="F46" s="100"/>
      <c r="G46" s="101"/>
      <c r="H46" s="101"/>
      <c r="I46" s="102">
        <f t="shared" si="4"/>
        <v>4289.136363636364</v>
      </c>
    </row>
    <row r="47" spans="1:9" ht="15" customHeight="1" thickTop="1">
      <c r="A47" s="80">
        <v>2008</v>
      </c>
      <c r="B47" s="81">
        <f t="shared" ref="B47:B64" si="6">ROUND(E$37*C47+E$38,0)</f>
        <v>4122</v>
      </c>
      <c r="C47" s="77">
        <f t="shared" si="5"/>
        <v>11</v>
      </c>
      <c r="D47" s="78"/>
      <c r="E47" s="78"/>
      <c r="F47" s="78"/>
      <c r="G47" s="256"/>
      <c r="H47" s="256"/>
      <c r="I47" s="79">
        <f t="shared" si="4"/>
        <v>4122.4181818181823</v>
      </c>
    </row>
    <row r="48" spans="1:9" ht="15" customHeight="1">
      <c r="A48" s="80">
        <v>2009</v>
      </c>
      <c r="B48" s="81">
        <f t="shared" si="6"/>
        <v>3956</v>
      </c>
      <c r="C48" s="67">
        <f t="shared" si="5"/>
        <v>12</v>
      </c>
      <c r="D48" s="69"/>
      <c r="E48" s="69"/>
      <c r="F48" s="69"/>
      <c r="G48" s="69"/>
      <c r="H48" s="69"/>
      <c r="I48" s="70">
        <f t="shared" si="4"/>
        <v>3955.7000000000007</v>
      </c>
    </row>
    <row r="49" spans="1:9" ht="15" customHeight="1">
      <c r="A49" s="80">
        <v>2010</v>
      </c>
      <c r="B49" s="81">
        <f t="shared" si="6"/>
        <v>3789</v>
      </c>
      <c r="C49" s="82">
        <f t="shared" si="5"/>
        <v>13</v>
      </c>
      <c r="D49" s="69"/>
      <c r="E49" s="69"/>
      <c r="F49" s="69"/>
      <c r="G49" s="69"/>
      <c r="H49" s="69"/>
      <c r="I49" s="70">
        <f t="shared" si="4"/>
        <v>3788.9818181818191</v>
      </c>
    </row>
    <row r="50" spans="1:9" ht="15" customHeight="1">
      <c r="A50" s="80">
        <v>2011</v>
      </c>
      <c r="B50" s="81">
        <f t="shared" si="6"/>
        <v>3622</v>
      </c>
      <c r="C50" s="82">
        <f t="shared" si="5"/>
        <v>14</v>
      </c>
      <c r="D50" s="69"/>
      <c r="E50" s="69"/>
      <c r="F50" s="69"/>
      <c r="G50" s="69"/>
      <c r="H50" s="69"/>
      <c r="I50" s="70">
        <f t="shared" si="4"/>
        <v>3622.2636363636375</v>
      </c>
    </row>
    <row r="51" spans="1:9" ht="15" customHeight="1">
      <c r="A51" s="80">
        <v>2012</v>
      </c>
      <c r="B51" s="81">
        <f t="shared" si="6"/>
        <v>3456</v>
      </c>
      <c r="C51" s="82">
        <f t="shared" si="5"/>
        <v>15</v>
      </c>
      <c r="D51" s="69"/>
      <c r="E51" s="69"/>
      <c r="F51" s="69"/>
      <c r="G51" s="69"/>
      <c r="H51" s="69"/>
      <c r="I51" s="70">
        <f t="shared" si="4"/>
        <v>3455.5454545454554</v>
      </c>
    </row>
    <row r="52" spans="1:9" ht="15" customHeight="1">
      <c r="A52" s="80">
        <v>2013</v>
      </c>
      <c r="B52" s="81">
        <f t="shared" si="6"/>
        <v>3289</v>
      </c>
      <c r="C52" s="82">
        <f t="shared" si="5"/>
        <v>16</v>
      </c>
      <c r="D52" s="69"/>
      <c r="E52" s="69"/>
      <c r="F52" s="69"/>
      <c r="G52" s="69"/>
      <c r="H52" s="69"/>
      <c r="I52" s="70">
        <f t="shared" si="4"/>
        <v>3288.8272727272738</v>
      </c>
    </row>
    <row r="53" spans="1:9" ht="15" customHeight="1">
      <c r="A53" s="80">
        <v>2014</v>
      </c>
      <c r="B53" s="81">
        <f t="shared" si="6"/>
        <v>3122</v>
      </c>
      <c r="C53" s="82">
        <f t="shared" si="5"/>
        <v>17</v>
      </c>
      <c r="D53" s="69"/>
      <c r="E53" s="69"/>
      <c r="F53" s="69"/>
      <c r="G53" s="69"/>
      <c r="H53" s="69"/>
      <c r="I53" s="70">
        <f t="shared" si="4"/>
        <v>3122.1090909090922</v>
      </c>
    </row>
    <row r="54" spans="1:9" ht="15" customHeight="1">
      <c r="A54" s="80">
        <v>2015</v>
      </c>
      <c r="B54" s="81">
        <f t="shared" si="6"/>
        <v>2955</v>
      </c>
      <c r="C54" s="82">
        <f t="shared" si="5"/>
        <v>18</v>
      </c>
      <c r="D54" s="69"/>
      <c r="E54" s="69"/>
      <c r="F54" s="69"/>
      <c r="G54" s="69"/>
      <c r="H54" s="69"/>
      <c r="I54" s="70">
        <f t="shared" si="4"/>
        <v>2955.3909090909101</v>
      </c>
    </row>
    <row r="55" spans="1:9" ht="15" customHeight="1">
      <c r="A55" s="80">
        <v>2016</v>
      </c>
      <c r="B55" s="81">
        <f t="shared" si="6"/>
        <v>2789</v>
      </c>
      <c r="C55" s="82">
        <f t="shared" si="5"/>
        <v>19</v>
      </c>
      <c r="D55" s="69"/>
      <c r="E55" s="69"/>
      <c r="F55" s="69"/>
      <c r="G55" s="69"/>
      <c r="H55" s="69"/>
      <c r="I55" s="70">
        <f t="shared" si="4"/>
        <v>2788.6727272727285</v>
      </c>
    </row>
    <row r="56" spans="1:9" ht="15" customHeight="1">
      <c r="A56" s="80">
        <v>2017</v>
      </c>
      <c r="B56" s="81">
        <f t="shared" si="6"/>
        <v>2622</v>
      </c>
      <c r="C56" s="82">
        <f t="shared" si="5"/>
        <v>20</v>
      </c>
      <c r="D56" s="69"/>
      <c r="E56" s="69"/>
      <c r="F56" s="69"/>
      <c r="G56" s="69"/>
      <c r="H56" s="69"/>
      <c r="I56" s="70">
        <f t="shared" si="4"/>
        <v>2621.9545454545469</v>
      </c>
    </row>
    <row r="57" spans="1:9" ht="15" customHeight="1">
      <c r="A57" s="80">
        <v>2018</v>
      </c>
      <c r="B57" s="81">
        <f t="shared" si="6"/>
        <v>2455</v>
      </c>
      <c r="C57" s="82">
        <f t="shared" si="5"/>
        <v>21</v>
      </c>
      <c r="D57" s="69"/>
      <c r="E57" s="69"/>
      <c r="F57" s="69"/>
      <c r="G57" s="69"/>
      <c r="H57" s="69"/>
      <c r="I57" s="70">
        <f t="shared" si="4"/>
        <v>2455.2363636363648</v>
      </c>
    </row>
    <row r="58" spans="1:9" ht="15" customHeight="1">
      <c r="A58" s="80">
        <v>2019</v>
      </c>
      <c r="B58" s="81">
        <f t="shared" si="6"/>
        <v>2289</v>
      </c>
      <c r="C58" s="82">
        <f t="shared" si="5"/>
        <v>22</v>
      </c>
      <c r="D58" s="69"/>
      <c r="E58" s="69"/>
      <c r="F58" s="69"/>
      <c r="G58" s="69"/>
      <c r="H58" s="69"/>
      <c r="I58" s="70">
        <f t="shared" si="4"/>
        <v>2288.5181818181832</v>
      </c>
    </row>
    <row r="59" spans="1:9" ht="15" customHeight="1">
      <c r="A59" s="80">
        <v>2020</v>
      </c>
      <c r="B59" s="81">
        <f t="shared" si="6"/>
        <v>2122</v>
      </c>
      <c r="C59" s="82">
        <f t="shared" si="5"/>
        <v>23</v>
      </c>
      <c r="D59" s="69"/>
      <c r="E59" s="69"/>
      <c r="F59" s="69"/>
      <c r="G59" s="69"/>
      <c r="H59" s="69"/>
      <c r="I59" s="70">
        <f t="shared" si="4"/>
        <v>2121.8000000000015</v>
      </c>
    </row>
    <row r="60" spans="1:9" ht="15" customHeight="1">
      <c r="A60" s="80">
        <v>2021</v>
      </c>
      <c r="B60" s="81">
        <f t="shared" si="6"/>
        <v>1955</v>
      </c>
      <c r="C60" s="82">
        <f t="shared" si="5"/>
        <v>24</v>
      </c>
      <c r="D60" s="69"/>
      <c r="E60" s="69"/>
      <c r="F60" s="69"/>
      <c r="G60" s="69"/>
      <c r="H60" s="69"/>
      <c r="I60" s="70">
        <f t="shared" si="4"/>
        <v>1955.0818181818195</v>
      </c>
    </row>
    <row r="61" spans="1:9" ht="15" customHeight="1">
      <c r="A61" s="80">
        <v>2022</v>
      </c>
      <c r="B61" s="81">
        <f t="shared" si="6"/>
        <v>1788</v>
      </c>
      <c r="C61" s="82">
        <f t="shared" si="5"/>
        <v>25</v>
      </c>
      <c r="D61" s="69"/>
      <c r="E61" s="69"/>
      <c r="F61" s="69"/>
      <c r="G61" s="69"/>
      <c r="H61" s="69"/>
      <c r="I61" s="70">
        <f t="shared" si="4"/>
        <v>1788.3636363636379</v>
      </c>
    </row>
    <row r="62" spans="1:9" ht="15" customHeight="1">
      <c r="A62" s="80">
        <v>2023</v>
      </c>
      <c r="B62" s="81">
        <f t="shared" si="6"/>
        <v>1622</v>
      </c>
      <c r="C62" s="82">
        <f t="shared" si="5"/>
        <v>26</v>
      </c>
      <c r="D62" s="69"/>
      <c r="E62" s="69"/>
      <c r="F62" s="69"/>
      <c r="G62" s="69"/>
      <c r="H62" s="69"/>
      <c r="I62" s="70">
        <f t="shared" si="4"/>
        <v>1621.6454545454562</v>
      </c>
    </row>
    <row r="63" spans="1:9" ht="15" customHeight="1">
      <c r="A63" s="80">
        <v>2024</v>
      </c>
      <c r="B63" s="81">
        <f t="shared" si="6"/>
        <v>1455</v>
      </c>
      <c r="C63" s="67">
        <f t="shared" si="5"/>
        <v>27</v>
      </c>
      <c r="D63" s="69"/>
      <c r="E63" s="69"/>
      <c r="F63" s="69"/>
      <c r="G63" s="69"/>
      <c r="H63" s="69"/>
      <c r="I63" s="70">
        <f t="shared" si="4"/>
        <v>1454.9272727272746</v>
      </c>
    </row>
    <row r="64" spans="1:9" ht="15" customHeight="1">
      <c r="A64" s="85">
        <v>2025</v>
      </c>
      <c r="B64" s="86">
        <f t="shared" si="6"/>
        <v>1288</v>
      </c>
      <c r="C64" s="87">
        <f t="shared" si="5"/>
        <v>28</v>
      </c>
      <c r="D64" s="89"/>
      <c r="E64" s="89"/>
      <c r="F64" s="89"/>
      <c r="G64" s="89"/>
      <c r="H64" s="89"/>
      <c r="I64" s="91">
        <f t="shared" si="4"/>
        <v>1288.209090909093</v>
      </c>
    </row>
    <row r="65" spans="1:11" ht="15" customHeight="1">
      <c r="A65" s="56" t="s">
        <v>79</v>
      </c>
      <c r="B65" s="57"/>
    </row>
    <row r="66" spans="1:11" ht="15" customHeight="1">
      <c r="A66" s="58" t="s">
        <v>32</v>
      </c>
      <c r="B66" s="59" t="s">
        <v>40</v>
      </c>
      <c r="C66" s="59" t="s">
        <v>34</v>
      </c>
      <c r="D66" s="59" t="s">
        <v>33</v>
      </c>
      <c r="E66" s="103"/>
      <c r="F66" s="60"/>
      <c r="G66" s="61"/>
      <c r="H66" s="63" t="s">
        <v>250</v>
      </c>
      <c r="I66" s="64">
        <f>RSQ(I67:I77,B67:B77)</f>
        <v>0.97858310890554012</v>
      </c>
    </row>
    <row r="67" spans="1:11" ht="15" customHeight="1">
      <c r="A67" s="65">
        <v>1997</v>
      </c>
      <c r="B67" s="104">
        <f t="shared" ref="B67:B77" si="7">B5</f>
        <v>5872</v>
      </c>
      <c r="C67" s="105">
        <f t="shared" ref="C67:C95" si="8">LN(B67)</f>
        <v>8.6779505702943514</v>
      </c>
      <c r="D67" s="67">
        <v>0</v>
      </c>
      <c r="E67" s="106"/>
      <c r="F67" s="53"/>
      <c r="G67" s="69"/>
      <c r="H67" s="265"/>
      <c r="I67" s="109">
        <f t="shared" ref="I67:I95" si="9">ROUND($F$69*(1+$F$68)^(D67),1)</f>
        <v>5872</v>
      </c>
    </row>
    <row r="68" spans="1:11" ht="15" customHeight="1">
      <c r="A68" s="65" t="e">
        <f t="shared" ref="A68:A77" si="10">A6</f>
        <v>#REF!</v>
      </c>
      <c r="B68" s="104">
        <f t="shared" si="7"/>
        <v>5835</v>
      </c>
      <c r="C68" s="105">
        <f t="shared" si="8"/>
        <v>8.6716295447206555</v>
      </c>
      <c r="D68" s="67">
        <f>+D67+1</f>
        <v>1</v>
      </c>
      <c r="E68" s="106" t="s">
        <v>37</v>
      </c>
      <c r="F68" s="73">
        <f>ROUND((B77/B67)^(1/D77)-1,5)</f>
        <v>-2.9020000000000001E-2</v>
      </c>
      <c r="G68" s="107"/>
      <c r="H68" s="108"/>
      <c r="I68" s="109">
        <f t="shared" si="9"/>
        <v>5701.6</v>
      </c>
    </row>
    <row r="69" spans="1:11" ht="15" customHeight="1">
      <c r="A69" s="65" t="e">
        <f t="shared" si="10"/>
        <v>#REF!</v>
      </c>
      <c r="B69" s="104">
        <f t="shared" si="7"/>
        <v>5719</v>
      </c>
      <c r="C69" s="105">
        <f t="shared" si="8"/>
        <v>8.6515492439153157</v>
      </c>
      <c r="D69" s="67">
        <f t="shared" ref="D69:D95" si="11">D68+1</f>
        <v>2</v>
      </c>
      <c r="E69" s="106" t="s">
        <v>80</v>
      </c>
      <c r="F69" s="110">
        <f>B67</f>
        <v>5872</v>
      </c>
      <c r="G69" s="107"/>
      <c r="H69" s="108"/>
      <c r="I69" s="109">
        <f t="shared" si="9"/>
        <v>5536.1</v>
      </c>
      <c r="K69" s="111"/>
    </row>
    <row r="70" spans="1:11" ht="15" customHeight="1">
      <c r="A70" s="65" t="e">
        <f t="shared" si="10"/>
        <v>#REF!</v>
      </c>
      <c r="B70" s="104">
        <f t="shared" si="7"/>
        <v>5594</v>
      </c>
      <c r="C70" s="105">
        <f t="shared" si="8"/>
        <v>8.6294498737619048</v>
      </c>
      <c r="D70" s="67">
        <f t="shared" si="11"/>
        <v>3</v>
      </c>
      <c r="E70" s="106" t="s">
        <v>77</v>
      </c>
      <c r="F70" s="73">
        <f>I66</f>
        <v>0.97858310890554012</v>
      </c>
      <c r="G70" s="108"/>
      <c r="H70" s="108"/>
      <c r="I70" s="109">
        <f t="shared" si="9"/>
        <v>5375.5</v>
      </c>
    </row>
    <row r="71" spans="1:11" ht="15" customHeight="1">
      <c r="A71" s="65" t="e">
        <f t="shared" si="10"/>
        <v>#REF!</v>
      </c>
      <c r="B71" s="104">
        <f t="shared" si="7"/>
        <v>5248</v>
      </c>
      <c r="C71" s="105">
        <f t="shared" si="8"/>
        <v>8.5656023306239248</v>
      </c>
      <c r="D71" s="67">
        <f t="shared" si="11"/>
        <v>4</v>
      </c>
      <c r="E71" s="106"/>
      <c r="F71" s="73"/>
      <c r="G71" s="108"/>
      <c r="H71" s="108"/>
      <c r="I71" s="109">
        <f t="shared" si="9"/>
        <v>5219.5</v>
      </c>
    </row>
    <row r="72" spans="1:11" ht="15" customHeight="1">
      <c r="A72" s="65" t="e">
        <f t="shared" si="10"/>
        <v>#REF!</v>
      </c>
      <c r="B72" s="104">
        <f t="shared" si="7"/>
        <v>5034</v>
      </c>
      <c r="C72" s="105">
        <f t="shared" si="8"/>
        <v>8.5239701756952613</v>
      </c>
      <c r="D72" s="67">
        <f t="shared" si="11"/>
        <v>5</v>
      </c>
      <c r="E72" s="106" t="s">
        <v>81</v>
      </c>
      <c r="F72" s="72"/>
      <c r="G72" s="108"/>
      <c r="H72" s="108"/>
      <c r="I72" s="109">
        <f t="shared" si="9"/>
        <v>5068</v>
      </c>
    </row>
    <row r="73" spans="1:11" ht="15" customHeight="1">
      <c r="A73" s="65" t="e">
        <f t="shared" si="10"/>
        <v>#REF!</v>
      </c>
      <c r="B73" s="104">
        <f t="shared" si="7"/>
        <v>4835</v>
      </c>
      <c r="C73" s="105">
        <f t="shared" si="8"/>
        <v>8.4836364078873938</v>
      </c>
      <c r="D73" s="67">
        <f t="shared" si="11"/>
        <v>6</v>
      </c>
      <c r="E73" s="112"/>
      <c r="F73" s="113"/>
      <c r="G73" s="108"/>
      <c r="H73" s="108"/>
      <c r="I73" s="109">
        <f t="shared" si="9"/>
        <v>4920.8999999999996</v>
      </c>
    </row>
    <row r="74" spans="1:11" ht="15" customHeight="1">
      <c r="A74" s="65" t="e">
        <f t="shared" si="10"/>
        <v>#REF!</v>
      </c>
      <c r="B74" s="104">
        <f t="shared" si="7"/>
        <v>4742</v>
      </c>
      <c r="C74" s="105">
        <f t="shared" si="8"/>
        <v>8.4642142666253513</v>
      </c>
      <c r="D74" s="67">
        <f t="shared" si="11"/>
        <v>7</v>
      </c>
      <c r="E74" s="114"/>
      <c r="F74" s="113"/>
      <c r="G74" s="108"/>
      <c r="H74" s="108"/>
      <c r="I74" s="109">
        <f t="shared" si="9"/>
        <v>4778.1000000000004</v>
      </c>
    </row>
    <row r="75" spans="1:11" ht="15" customHeight="1">
      <c r="A75" s="65" t="e">
        <f t="shared" si="10"/>
        <v>#REF!</v>
      </c>
      <c r="B75" s="104">
        <f t="shared" si="7"/>
        <v>4623</v>
      </c>
      <c r="C75" s="105">
        <f t="shared" si="8"/>
        <v>8.4387991239882254</v>
      </c>
      <c r="D75" s="67">
        <f t="shared" si="11"/>
        <v>8</v>
      </c>
      <c r="E75" s="114"/>
      <c r="F75" s="113"/>
      <c r="G75" s="108"/>
      <c r="H75" s="108"/>
      <c r="I75" s="109">
        <f t="shared" si="9"/>
        <v>4639.5</v>
      </c>
    </row>
    <row r="76" spans="1:11" ht="15" customHeight="1">
      <c r="A76" s="65" t="e">
        <f t="shared" si="10"/>
        <v>#REF!</v>
      </c>
      <c r="B76" s="104">
        <f t="shared" si="7"/>
        <v>4474</v>
      </c>
      <c r="C76" s="105">
        <f t="shared" si="8"/>
        <v>8.4060381420500754</v>
      </c>
      <c r="D76" s="67">
        <f t="shared" si="11"/>
        <v>9</v>
      </c>
      <c r="E76" s="108"/>
      <c r="F76" s="108"/>
      <c r="G76" s="115"/>
      <c r="H76" s="108"/>
      <c r="I76" s="109">
        <f t="shared" si="9"/>
        <v>4504.8</v>
      </c>
    </row>
    <row r="77" spans="1:11" s="100" customFormat="1" ht="15" customHeight="1" thickBot="1">
      <c r="A77" s="97" t="e">
        <f t="shared" si="10"/>
        <v>#REF!</v>
      </c>
      <c r="B77" s="116">
        <f t="shared" si="7"/>
        <v>4374</v>
      </c>
      <c r="C77" s="117">
        <f t="shared" si="8"/>
        <v>8.3834332012367128</v>
      </c>
      <c r="D77" s="99">
        <f t="shared" si="11"/>
        <v>10</v>
      </c>
      <c r="E77" s="118"/>
      <c r="F77" s="118"/>
      <c r="G77" s="119"/>
      <c r="H77" s="118"/>
      <c r="I77" s="120">
        <f t="shared" si="9"/>
        <v>4374.1000000000004</v>
      </c>
    </row>
    <row r="78" spans="1:11" s="78" customFormat="1" ht="15" customHeight="1" thickTop="1">
      <c r="A78" s="80">
        <v>2008</v>
      </c>
      <c r="B78" s="81">
        <f t="shared" ref="B78:B95" si="12">ROUND(F$69*(1+F$68)^D78,0)</f>
        <v>4247</v>
      </c>
      <c r="C78" s="121">
        <f t="shared" si="8"/>
        <v>8.3539681303132713</v>
      </c>
      <c r="D78" s="77">
        <f t="shared" si="11"/>
        <v>11</v>
      </c>
      <c r="E78" s="259"/>
      <c r="F78" s="259"/>
      <c r="G78" s="260"/>
      <c r="H78" s="259"/>
      <c r="I78" s="123">
        <f t="shared" si="9"/>
        <v>4247.2</v>
      </c>
    </row>
    <row r="79" spans="1:11" ht="15" customHeight="1">
      <c r="A79" s="80">
        <v>2009</v>
      </c>
      <c r="B79" s="81">
        <f t="shared" si="12"/>
        <v>4124</v>
      </c>
      <c r="C79" s="105">
        <f t="shared" si="8"/>
        <v>8.3245788451368501</v>
      </c>
      <c r="D79" s="67">
        <f t="shared" si="11"/>
        <v>12</v>
      </c>
      <c r="E79" s="83"/>
      <c r="F79" s="69"/>
      <c r="G79" s="69"/>
      <c r="H79" s="69"/>
      <c r="I79" s="109">
        <f t="shared" si="9"/>
        <v>4123.8999999999996</v>
      </c>
    </row>
    <row r="80" spans="1:11" ht="15" customHeight="1">
      <c r="A80" s="80">
        <v>2010</v>
      </c>
      <c r="B80" s="81">
        <f t="shared" si="12"/>
        <v>4004</v>
      </c>
      <c r="C80" s="105">
        <f t="shared" si="8"/>
        <v>8.2950491404351112</v>
      </c>
      <c r="D80" s="67">
        <f t="shared" si="11"/>
        <v>13</v>
      </c>
      <c r="E80" s="83"/>
      <c r="F80" s="69"/>
      <c r="G80" s="69"/>
      <c r="H80" s="69"/>
      <c r="I80" s="109">
        <f t="shared" si="9"/>
        <v>4004.2</v>
      </c>
    </row>
    <row r="81" spans="1:9" ht="15" customHeight="1">
      <c r="A81" s="80">
        <v>2011</v>
      </c>
      <c r="B81" s="81">
        <f t="shared" si="12"/>
        <v>3888</v>
      </c>
      <c r="C81" s="105">
        <f t="shared" si="8"/>
        <v>8.2656501655803289</v>
      </c>
      <c r="D81" s="67">
        <f t="shared" si="11"/>
        <v>14</v>
      </c>
      <c r="E81" s="83"/>
      <c r="F81" s="69"/>
      <c r="G81" s="69"/>
      <c r="H81" s="69"/>
      <c r="I81" s="109">
        <f t="shared" si="9"/>
        <v>3888</v>
      </c>
    </row>
    <row r="82" spans="1:9" ht="15" customHeight="1">
      <c r="A82" s="80">
        <v>2012</v>
      </c>
      <c r="B82" s="81">
        <f t="shared" si="12"/>
        <v>3775</v>
      </c>
      <c r="C82" s="105">
        <f t="shared" si="8"/>
        <v>8.2361556616831244</v>
      </c>
      <c r="D82" s="67">
        <f t="shared" si="11"/>
        <v>15</v>
      </c>
      <c r="E82" s="83"/>
      <c r="F82" s="69"/>
      <c r="G82" s="69"/>
      <c r="H82" s="69"/>
      <c r="I82" s="109">
        <f t="shared" si="9"/>
        <v>3775.2</v>
      </c>
    </row>
    <row r="83" spans="1:9" ht="15" customHeight="1">
      <c r="A83" s="80">
        <v>2013</v>
      </c>
      <c r="B83" s="81">
        <f t="shared" si="12"/>
        <v>3666</v>
      </c>
      <c r="C83" s="105">
        <f t="shared" si="8"/>
        <v>8.2068564283996501</v>
      </c>
      <c r="D83" s="67">
        <f t="shared" si="11"/>
        <v>16</v>
      </c>
      <c r="E83" s="83"/>
      <c r="F83" s="69"/>
      <c r="G83" s="69"/>
      <c r="H83" s="69"/>
      <c r="I83" s="109">
        <f t="shared" si="9"/>
        <v>3665.6</v>
      </c>
    </row>
    <row r="84" spans="1:9" ht="15" customHeight="1">
      <c r="A84" s="80">
        <v>2014</v>
      </c>
      <c r="B84" s="81">
        <f t="shared" si="12"/>
        <v>3559</v>
      </c>
      <c r="C84" s="105">
        <f t="shared" si="8"/>
        <v>8.1772348855101935</v>
      </c>
      <c r="D84" s="67">
        <f t="shared" si="11"/>
        <v>17</v>
      </c>
      <c r="E84" s="83"/>
      <c r="F84" s="69"/>
      <c r="G84" s="69"/>
      <c r="H84" s="69"/>
      <c r="I84" s="109">
        <f t="shared" si="9"/>
        <v>3559.3</v>
      </c>
    </row>
    <row r="85" spans="1:9" ht="15" customHeight="1">
      <c r="A85" s="80">
        <v>2015</v>
      </c>
      <c r="B85" s="81">
        <f t="shared" si="12"/>
        <v>3456</v>
      </c>
      <c r="C85" s="105">
        <f t="shared" si="8"/>
        <v>8.1478671299239469</v>
      </c>
      <c r="D85" s="67">
        <f t="shared" si="11"/>
        <v>18</v>
      </c>
      <c r="E85" s="83"/>
      <c r="F85" s="69"/>
      <c r="G85" s="69"/>
      <c r="H85" s="69"/>
      <c r="I85" s="109">
        <f t="shared" si="9"/>
        <v>3456</v>
      </c>
    </row>
    <row r="86" spans="1:9" ht="15" customHeight="1">
      <c r="A86" s="80">
        <v>2016</v>
      </c>
      <c r="B86" s="81">
        <f t="shared" si="12"/>
        <v>3356</v>
      </c>
      <c r="C86" s="105">
        <f t="shared" si="8"/>
        <v>8.1185050675870976</v>
      </c>
      <c r="D86" s="67">
        <f t="shared" si="11"/>
        <v>19</v>
      </c>
      <c r="E86" s="83"/>
      <c r="F86" s="69"/>
      <c r="G86" s="69"/>
      <c r="H86" s="69"/>
      <c r="I86" s="109">
        <f t="shared" si="9"/>
        <v>3355.7</v>
      </c>
    </row>
    <row r="87" spans="1:9" ht="15" customHeight="1">
      <c r="A87" s="80">
        <v>2017</v>
      </c>
      <c r="B87" s="81">
        <f t="shared" si="12"/>
        <v>3258</v>
      </c>
      <c r="C87" s="105">
        <f t="shared" si="8"/>
        <v>8.0888687891619906</v>
      </c>
      <c r="D87" s="67">
        <f t="shared" si="11"/>
        <v>20</v>
      </c>
      <c r="E87" s="83"/>
      <c r="F87" s="69"/>
      <c r="G87" s="69"/>
      <c r="H87" s="69"/>
      <c r="I87" s="109">
        <f t="shared" si="9"/>
        <v>3258.3</v>
      </c>
    </row>
    <row r="88" spans="1:9" ht="15" customHeight="1">
      <c r="A88" s="80">
        <v>2018</v>
      </c>
      <c r="B88" s="81">
        <f t="shared" si="12"/>
        <v>3164</v>
      </c>
      <c r="C88" s="105">
        <f t="shared" si="8"/>
        <v>8.0595923288875451</v>
      </c>
      <c r="D88" s="67">
        <f t="shared" si="11"/>
        <v>21</v>
      </c>
      <c r="E88" s="83"/>
      <c r="F88" s="69"/>
      <c r="G88" s="69"/>
      <c r="H88" s="69"/>
      <c r="I88" s="109">
        <f t="shared" si="9"/>
        <v>3163.7</v>
      </c>
    </row>
    <row r="89" spans="1:9" ht="15" customHeight="1">
      <c r="A89" s="80">
        <v>2019</v>
      </c>
      <c r="B89" s="81">
        <f t="shared" si="12"/>
        <v>3072</v>
      </c>
      <c r="C89" s="105">
        <f t="shared" si="8"/>
        <v>8.0300840942675631</v>
      </c>
      <c r="D89" s="67">
        <f t="shared" si="11"/>
        <v>22</v>
      </c>
      <c r="E89" s="83"/>
      <c r="F89" s="69"/>
      <c r="G89" s="69"/>
      <c r="H89" s="69"/>
      <c r="I89" s="109">
        <f t="shared" si="9"/>
        <v>3071.9</v>
      </c>
    </row>
    <row r="90" spans="1:9" ht="15" customHeight="1">
      <c r="A90" s="80">
        <v>2020</v>
      </c>
      <c r="B90" s="81">
        <f t="shared" si="12"/>
        <v>2983</v>
      </c>
      <c r="C90" s="105">
        <f t="shared" si="8"/>
        <v>8.000684784514748</v>
      </c>
      <c r="D90" s="67">
        <f t="shared" si="11"/>
        <v>23</v>
      </c>
      <c r="E90" s="83"/>
      <c r="F90" s="69"/>
      <c r="G90" s="69"/>
      <c r="H90" s="69"/>
      <c r="I90" s="109">
        <f t="shared" si="9"/>
        <v>2982.8</v>
      </c>
    </row>
    <row r="91" spans="1:9" ht="15" customHeight="1">
      <c r="A91" s="80">
        <v>2021</v>
      </c>
      <c r="B91" s="81">
        <f t="shared" si="12"/>
        <v>2896</v>
      </c>
      <c r="C91" s="105">
        <f t="shared" si="8"/>
        <v>7.9710857535056068</v>
      </c>
      <c r="D91" s="67">
        <f t="shared" si="11"/>
        <v>24</v>
      </c>
      <c r="E91" s="83"/>
      <c r="F91" s="69"/>
      <c r="G91" s="69"/>
      <c r="H91" s="69"/>
      <c r="I91" s="109">
        <f t="shared" si="9"/>
        <v>2896.2</v>
      </c>
    </row>
    <row r="92" spans="1:9" ht="15" customHeight="1">
      <c r="A92" s="80">
        <v>2022</v>
      </c>
      <c r="B92" s="81">
        <f t="shared" si="12"/>
        <v>2812</v>
      </c>
      <c r="C92" s="105">
        <f t="shared" si="8"/>
        <v>7.9416512529305558</v>
      </c>
      <c r="D92" s="67">
        <f t="shared" si="11"/>
        <v>25</v>
      </c>
      <c r="E92" s="83"/>
      <c r="F92" s="69"/>
      <c r="G92" s="69"/>
      <c r="H92" s="69"/>
      <c r="I92" s="109">
        <f t="shared" si="9"/>
        <v>2812.2</v>
      </c>
    </row>
    <row r="93" spans="1:9" ht="15" customHeight="1">
      <c r="A93" s="80">
        <v>2023</v>
      </c>
      <c r="B93" s="81">
        <f t="shared" si="12"/>
        <v>2731</v>
      </c>
      <c r="C93" s="105">
        <f t="shared" si="8"/>
        <v>7.9124231214737053</v>
      </c>
      <c r="D93" s="67">
        <f t="shared" si="11"/>
        <v>26</v>
      </c>
      <c r="E93" s="83"/>
      <c r="F93" s="69"/>
      <c r="G93" s="69"/>
      <c r="H93" s="69"/>
      <c r="I93" s="109">
        <f t="shared" si="9"/>
        <v>2730.6</v>
      </c>
    </row>
    <row r="94" spans="1:9" ht="15" customHeight="1">
      <c r="A94" s="80">
        <v>2024</v>
      </c>
      <c r="B94" s="81">
        <f t="shared" si="12"/>
        <v>2651</v>
      </c>
      <c r="C94" s="105">
        <f t="shared" si="8"/>
        <v>7.8826922062890254</v>
      </c>
      <c r="D94" s="67">
        <f t="shared" si="11"/>
        <v>27</v>
      </c>
      <c r="E94" s="69"/>
      <c r="F94" s="69"/>
      <c r="G94" s="69"/>
      <c r="H94" s="69"/>
      <c r="I94" s="109">
        <f t="shared" si="9"/>
        <v>2651.3</v>
      </c>
    </row>
    <row r="95" spans="1:9" ht="15" customHeight="1">
      <c r="A95" s="85">
        <v>2025</v>
      </c>
      <c r="B95" s="86">
        <f t="shared" si="12"/>
        <v>2574</v>
      </c>
      <c r="C95" s="124">
        <f t="shared" si="8"/>
        <v>7.8532163881560724</v>
      </c>
      <c r="D95" s="87">
        <f t="shared" si="11"/>
        <v>28</v>
      </c>
      <c r="E95" s="89"/>
      <c r="F95" s="89"/>
      <c r="G95" s="89"/>
      <c r="H95" s="89"/>
      <c r="I95" s="125">
        <f t="shared" si="9"/>
        <v>2574.4</v>
      </c>
    </row>
    <row r="96" spans="1:9" ht="15" customHeight="1">
      <c r="A96" s="56" t="s">
        <v>82</v>
      </c>
      <c r="B96" s="57"/>
    </row>
    <row r="97" spans="1:9" ht="15" customHeight="1">
      <c r="A97" s="58" t="s">
        <v>32</v>
      </c>
      <c r="B97" s="59" t="s">
        <v>40</v>
      </c>
      <c r="C97" s="59" t="s">
        <v>83</v>
      </c>
      <c r="D97" s="59" t="s">
        <v>33</v>
      </c>
      <c r="E97" s="59" t="s">
        <v>35</v>
      </c>
      <c r="F97" s="103"/>
      <c r="G97" s="60"/>
      <c r="H97" s="63" t="s">
        <v>250</v>
      </c>
      <c r="I97" s="64" t="e">
        <f>RSQ(I98:I108,B98:B108)</f>
        <v>#VALUE!</v>
      </c>
    </row>
    <row r="98" spans="1:9" ht="15" customHeight="1">
      <c r="A98" s="65">
        <v>1997</v>
      </c>
      <c r="B98" s="104">
        <f t="shared" ref="B98:B108" si="13">B5</f>
        <v>5872</v>
      </c>
      <c r="C98" s="126"/>
      <c r="D98" s="67">
        <v>0</v>
      </c>
      <c r="E98" s="67"/>
      <c r="F98" s="106"/>
      <c r="G98" s="53"/>
      <c r="H98" s="265"/>
      <c r="I98" s="276" t="e">
        <f>$B$98+$G$103*D98^$G$99</f>
        <v>#VALUE!</v>
      </c>
    </row>
    <row r="99" spans="1:9" ht="15" customHeight="1">
      <c r="A99" s="65" t="e">
        <f t="shared" ref="A99:A108" si="14">A6</f>
        <v>#REF!</v>
      </c>
      <c r="B99" s="104">
        <f t="shared" si="13"/>
        <v>5835</v>
      </c>
      <c r="C99" s="126" t="e">
        <f t="shared" ref="C99:C108" si="15">LN(-B$98+B99)</f>
        <v>#NUM!</v>
      </c>
      <c r="D99" s="67">
        <f>+D98+1</f>
        <v>1</v>
      </c>
      <c r="E99" s="67">
        <f t="shared" ref="E99:E108" si="16">LN(D99)</f>
        <v>0</v>
      </c>
      <c r="F99" s="106" t="s">
        <v>75</v>
      </c>
      <c r="G99" s="73" t="e">
        <f>INDEX(LINEST(C99:C108,E99:E108),1)</f>
        <v>#VALUE!</v>
      </c>
      <c r="H99" s="127"/>
      <c r="I99" s="128" t="e">
        <f t="shared" ref="I99:I126" si="17">$B$98+$G$103*D99^$G$99</f>
        <v>#VALUE!</v>
      </c>
    </row>
    <row r="100" spans="1:9" ht="15" customHeight="1">
      <c r="A100" s="65" t="e">
        <f t="shared" si="14"/>
        <v>#REF!</v>
      </c>
      <c r="B100" s="104">
        <f t="shared" si="13"/>
        <v>5719</v>
      </c>
      <c r="C100" s="126" t="e">
        <f t="shared" si="15"/>
        <v>#NUM!</v>
      </c>
      <c r="D100" s="67">
        <f t="shared" ref="D100:D126" si="18">D99+1</f>
        <v>2</v>
      </c>
      <c r="E100" s="67">
        <f t="shared" si="16"/>
        <v>0.69314718055994529</v>
      </c>
      <c r="F100" s="106" t="s">
        <v>76</v>
      </c>
      <c r="G100" s="73" t="e">
        <f>INDEX(LINEST(C99:C108,E99:E108),2)</f>
        <v>#VALUE!</v>
      </c>
      <c r="H100" s="129" t="s">
        <v>84</v>
      </c>
      <c r="I100" s="128" t="e">
        <f t="shared" si="17"/>
        <v>#VALUE!</v>
      </c>
    </row>
    <row r="101" spans="1:9" ht="15" customHeight="1">
      <c r="A101" s="65" t="e">
        <f t="shared" si="14"/>
        <v>#REF!</v>
      </c>
      <c r="B101" s="104">
        <f t="shared" si="13"/>
        <v>5594</v>
      </c>
      <c r="C101" s="126" t="e">
        <f t="shared" si="15"/>
        <v>#NUM!</v>
      </c>
      <c r="D101" s="67">
        <f t="shared" si="18"/>
        <v>3</v>
      </c>
      <c r="E101" s="67">
        <f t="shared" si="16"/>
        <v>1.0986122886681098</v>
      </c>
      <c r="F101" s="69"/>
      <c r="G101" s="130"/>
      <c r="H101" s="127"/>
      <c r="I101" s="128" t="e">
        <f t="shared" si="17"/>
        <v>#VALUE!</v>
      </c>
    </row>
    <row r="102" spans="1:9" ht="15" customHeight="1">
      <c r="A102" s="65" t="e">
        <f t="shared" si="14"/>
        <v>#REF!</v>
      </c>
      <c r="B102" s="104">
        <f t="shared" si="13"/>
        <v>5248</v>
      </c>
      <c r="C102" s="126" t="e">
        <f t="shared" si="15"/>
        <v>#NUM!</v>
      </c>
      <c r="D102" s="67">
        <f t="shared" si="18"/>
        <v>4</v>
      </c>
      <c r="E102" s="67">
        <f t="shared" si="16"/>
        <v>1.3862943611198906</v>
      </c>
      <c r="F102" s="106" t="s">
        <v>77</v>
      </c>
      <c r="G102" s="73" t="e">
        <f>I97</f>
        <v>#VALUE!</v>
      </c>
      <c r="H102" s="127"/>
      <c r="I102" s="128" t="e">
        <f t="shared" si="17"/>
        <v>#VALUE!</v>
      </c>
    </row>
    <row r="103" spans="1:9" ht="15" customHeight="1">
      <c r="A103" s="65" t="e">
        <f t="shared" si="14"/>
        <v>#REF!</v>
      </c>
      <c r="B103" s="104">
        <f t="shared" si="13"/>
        <v>5034</v>
      </c>
      <c r="C103" s="126" t="e">
        <f t="shared" si="15"/>
        <v>#NUM!</v>
      </c>
      <c r="D103" s="67">
        <f t="shared" si="18"/>
        <v>5</v>
      </c>
      <c r="E103" s="67">
        <f t="shared" si="16"/>
        <v>1.6094379124341003</v>
      </c>
      <c r="F103" s="106" t="s">
        <v>38</v>
      </c>
      <c r="G103" s="131" t="e">
        <f>EXP(G100)</f>
        <v>#VALUE!</v>
      </c>
      <c r="H103" s="127"/>
      <c r="I103" s="128" t="e">
        <f t="shared" si="17"/>
        <v>#VALUE!</v>
      </c>
    </row>
    <row r="104" spans="1:9" ht="15" customHeight="1">
      <c r="A104" s="65" t="e">
        <f t="shared" si="14"/>
        <v>#REF!</v>
      </c>
      <c r="B104" s="104">
        <f t="shared" si="13"/>
        <v>4835</v>
      </c>
      <c r="C104" s="126" t="e">
        <f t="shared" si="15"/>
        <v>#NUM!</v>
      </c>
      <c r="D104" s="67">
        <f t="shared" si="18"/>
        <v>6</v>
      </c>
      <c r="E104" s="67">
        <f t="shared" si="16"/>
        <v>1.791759469228055</v>
      </c>
      <c r="F104" s="106"/>
      <c r="G104" s="53"/>
      <c r="H104" s="127"/>
      <c r="I104" s="128" t="e">
        <f t="shared" si="17"/>
        <v>#VALUE!</v>
      </c>
    </row>
    <row r="105" spans="1:9" ht="15" customHeight="1">
      <c r="A105" s="65" t="e">
        <f t="shared" si="14"/>
        <v>#REF!</v>
      </c>
      <c r="B105" s="104">
        <f t="shared" si="13"/>
        <v>4742</v>
      </c>
      <c r="C105" s="126" t="e">
        <f t="shared" si="15"/>
        <v>#NUM!</v>
      </c>
      <c r="D105" s="67">
        <f t="shared" si="18"/>
        <v>7</v>
      </c>
      <c r="E105" s="67">
        <f t="shared" si="16"/>
        <v>1.9459101490553132</v>
      </c>
      <c r="F105" s="106"/>
      <c r="G105" s="53"/>
      <c r="H105" s="127"/>
      <c r="I105" s="128" t="e">
        <f t="shared" si="17"/>
        <v>#VALUE!</v>
      </c>
    </row>
    <row r="106" spans="1:9" ht="15" customHeight="1">
      <c r="A106" s="65" t="e">
        <f t="shared" si="14"/>
        <v>#REF!</v>
      </c>
      <c r="B106" s="104">
        <f t="shared" si="13"/>
        <v>4623</v>
      </c>
      <c r="C106" s="126" t="e">
        <f t="shared" si="15"/>
        <v>#NUM!</v>
      </c>
      <c r="D106" s="67">
        <f t="shared" si="18"/>
        <v>8</v>
      </c>
      <c r="E106" s="67">
        <f t="shared" si="16"/>
        <v>2.0794415416798357</v>
      </c>
      <c r="F106" s="132" t="s">
        <v>85</v>
      </c>
      <c r="G106" s="53"/>
      <c r="H106" s="127"/>
      <c r="I106" s="128" t="e">
        <f t="shared" si="17"/>
        <v>#VALUE!</v>
      </c>
    </row>
    <row r="107" spans="1:9" ht="15" customHeight="1">
      <c r="A107" s="65" t="e">
        <f t="shared" si="14"/>
        <v>#REF!</v>
      </c>
      <c r="B107" s="104">
        <f t="shared" si="13"/>
        <v>4474</v>
      </c>
      <c r="C107" s="126" t="e">
        <f t="shared" si="15"/>
        <v>#NUM!</v>
      </c>
      <c r="D107" s="67">
        <f t="shared" si="18"/>
        <v>9</v>
      </c>
      <c r="E107" s="67">
        <f t="shared" si="16"/>
        <v>2.1972245773362196</v>
      </c>
      <c r="F107" s="132" t="s">
        <v>86</v>
      </c>
      <c r="G107" s="53"/>
      <c r="H107" s="127"/>
      <c r="I107" s="128" t="e">
        <f t="shared" si="17"/>
        <v>#VALUE!</v>
      </c>
    </row>
    <row r="108" spans="1:9" s="100" customFormat="1" ht="15" customHeight="1" thickBot="1">
      <c r="A108" s="97" t="e">
        <f t="shared" si="14"/>
        <v>#REF!</v>
      </c>
      <c r="B108" s="116">
        <f t="shared" si="13"/>
        <v>4374</v>
      </c>
      <c r="C108" s="126" t="e">
        <f t="shared" si="15"/>
        <v>#NUM!</v>
      </c>
      <c r="D108" s="99">
        <f t="shared" si="18"/>
        <v>10</v>
      </c>
      <c r="E108" s="99">
        <f t="shared" si="16"/>
        <v>2.3025850929940459</v>
      </c>
      <c r="F108" s="182"/>
      <c r="G108" s="101"/>
      <c r="H108" s="143"/>
      <c r="I108" s="144" t="e">
        <f t="shared" si="17"/>
        <v>#VALUE!</v>
      </c>
    </row>
    <row r="109" spans="1:9" s="78" customFormat="1" ht="15" customHeight="1" thickTop="1">
      <c r="A109" s="80">
        <v>2008</v>
      </c>
      <c r="B109" s="81" t="e">
        <f>ROUND(LOOKUP(0,D$98:D$108,B$98:B$108)+G$103*D109^G$99,0)</f>
        <v>#VALUE!</v>
      </c>
      <c r="C109" s="257"/>
      <c r="D109" s="77">
        <f t="shared" si="18"/>
        <v>11</v>
      </c>
      <c r="E109" s="77"/>
      <c r="F109" s="266"/>
      <c r="G109" s="256"/>
      <c r="H109" s="258"/>
      <c r="I109" s="133" t="e">
        <f t="shared" si="17"/>
        <v>#VALUE!</v>
      </c>
    </row>
    <row r="110" spans="1:9" ht="15" customHeight="1">
      <c r="A110" s="80">
        <v>2009</v>
      </c>
      <c r="B110" s="81" t="e">
        <f t="shared" ref="B110:B126" si="19">ROUND(LOOKUP(0,D$98:D$108,B$98:B$108)+G$103*D110^G$99,0)</f>
        <v>#VALUE!</v>
      </c>
      <c r="C110" s="134"/>
      <c r="D110" s="67">
        <f t="shared" si="18"/>
        <v>12</v>
      </c>
      <c r="E110" s="67"/>
      <c r="F110" s="83"/>
      <c r="G110" s="69"/>
      <c r="H110" s="84"/>
      <c r="I110" s="128" t="e">
        <f t="shared" si="17"/>
        <v>#VALUE!</v>
      </c>
    </row>
    <row r="111" spans="1:9" ht="15" customHeight="1">
      <c r="A111" s="80">
        <v>2010</v>
      </c>
      <c r="B111" s="81" t="e">
        <f t="shared" si="19"/>
        <v>#VALUE!</v>
      </c>
      <c r="C111" s="134"/>
      <c r="D111" s="67">
        <f t="shared" si="18"/>
        <v>13</v>
      </c>
      <c r="E111" s="67"/>
      <c r="F111" s="83"/>
      <c r="G111" s="69"/>
      <c r="H111" s="84"/>
      <c r="I111" s="128" t="e">
        <f t="shared" si="17"/>
        <v>#VALUE!</v>
      </c>
    </row>
    <row r="112" spans="1:9" ht="15" customHeight="1">
      <c r="A112" s="80">
        <v>2011</v>
      </c>
      <c r="B112" s="81" t="e">
        <f t="shared" si="19"/>
        <v>#VALUE!</v>
      </c>
      <c r="C112" s="134"/>
      <c r="D112" s="67">
        <f t="shared" si="18"/>
        <v>14</v>
      </c>
      <c r="E112" s="67"/>
      <c r="F112" s="83"/>
      <c r="G112" s="69"/>
      <c r="H112" s="84"/>
      <c r="I112" s="128" t="e">
        <f t="shared" si="17"/>
        <v>#VALUE!</v>
      </c>
    </row>
    <row r="113" spans="1:9" ht="15" customHeight="1">
      <c r="A113" s="80">
        <v>2012</v>
      </c>
      <c r="B113" s="81" t="e">
        <f t="shared" si="19"/>
        <v>#VALUE!</v>
      </c>
      <c r="C113" s="134"/>
      <c r="D113" s="67">
        <f t="shared" si="18"/>
        <v>15</v>
      </c>
      <c r="E113" s="67"/>
      <c r="F113" s="83"/>
      <c r="G113" s="69"/>
      <c r="H113" s="84"/>
      <c r="I113" s="128" t="e">
        <f t="shared" si="17"/>
        <v>#VALUE!</v>
      </c>
    </row>
    <row r="114" spans="1:9" ht="15" customHeight="1">
      <c r="A114" s="80">
        <v>2013</v>
      </c>
      <c r="B114" s="81" t="e">
        <f t="shared" si="19"/>
        <v>#VALUE!</v>
      </c>
      <c r="C114" s="134"/>
      <c r="D114" s="67">
        <f t="shared" si="18"/>
        <v>16</v>
      </c>
      <c r="E114" s="67"/>
      <c r="F114" s="83"/>
      <c r="G114" s="69"/>
      <c r="H114" s="84"/>
      <c r="I114" s="128" t="e">
        <f t="shared" si="17"/>
        <v>#VALUE!</v>
      </c>
    </row>
    <row r="115" spans="1:9" ht="15" customHeight="1">
      <c r="A115" s="80">
        <v>2014</v>
      </c>
      <c r="B115" s="81" t="e">
        <f t="shared" si="19"/>
        <v>#VALUE!</v>
      </c>
      <c r="C115" s="134"/>
      <c r="D115" s="67">
        <f t="shared" si="18"/>
        <v>17</v>
      </c>
      <c r="E115" s="67"/>
      <c r="F115" s="83"/>
      <c r="G115" s="69"/>
      <c r="H115" s="84"/>
      <c r="I115" s="128" t="e">
        <f t="shared" si="17"/>
        <v>#VALUE!</v>
      </c>
    </row>
    <row r="116" spans="1:9" ht="15" customHeight="1">
      <c r="A116" s="80">
        <v>2015</v>
      </c>
      <c r="B116" s="81" t="e">
        <f t="shared" si="19"/>
        <v>#VALUE!</v>
      </c>
      <c r="C116" s="134"/>
      <c r="D116" s="67">
        <f t="shared" si="18"/>
        <v>18</v>
      </c>
      <c r="E116" s="67"/>
      <c r="F116" s="83"/>
      <c r="G116" s="69"/>
      <c r="H116" s="84"/>
      <c r="I116" s="128" t="e">
        <f t="shared" si="17"/>
        <v>#VALUE!</v>
      </c>
    </row>
    <row r="117" spans="1:9" ht="15" customHeight="1">
      <c r="A117" s="80">
        <v>2016</v>
      </c>
      <c r="B117" s="81" t="e">
        <f t="shared" si="19"/>
        <v>#VALUE!</v>
      </c>
      <c r="C117" s="134"/>
      <c r="D117" s="67">
        <f t="shared" si="18"/>
        <v>19</v>
      </c>
      <c r="E117" s="67"/>
      <c r="F117" s="83"/>
      <c r="G117" s="69"/>
      <c r="H117" s="84"/>
      <c r="I117" s="128" t="e">
        <f t="shared" si="17"/>
        <v>#VALUE!</v>
      </c>
    </row>
    <row r="118" spans="1:9" ht="15" customHeight="1">
      <c r="A118" s="80">
        <v>2017</v>
      </c>
      <c r="B118" s="81" t="e">
        <f t="shared" si="19"/>
        <v>#VALUE!</v>
      </c>
      <c r="C118" s="134"/>
      <c r="D118" s="67">
        <f t="shared" si="18"/>
        <v>20</v>
      </c>
      <c r="E118" s="67"/>
      <c r="F118" s="83"/>
      <c r="G118" s="69"/>
      <c r="H118" s="84"/>
      <c r="I118" s="128" t="e">
        <f t="shared" si="17"/>
        <v>#VALUE!</v>
      </c>
    </row>
    <row r="119" spans="1:9" ht="15" customHeight="1">
      <c r="A119" s="80">
        <v>2018</v>
      </c>
      <c r="B119" s="81" t="e">
        <f t="shared" si="19"/>
        <v>#VALUE!</v>
      </c>
      <c r="C119" s="134"/>
      <c r="D119" s="67">
        <f t="shared" si="18"/>
        <v>21</v>
      </c>
      <c r="E119" s="67"/>
      <c r="F119" s="83"/>
      <c r="G119" s="69"/>
      <c r="H119" s="84"/>
      <c r="I119" s="128" t="e">
        <f t="shared" si="17"/>
        <v>#VALUE!</v>
      </c>
    </row>
    <row r="120" spans="1:9" ht="15" customHeight="1">
      <c r="A120" s="80">
        <v>2019</v>
      </c>
      <c r="B120" s="81" t="e">
        <f t="shared" si="19"/>
        <v>#VALUE!</v>
      </c>
      <c r="C120" s="134"/>
      <c r="D120" s="67">
        <f t="shared" si="18"/>
        <v>22</v>
      </c>
      <c r="E120" s="67"/>
      <c r="F120" s="83"/>
      <c r="G120" s="69"/>
      <c r="H120" s="84"/>
      <c r="I120" s="128" t="e">
        <f t="shared" si="17"/>
        <v>#VALUE!</v>
      </c>
    </row>
    <row r="121" spans="1:9" ht="15" customHeight="1">
      <c r="A121" s="80">
        <v>2020</v>
      </c>
      <c r="B121" s="81" t="e">
        <f t="shared" si="19"/>
        <v>#VALUE!</v>
      </c>
      <c r="C121" s="134"/>
      <c r="D121" s="67">
        <f t="shared" si="18"/>
        <v>23</v>
      </c>
      <c r="E121" s="67"/>
      <c r="F121" s="83"/>
      <c r="G121" s="69"/>
      <c r="H121" s="84"/>
      <c r="I121" s="128" t="e">
        <f t="shared" si="17"/>
        <v>#VALUE!</v>
      </c>
    </row>
    <row r="122" spans="1:9" ht="15" customHeight="1">
      <c r="A122" s="80">
        <v>2021</v>
      </c>
      <c r="B122" s="81" t="e">
        <f t="shared" si="19"/>
        <v>#VALUE!</v>
      </c>
      <c r="C122" s="134"/>
      <c r="D122" s="67">
        <f t="shared" si="18"/>
        <v>24</v>
      </c>
      <c r="E122" s="67"/>
      <c r="F122" s="83"/>
      <c r="G122" s="69"/>
      <c r="H122" s="84"/>
      <c r="I122" s="128" t="e">
        <f t="shared" si="17"/>
        <v>#VALUE!</v>
      </c>
    </row>
    <row r="123" spans="1:9" ht="15" customHeight="1">
      <c r="A123" s="80">
        <v>2022</v>
      </c>
      <c r="B123" s="81" t="e">
        <f t="shared" si="19"/>
        <v>#VALUE!</v>
      </c>
      <c r="C123" s="134"/>
      <c r="D123" s="67">
        <f t="shared" si="18"/>
        <v>25</v>
      </c>
      <c r="E123" s="67"/>
      <c r="F123" s="83"/>
      <c r="G123" s="69"/>
      <c r="H123" s="84"/>
      <c r="I123" s="128" t="e">
        <f t="shared" si="17"/>
        <v>#VALUE!</v>
      </c>
    </row>
    <row r="124" spans="1:9" ht="15" customHeight="1">
      <c r="A124" s="80">
        <v>2023</v>
      </c>
      <c r="B124" s="81" t="e">
        <f t="shared" si="19"/>
        <v>#VALUE!</v>
      </c>
      <c r="C124" s="134"/>
      <c r="D124" s="67">
        <f t="shared" si="18"/>
        <v>26</v>
      </c>
      <c r="E124" s="67"/>
      <c r="F124" s="83"/>
      <c r="G124" s="69"/>
      <c r="H124" s="84"/>
      <c r="I124" s="128" t="e">
        <f t="shared" si="17"/>
        <v>#VALUE!</v>
      </c>
    </row>
    <row r="125" spans="1:9" ht="15" customHeight="1">
      <c r="A125" s="80">
        <v>2024</v>
      </c>
      <c r="B125" s="81" t="e">
        <f t="shared" si="19"/>
        <v>#VALUE!</v>
      </c>
      <c r="C125" s="135"/>
      <c r="D125" s="67">
        <f t="shared" si="18"/>
        <v>27</v>
      </c>
      <c r="E125" s="67"/>
      <c r="F125" s="69"/>
      <c r="G125" s="69"/>
      <c r="H125" s="69"/>
      <c r="I125" s="136" t="e">
        <f t="shared" si="17"/>
        <v>#VALUE!</v>
      </c>
    </row>
    <row r="126" spans="1:9" ht="15" customHeight="1">
      <c r="A126" s="85">
        <v>2025</v>
      </c>
      <c r="B126" s="81" t="e">
        <f t="shared" si="19"/>
        <v>#VALUE!</v>
      </c>
      <c r="C126" s="137"/>
      <c r="D126" s="87">
        <f t="shared" si="18"/>
        <v>28</v>
      </c>
      <c r="E126" s="87"/>
      <c r="F126" s="89"/>
      <c r="G126" s="89"/>
      <c r="H126" s="89"/>
      <c r="I126" s="138" t="e">
        <f t="shared" si="17"/>
        <v>#VALUE!</v>
      </c>
    </row>
    <row r="127" spans="1:9" ht="15" customHeight="1">
      <c r="A127" s="56" t="s">
        <v>87</v>
      </c>
      <c r="B127" s="57"/>
    </row>
    <row r="128" spans="1:9" ht="15" customHeight="1">
      <c r="A128" s="58" t="s">
        <v>32</v>
      </c>
      <c r="B128" s="59" t="s">
        <v>40</v>
      </c>
      <c r="C128" s="59" t="s">
        <v>36</v>
      </c>
      <c r="D128" s="59" t="s">
        <v>33</v>
      </c>
      <c r="E128" s="103"/>
      <c r="F128" s="60"/>
      <c r="G128" s="61"/>
      <c r="H128" s="63" t="s">
        <v>250</v>
      </c>
      <c r="I128" s="64">
        <f>RSQ(I129:I139,B129:B139)</f>
        <v>0.97833185458364158</v>
      </c>
    </row>
    <row r="129" spans="1:9" ht="15" customHeight="1">
      <c r="A129" s="65">
        <v>1997</v>
      </c>
      <c r="B129" s="104">
        <f t="shared" ref="B129:B139" si="20">+B5</f>
        <v>5872</v>
      </c>
      <c r="C129" s="126">
        <f t="shared" ref="C129:C139" si="21">LN(F$133/B129-1)</f>
        <v>0</v>
      </c>
      <c r="D129" s="67">
        <v>0</v>
      </c>
      <c r="E129" s="106"/>
      <c r="F129" s="53"/>
      <c r="G129" s="69"/>
      <c r="H129" s="265"/>
      <c r="I129" s="267">
        <f t="shared" ref="I129:I157" si="22">$F$133/(1+EXP($F$131+$F$130*D129))</f>
        <v>5962.8990900026811</v>
      </c>
    </row>
    <row r="130" spans="1:9" ht="15" customHeight="1">
      <c r="A130" s="65" t="e">
        <f t="shared" ref="A130:A139" si="23">A6</f>
        <v>#REF!</v>
      </c>
      <c r="B130" s="104">
        <f t="shared" si="20"/>
        <v>5835</v>
      </c>
      <c r="C130" s="126">
        <f t="shared" si="21"/>
        <v>1.2602346625018022E-2</v>
      </c>
      <c r="D130" s="67">
        <f>+D129+1</f>
        <v>1</v>
      </c>
      <c r="E130" s="106" t="s">
        <v>75</v>
      </c>
      <c r="F130" s="139">
        <f>INDEX(LINEST(C129:C139,D129:D139),1)</f>
        <v>5.7939896262539314E-2</v>
      </c>
      <c r="G130" s="140" t="s">
        <v>88</v>
      </c>
      <c r="H130" s="127"/>
      <c r="I130" s="128">
        <f t="shared" si="22"/>
        <v>5792.7996196905051</v>
      </c>
    </row>
    <row r="131" spans="1:9" ht="15" customHeight="1">
      <c r="A131" s="65" t="e">
        <f t="shared" si="23"/>
        <v>#REF!</v>
      </c>
      <c r="B131" s="104">
        <f t="shared" si="20"/>
        <v>5719</v>
      </c>
      <c r="C131" s="126">
        <f t="shared" si="21"/>
        <v>5.2123514443539722E-2</v>
      </c>
      <c r="D131" s="67">
        <f t="shared" ref="D131:D157" si="24">D130+1</f>
        <v>2</v>
      </c>
      <c r="E131" s="106" t="s">
        <v>76</v>
      </c>
      <c r="F131" s="139">
        <f>INDEX(LINEST(C129:C139,D129:D139),2)</f>
        <v>-3.0962653903242932E-2</v>
      </c>
      <c r="G131" s="69"/>
      <c r="H131" s="127"/>
      <c r="I131" s="128">
        <f t="shared" si="22"/>
        <v>5622.8329899718528</v>
      </c>
    </row>
    <row r="132" spans="1:9" ht="15" customHeight="1">
      <c r="A132" s="65" t="e">
        <f t="shared" si="23"/>
        <v>#REF!</v>
      </c>
      <c r="B132" s="104">
        <f t="shared" si="20"/>
        <v>5594</v>
      </c>
      <c r="C132" s="126">
        <f t="shared" si="21"/>
        <v>9.4757487038658592E-2</v>
      </c>
      <c r="D132" s="67">
        <f t="shared" si="24"/>
        <v>3</v>
      </c>
      <c r="E132" s="106" t="s">
        <v>77</v>
      </c>
      <c r="F132" s="73">
        <f>I128</f>
        <v>0.97833185458364158</v>
      </c>
      <c r="G132" s="69"/>
      <c r="H132" s="127"/>
      <c r="I132" s="128">
        <f t="shared" si="22"/>
        <v>5453.283605121982</v>
      </c>
    </row>
    <row r="133" spans="1:9" ht="15" customHeight="1">
      <c r="A133" s="65" t="e">
        <f t="shared" si="23"/>
        <v>#REF!</v>
      </c>
      <c r="B133" s="104">
        <f t="shared" si="20"/>
        <v>5248</v>
      </c>
      <c r="C133" s="126">
        <f t="shared" si="21"/>
        <v>0.21333955121758891</v>
      </c>
      <c r="D133" s="67">
        <f t="shared" si="24"/>
        <v>4</v>
      </c>
      <c r="E133" s="106" t="s">
        <v>39</v>
      </c>
      <c r="F133" s="110">
        <f>MAX(B129:B139)*2</f>
        <v>11744</v>
      </c>
      <c r="G133" s="69"/>
      <c r="H133" s="127"/>
      <c r="I133" s="128">
        <f t="shared" si="22"/>
        <v>5284.433080625643</v>
      </c>
    </row>
    <row r="134" spans="1:9" ht="15" customHeight="1">
      <c r="A134" s="65" t="e">
        <f t="shared" si="23"/>
        <v>#REF!</v>
      </c>
      <c r="B134" s="104">
        <f t="shared" si="20"/>
        <v>5034</v>
      </c>
      <c r="C134" s="126">
        <f t="shared" si="21"/>
        <v>0.28738405427046637</v>
      </c>
      <c r="D134" s="67">
        <f t="shared" si="24"/>
        <v>5</v>
      </c>
      <c r="E134" s="106"/>
      <c r="F134" s="53"/>
      <c r="G134" s="69"/>
      <c r="H134" s="127"/>
      <c r="I134" s="128">
        <f t="shared" si="22"/>
        <v>5116.5583839215224</v>
      </c>
    </row>
    <row r="135" spans="1:9" ht="15" customHeight="1">
      <c r="A135" s="65" t="e">
        <f t="shared" si="23"/>
        <v>#REF!</v>
      </c>
      <c r="B135" s="104">
        <f t="shared" si="20"/>
        <v>4835</v>
      </c>
      <c r="C135" s="126">
        <f t="shared" si="21"/>
        <v>0.35694378060140014</v>
      </c>
      <c r="D135" s="67">
        <f t="shared" si="24"/>
        <v>6</v>
      </c>
      <c r="E135" s="106"/>
      <c r="F135" s="53"/>
      <c r="G135" s="69"/>
      <c r="H135" s="127"/>
      <c r="I135" s="128">
        <f t="shared" si="22"/>
        <v>4949.9300405359481</v>
      </c>
    </row>
    <row r="136" spans="1:9" ht="15" customHeight="1">
      <c r="A136" s="65" t="e">
        <f t="shared" si="23"/>
        <v>#REF!</v>
      </c>
      <c r="B136" s="104">
        <f t="shared" si="20"/>
        <v>4742</v>
      </c>
      <c r="C136" s="126">
        <f t="shared" si="21"/>
        <v>0.38973683488926014</v>
      </c>
      <c r="D136" s="67">
        <f t="shared" si="24"/>
        <v>7</v>
      </c>
      <c r="E136" s="132" t="s">
        <v>89</v>
      </c>
      <c r="F136" s="53"/>
      <c r="G136" s="69"/>
      <c r="H136" s="127"/>
      <c r="I136" s="128">
        <f t="shared" si="22"/>
        <v>4784.8104299285178</v>
      </c>
    </row>
    <row r="137" spans="1:9" ht="15" customHeight="1">
      <c r="A137" s="65" t="e">
        <f t="shared" si="23"/>
        <v>#REF!</v>
      </c>
      <c r="B137" s="104">
        <f t="shared" si="20"/>
        <v>4623</v>
      </c>
      <c r="C137" s="126">
        <f t="shared" si="21"/>
        <v>0.43200431999389921</v>
      </c>
      <c r="D137" s="67">
        <f t="shared" si="24"/>
        <v>8</v>
      </c>
      <c r="E137" s="132" t="s">
        <v>90</v>
      </c>
      <c r="F137" s="53"/>
      <c r="G137" s="69"/>
      <c r="H137" s="127"/>
      <c r="I137" s="128">
        <f t="shared" si="22"/>
        <v>4621.4521932453918</v>
      </c>
    </row>
    <row r="138" spans="1:9" ht="15" customHeight="1">
      <c r="A138" s="65" t="e">
        <f t="shared" si="23"/>
        <v>#REF!</v>
      </c>
      <c r="B138" s="104">
        <f t="shared" si="20"/>
        <v>4474</v>
      </c>
      <c r="C138" s="126">
        <f t="shared" si="21"/>
        <v>0.48547342847749014</v>
      </c>
      <c r="D138" s="67">
        <f t="shared" si="24"/>
        <v>9</v>
      </c>
      <c r="E138" s="132"/>
      <c r="F138" s="53"/>
      <c r="G138" s="69"/>
      <c r="H138" s="127"/>
      <c r="I138" s="128">
        <f t="shared" si="22"/>
        <v>4460.0967725689734</v>
      </c>
    </row>
    <row r="139" spans="1:9" ht="15" customHeight="1" thickBot="1">
      <c r="A139" s="97" t="e">
        <f t="shared" si="23"/>
        <v>#REF!</v>
      </c>
      <c r="B139" s="116">
        <f t="shared" si="20"/>
        <v>4374</v>
      </c>
      <c r="C139" s="141">
        <f t="shared" si="21"/>
        <v>0.52173978394666909</v>
      </c>
      <c r="D139" s="99">
        <f t="shared" si="24"/>
        <v>10</v>
      </c>
      <c r="E139" s="182"/>
      <c r="F139" s="101"/>
      <c r="G139" s="100"/>
      <c r="H139" s="143"/>
      <c r="I139" s="144">
        <f t="shared" si="22"/>
        <v>4300.9730982570682</v>
      </c>
    </row>
    <row r="140" spans="1:9" ht="15" customHeight="1" thickTop="1">
      <c r="A140" s="80">
        <v>2008</v>
      </c>
      <c r="B140" s="81">
        <f t="shared" ref="B140:B157" si="25">ROUND(F$133/(1+EXP(F$131+F$130*D140)),0)</f>
        <v>4144</v>
      </c>
      <c r="C140" s="257"/>
      <c r="D140" s="77">
        <f t="shared" si="24"/>
        <v>11</v>
      </c>
      <c r="E140" s="266"/>
      <c r="F140" s="256"/>
      <c r="G140" s="78"/>
      <c r="H140" s="258"/>
      <c r="I140" s="133">
        <f t="shared" si="22"/>
        <v>4144.2964376828559</v>
      </c>
    </row>
    <row r="141" spans="1:9" ht="15" customHeight="1">
      <c r="A141" s="80">
        <v>2009</v>
      </c>
      <c r="B141" s="81">
        <f t="shared" si="25"/>
        <v>3990</v>
      </c>
      <c r="C141" s="134"/>
      <c r="D141" s="67">
        <f t="shared" si="24"/>
        <v>12</v>
      </c>
      <c r="E141" s="83"/>
      <c r="F141" s="69"/>
      <c r="G141" s="69"/>
      <c r="H141" s="84"/>
      <c r="I141" s="128">
        <f t="shared" si="22"/>
        <v>3990.2674152272007</v>
      </c>
    </row>
    <row r="142" spans="1:9" ht="15" customHeight="1">
      <c r="A142" s="80">
        <v>2010</v>
      </c>
      <c r="B142" s="81">
        <f t="shared" si="25"/>
        <v>3839</v>
      </c>
      <c r="C142" s="134"/>
      <c r="D142" s="67">
        <f t="shared" si="24"/>
        <v>13</v>
      </c>
      <c r="E142" s="83"/>
      <c r="F142" s="69"/>
      <c r="G142" s="69"/>
      <c r="H142" s="84"/>
      <c r="I142" s="128">
        <f t="shared" si="22"/>
        <v>3839.0712098462272</v>
      </c>
    </row>
    <row r="143" spans="1:9" ht="15" customHeight="1">
      <c r="A143" s="80">
        <v>2011</v>
      </c>
      <c r="B143" s="81">
        <f t="shared" si="25"/>
        <v>3691</v>
      </c>
      <c r="C143" s="134"/>
      <c r="D143" s="67">
        <f t="shared" si="24"/>
        <v>14</v>
      </c>
      <c r="E143" s="83"/>
      <c r="F143" s="69"/>
      <c r="G143" s="69"/>
      <c r="H143" s="84"/>
      <c r="I143" s="128">
        <f t="shared" si="22"/>
        <v>3690.8769330451578</v>
      </c>
    </row>
    <row r="144" spans="1:9" ht="15" customHeight="1">
      <c r="A144" s="80">
        <v>2012</v>
      </c>
      <c r="B144" s="81">
        <f t="shared" si="25"/>
        <v>3546</v>
      </c>
      <c r="C144" s="134"/>
      <c r="D144" s="67">
        <f t="shared" si="24"/>
        <v>15</v>
      </c>
      <c r="E144" s="83"/>
      <c r="F144" s="69"/>
      <c r="G144" s="69"/>
      <c r="H144" s="84"/>
      <c r="I144" s="128">
        <f t="shared" si="22"/>
        <v>3545.8371867317146</v>
      </c>
    </row>
    <row r="145" spans="1:10" ht="15" customHeight="1">
      <c r="A145" s="80">
        <v>2013</v>
      </c>
      <c r="B145" s="81">
        <f t="shared" si="25"/>
        <v>3404</v>
      </c>
      <c r="C145" s="134"/>
      <c r="D145" s="67">
        <f t="shared" si="24"/>
        <v>16</v>
      </c>
      <c r="E145" s="83"/>
      <c r="F145" s="69"/>
      <c r="G145" s="69"/>
      <c r="H145" s="84"/>
      <c r="I145" s="128">
        <f t="shared" si="22"/>
        <v>3404.0877972851249</v>
      </c>
    </row>
    <row r="146" spans="1:10" ht="15" customHeight="1">
      <c r="A146" s="80">
        <v>2014</v>
      </c>
      <c r="B146" s="81">
        <f t="shared" si="25"/>
        <v>3266</v>
      </c>
      <c r="C146" s="134"/>
      <c r="D146" s="67">
        <f t="shared" si="24"/>
        <v>17</v>
      </c>
      <c r="E146" s="83"/>
      <c r="F146" s="69"/>
      <c r="G146" s="69"/>
      <c r="H146" s="84"/>
      <c r="I146" s="128">
        <f t="shared" si="22"/>
        <v>3265.7477193322197</v>
      </c>
    </row>
    <row r="147" spans="1:10" ht="15" customHeight="1">
      <c r="A147" s="80">
        <v>2015</v>
      </c>
      <c r="B147" s="81">
        <f t="shared" si="25"/>
        <v>3131</v>
      </c>
      <c r="C147" s="134"/>
      <c r="D147" s="67">
        <f t="shared" si="24"/>
        <v>18</v>
      </c>
      <c r="E147" s="83"/>
      <c r="F147" s="69"/>
      <c r="G147" s="69"/>
      <c r="H147" s="84"/>
      <c r="I147" s="128">
        <f t="shared" si="22"/>
        <v>3130.9191002265388</v>
      </c>
    </row>
    <row r="148" spans="1:10" ht="15" customHeight="1">
      <c r="A148" s="80">
        <v>2016</v>
      </c>
      <c r="B148" s="81">
        <f t="shared" si="25"/>
        <v>3000</v>
      </c>
      <c r="C148" s="134"/>
      <c r="D148" s="67">
        <f t="shared" si="24"/>
        <v>19</v>
      </c>
      <c r="E148" s="83"/>
      <c r="F148" s="69"/>
      <c r="G148" s="69"/>
      <c r="H148" s="84"/>
      <c r="I148" s="128">
        <f t="shared" si="22"/>
        <v>2999.6874941196756</v>
      </c>
    </row>
    <row r="149" spans="1:10" ht="15" customHeight="1">
      <c r="A149" s="80">
        <v>2017</v>
      </c>
      <c r="B149" s="81">
        <f t="shared" si="25"/>
        <v>2872</v>
      </c>
      <c r="C149" s="134"/>
      <c r="D149" s="67">
        <f t="shared" si="24"/>
        <v>20</v>
      </c>
      <c r="E149" s="83"/>
      <c r="F149" s="69"/>
      <c r="G149" s="69"/>
      <c r="H149" s="84"/>
      <c r="I149" s="128">
        <f t="shared" si="22"/>
        <v>2872.1222128194677</v>
      </c>
    </row>
    <row r="150" spans="1:10" ht="15" customHeight="1">
      <c r="A150" s="80">
        <v>2018</v>
      </c>
      <c r="B150" s="81">
        <f t="shared" si="25"/>
        <v>2748</v>
      </c>
      <c r="C150" s="134"/>
      <c r="D150" s="67">
        <f t="shared" si="24"/>
        <v>21</v>
      </c>
      <c r="E150" s="83"/>
      <c r="F150" s="69"/>
      <c r="G150" s="69"/>
      <c r="H150" s="84"/>
      <c r="I150" s="128">
        <f t="shared" si="22"/>
        <v>2748.2767993545617</v>
      </c>
    </row>
    <row r="151" spans="1:10" ht="15" customHeight="1">
      <c r="A151" s="80">
        <v>2019</v>
      </c>
      <c r="B151" s="81">
        <f t="shared" si="25"/>
        <v>2628</v>
      </c>
      <c r="C151" s="134"/>
      <c r="D151" s="67">
        <f t="shared" si="24"/>
        <v>22</v>
      </c>
      <c r="E151" s="83"/>
      <c r="F151" s="69"/>
      <c r="G151" s="69"/>
      <c r="H151" s="84"/>
      <c r="I151" s="128">
        <f t="shared" si="22"/>
        <v>2628.1896093024561</v>
      </c>
    </row>
    <row r="152" spans="1:10" ht="15" customHeight="1">
      <c r="A152" s="80">
        <v>2020</v>
      </c>
      <c r="B152" s="81">
        <f t="shared" si="25"/>
        <v>2512</v>
      </c>
      <c r="C152" s="134"/>
      <c r="D152" s="67">
        <f t="shared" si="24"/>
        <v>23</v>
      </c>
      <c r="E152" s="83"/>
      <c r="F152" s="69"/>
      <c r="G152" s="69"/>
      <c r="H152" s="84"/>
      <c r="I152" s="128">
        <f t="shared" si="22"/>
        <v>2511.8844844689802</v>
      </c>
    </row>
    <row r="153" spans="1:10" ht="15" customHeight="1">
      <c r="A153" s="80">
        <v>2021</v>
      </c>
      <c r="B153" s="81">
        <f t="shared" si="25"/>
        <v>2399</v>
      </c>
      <c r="C153" s="134"/>
      <c r="D153" s="67">
        <f t="shared" si="24"/>
        <v>24</v>
      </c>
      <c r="E153" s="83"/>
      <c r="F153" s="69"/>
      <c r="G153" s="69"/>
      <c r="H153" s="84"/>
      <c r="I153" s="128">
        <f t="shared" si="22"/>
        <v>2399.3715034019119</v>
      </c>
    </row>
    <row r="154" spans="1:10" ht="15" customHeight="1">
      <c r="A154" s="80">
        <v>2022</v>
      </c>
      <c r="B154" s="81">
        <f t="shared" si="25"/>
        <v>2291</v>
      </c>
      <c r="C154" s="134"/>
      <c r="D154" s="67">
        <f t="shared" si="24"/>
        <v>25</v>
      </c>
      <c r="E154" s="83"/>
      <c r="F154" s="69"/>
      <c r="G154" s="69"/>
      <c r="H154" s="84"/>
      <c r="I154" s="128">
        <f t="shared" si="22"/>
        <v>2290.6477934425893</v>
      </c>
    </row>
    <row r="155" spans="1:10" ht="15" customHeight="1">
      <c r="A155" s="80">
        <v>2023</v>
      </c>
      <c r="B155" s="81">
        <f t="shared" si="25"/>
        <v>2186</v>
      </c>
      <c r="C155" s="134"/>
      <c r="D155" s="67">
        <f t="shared" si="24"/>
        <v>26</v>
      </c>
      <c r="E155" s="83"/>
      <c r="F155" s="69"/>
      <c r="G155" s="69"/>
      <c r="H155" s="84"/>
      <c r="I155" s="128">
        <f t="shared" si="22"/>
        <v>2185.6983895241533</v>
      </c>
    </row>
    <row r="156" spans="1:10" ht="15" customHeight="1">
      <c r="A156" s="80">
        <v>2024</v>
      </c>
      <c r="B156" s="81">
        <f t="shared" si="25"/>
        <v>2084</v>
      </c>
      <c r="C156" s="135"/>
      <c r="D156" s="67">
        <f t="shared" si="24"/>
        <v>27</v>
      </c>
      <c r="E156" s="69"/>
      <c r="F156" s="69"/>
      <c r="G156" s="69"/>
      <c r="H156" s="69"/>
      <c r="I156" s="136">
        <f t="shared" si="22"/>
        <v>2084.4971256676831</v>
      </c>
    </row>
    <row r="157" spans="1:10" ht="15" customHeight="1">
      <c r="A157" s="85">
        <v>2025</v>
      </c>
      <c r="B157" s="86">
        <f t="shared" si="25"/>
        <v>1987</v>
      </c>
      <c r="C157" s="137"/>
      <c r="D157" s="87">
        <f t="shared" si="24"/>
        <v>28</v>
      </c>
      <c r="E157" s="89"/>
      <c r="F157" s="89"/>
      <c r="G157" s="89"/>
      <c r="H157" s="89"/>
      <c r="I157" s="138">
        <f t="shared" si="22"/>
        <v>1987.0075460607075</v>
      </c>
    </row>
    <row r="158" spans="1:10" ht="15" customHeight="1">
      <c r="A158" s="56" t="s">
        <v>251</v>
      </c>
      <c r="B158" s="57"/>
    </row>
    <row r="159" spans="1:10" ht="15" customHeight="1">
      <c r="A159" s="56"/>
      <c r="B159" s="57"/>
    </row>
    <row r="160" spans="1:10" ht="24">
      <c r="A160" s="145" t="s">
        <v>32</v>
      </c>
      <c r="B160" s="146" t="s">
        <v>91</v>
      </c>
      <c r="C160" s="147" t="s">
        <v>72</v>
      </c>
      <c r="D160" s="147" t="s">
        <v>92</v>
      </c>
      <c r="E160" s="147" t="s">
        <v>93</v>
      </c>
      <c r="F160" s="147" t="s">
        <v>94</v>
      </c>
      <c r="G160" s="147" t="s">
        <v>95</v>
      </c>
      <c r="H160" s="148" t="s">
        <v>96</v>
      </c>
      <c r="I160" s="149" t="s">
        <v>252</v>
      </c>
      <c r="J160" s="150" t="s">
        <v>253</v>
      </c>
    </row>
    <row r="161" spans="1:12" ht="20.100000000000001" customHeight="1">
      <c r="A161" s="65">
        <v>2008</v>
      </c>
      <c r="B161" s="151">
        <f t="shared" ref="B161:B178" si="26">B16</f>
        <v>4224</v>
      </c>
      <c r="C161" s="152">
        <f t="shared" ref="C161:C178" si="27">B47</f>
        <v>4122</v>
      </c>
      <c r="D161" s="152">
        <f t="shared" ref="D161:D178" si="28">B78</f>
        <v>4247</v>
      </c>
      <c r="E161" s="268"/>
      <c r="F161" s="152">
        <f t="shared" ref="F161:F178" si="29">B140</f>
        <v>4144</v>
      </c>
      <c r="G161" s="152">
        <f t="shared" ref="G161:G178" si="30">ROUND(AVERAGE(B161:F161),1)</f>
        <v>4184.3</v>
      </c>
      <c r="H161" s="152">
        <f t="shared" ref="H161:H178" si="31">ROUND((SUM(B161:F161)-MAX(B161:F161)-MIN(B161:F161))/(COUNT(B161:F161)-2),1)</f>
        <v>4184</v>
      </c>
      <c r="I161" s="153">
        <f t="shared" ref="I161:I178" si="32">ROUND(SUMIF(B$179:H$179,"○",B161:H161),0)</f>
        <v>4184</v>
      </c>
      <c r="J161" s="261"/>
    </row>
    <row r="162" spans="1:12" ht="20.100000000000001" customHeight="1">
      <c r="A162" s="80">
        <v>2009</v>
      </c>
      <c r="B162" s="151">
        <f t="shared" si="26"/>
        <v>4074</v>
      </c>
      <c r="C162" s="152">
        <f t="shared" si="27"/>
        <v>3956</v>
      </c>
      <c r="D162" s="152">
        <f t="shared" si="28"/>
        <v>4124</v>
      </c>
      <c r="E162" s="268"/>
      <c r="F162" s="152">
        <f t="shared" si="29"/>
        <v>3990</v>
      </c>
      <c r="G162" s="152">
        <f t="shared" si="30"/>
        <v>4036</v>
      </c>
      <c r="H162" s="152">
        <f t="shared" si="31"/>
        <v>4032</v>
      </c>
      <c r="I162" s="153">
        <f t="shared" si="32"/>
        <v>4036</v>
      </c>
      <c r="J162" s="154"/>
    </row>
    <row r="163" spans="1:12" ht="20.100000000000001" customHeight="1">
      <c r="A163" s="80">
        <v>2010</v>
      </c>
      <c r="B163" s="151">
        <f t="shared" si="26"/>
        <v>3925</v>
      </c>
      <c r="C163" s="152">
        <f t="shared" si="27"/>
        <v>3789</v>
      </c>
      <c r="D163" s="152">
        <f t="shared" si="28"/>
        <v>4004</v>
      </c>
      <c r="E163" s="268"/>
      <c r="F163" s="152">
        <f t="shared" si="29"/>
        <v>3839</v>
      </c>
      <c r="G163" s="152">
        <f t="shared" si="30"/>
        <v>3889.3</v>
      </c>
      <c r="H163" s="152">
        <f t="shared" si="31"/>
        <v>3882</v>
      </c>
      <c r="I163" s="153">
        <f t="shared" si="32"/>
        <v>3889</v>
      </c>
      <c r="J163" s="154"/>
    </row>
    <row r="164" spans="1:12" ht="20.100000000000001" customHeight="1">
      <c r="A164" s="80">
        <v>2011</v>
      </c>
      <c r="B164" s="151">
        <f t="shared" si="26"/>
        <v>3775</v>
      </c>
      <c r="C164" s="152">
        <f t="shared" si="27"/>
        <v>3622</v>
      </c>
      <c r="D164" s="152">
        <f t="shared" si="28"/>
        <v>3888</v>
      </c>
      <c r="E164" s="268"/>
      <c r="F164" s="152">
        <f t="shared" si="29"/>
        <v>3691</v>
      </c>
      <c r="G164" s="152">
        <f t="shared" si="30"/>
        <v>3744</v>
      </c>
      <c r="H164" s="152">
        <f t="shared" si="31"/>
        <v>3733</v>
      </c>
      <c r="I164" s="153">
        <f t="shared" si="32"/>
        <v>3744</v>
      </c>
      <c r="J164" s="154"/>
    </row>
    <row r="165" spans="1:12" ht="20.100000000000001" customHeight="1">
      <c r="A165" s="80">
        <v>2012</v>
      </c>
      <c r="B165" s="151">
        <f t="shared" si="26"/>
        <v>3625</v>
      </c>
      <c r="C165" s="152">
        <f t="shared" si="27"/>
        <v>3456</v>
      </c>
      <c r="D165" s="152">
        <f t="shared" si="28"/>
        <v>3775</v>
      </c>
      <c r="E165" s="268"/>
      <c r="F165" s="152">
        <f t="shared" si="29"/>
        <v>3546</v>
      </c>
      <c r="G165" s="152">
        <f t="shared" si="30"/>
        <v>3600.5</v>
      </c>
      <c r="H165" s="152">
        <f t="shared" si="31"/>
        <v>3585.5</v>
      </c>
      <c r="I165" s="153">
        <f t="shared" si="32"/>
        <v>3601</v>
      </c>
      <c r="J165" s="154"/>
    </row>
    <row r="166" spans="1:12" ht="20.100000000000001" customHeight="1">
      <c r="A166" s="80">
        <v>2013</v>
      </c>
      <c r="B166" s="151">
        <f t="shared" si="26"/>
        <v>3475</v>
      </c>
      <c r="C166" s="152">
        <f t="shared" si="27"/>
        <v>3289</v>
      </c>
      <c r="D166" s="152">
        <f t="shared" si="28"/>
        <v>3666</v>
      </c>
      <c r="E166" s="268"/>
      <c r="F166" s="152">
        <f t="shared" si="29"/>
        <v>3404</v>
      </c>
      <c r="G166" s="152">
        <f t="shared" si="30"/>
        <v>3458.5</v>
      </c>
      <c r="H166" s="152">
        <f t="shared" si="31"/>
        <v>3439.5</v>
      </c>
      <c r="I166" s="153">
        <f t="shared" si="32"/>
        <v>3459</v>
      </c>
      <c r="J166" s="154"/>
    </row>
    <row r="167" spans="1:12" ht="20.100000000000001" customHeight="1">
      <c r="A167" s="80">
        <v>2014</v>
      </c>
      <c r="B167" s="151">
        <f t="shared" si="26"/>
        <v>3325</v>
      </c>
      <c r="C167" s="152">
        <f t="shared" si="27"/>
        <v>3122</v>
      </c>
      <c r="D167" s="152">
        <f t="shared" si="28"/>
        <v>3559</v>
      </c>
      <c r="E167" s="268"/>
      <c r="F167" s="152">
        <f t="shared" si="29"/>
        <v>3266</v>
      </c>
      <c r="G167" s="152">
        <f t="shared" si="30"/>
        <v>3318</v>
      </c>
      <c r="H167" s="152">
        <f t="shared" si="31"/>
        <v>3295.5</v>
      </c>
      <c r="I167" s="153">
        <f t="shared" si="32"/>
        <v>3318</v>
      </c>
      <c r="J167" s="154"/>
    </row>
    <row r="168" spans="1:12" ht="20.100000000000001" customHeight="1">
      <c r="A168" s="80">
        <v>2015</v>
      </c>
      <c r="B168" s="151">
        <f t="shared" si="26"/>
        <v>3176</v>
      </c>
      <c r="C168" s="152">
        <f t="shared" si="27"/>
        <v>2955</v>
      </c>
      <c r="D168" s="152">
        <f t="shared" si="28"/>
        <v>3456</v>
      </c>
      <c r="E168" s="268"/>
      <c r="F168" s="152">
        <f t="shared" si="29"/>
        <v>3131</v>
      </c>
      <c r="G168" s="152">
        <f t="shared" si="30"/>
        <v>3179.5</v>
      </c>
      <c r="H168" s="152">
        <f t="shared" si="31"/>
        <v>3153.5</v>
      </c>
      <c r="I168" s="153">
        <f t="shared" si="32"/>
        <v>3180</v>
      </c>
      <c r="J168" s="154"/>
    </row>
    <row r="169" spans="1:12" ht="20.100000000000001" customHeight="1">
      <c r="A169" s="80">
        <v>2016</v>
      </c>
      <c r="B169" s="151">
        <f t="shared" si="26"/>
        <v>3026</v>
      </c>
      <c r="C169" s="152">
        <f t="shared" si="27"/>
        <v>2789</v>
      </c>
      <c r="D169" s="152">
        <f t="shared" si="28"/>
        <v>3356</v>
      </c>
      <c r="E169" s="268"/>
      <c r="F169" s="152">
        <f t="shared" si="29"/>
        <v>3000</v>
      </c>
      <c r="G169" s="152">
        <f t="shared" si="30"/>
        <v>3042.8</v>
      </c>
      <c r="H169" s="152">
        <f t="shared" si="31"/>
        <v>3013</v>
      </c>
      <c r="I169" s="153">
        <f t="shared" si="32"/>
        <v>3043</v>
      </c>
      <c r="J169" s="154"/>
    </row>
    <row r="170" spans="1:12" ht="20.100000000000001" customHeight="1">
      <c r="A170" s="80">
        <v>2017</v>
      </c>
      <c r="B170" s="151">
        <f t="shared" si="26"/>
        <v>2876</v>
      </c>
      <c r="C170" s="152">
        <f t="shared" si="27"/>
        <v>2622</v>
      </c>
      <c r="D170" s="152">
        <f t="shared" si="28"/>
        <v>3258</v>
      </c>
      <c r="E170" s="268"/>
      <c r="F170" s="152">
        <f t="shared" si="29"/>
        <v>2872</v>
      </c>
      <c r="G170" s="152">
        <f t="shared" si="30"/>
        <v>2907</v>
      </c>
      <c r="H170" s="152">
        <f t="shared" si="31"/>
        <v>2874</v>
      </c>
      <c r="I170" s="153">
        <f t="shared" si="32"/>
        <v>2907</v>
      </c>
      <c r="J170" s="154"/>
    </row>
    <row r="171" spans="1:12" ht="20.100000000000001" customHeight="1">
      <c r="A171" s="80">
        <v>2018</v>
      </c>
      <c r="B171" s="151">
        <f t="shared" si="26"/>
        <v>2726</v>
      </c>
      <c r="C171" s="152">
        <f t="shared" si="27"/>
        <v>2455</v>
      </c>
      <c r="D171" s="152">
        <f t="shared" si="28"/>
        <v>3164</v>
      </c>
      <c r="E171" s="268"/>
      <c r="F171" s="152">
        <f t="shared" si="29"/>
        <v>2748</v>
      </c>
      <c r="G171" s="152">
        <f t="shared" si="30"/>
        <v>2773.3</v>
      </c>
      <c r="H171" s="152">
        <f t="shared" si="31"/>
        <v>2737</v>
      </c>
      <c r="I171" s="153">
        <f t="shared" si="32"/>
        <v>2773</v>
      </c>
      <c r="J171" s="154"/>
    </row>
    <row r="172" spans="1:12" ht="20.100000000000001" customHeight="1">
      <c r="A172" s="80">
        <v>2019</v>
      </c>
      <c r="B172" s="151">
        <f t="shared" si="26"/>
        <v>2576</v>
      </c>
      <c r="C172" s="152">
        <f t="shared" si="27"/>
        <v>2289</v>
      </c>
      <c r="D172" s="152">
        <f t="shared" si="28"/>
        <v>3072</v>
      </c>
      <c r="E172" s="268"/>
      <c r="F172" s="152">
        <f t="shared" si="29"/>
        <v>2628</v>
      </c>
      <c r="G172" s="152">
        <f t="shared" si="30"/>
        <v>2641.3</v>
      </c>
      <c r="H172" s="152">
        <f t="shared" si="31"/>
        <v>2602</v>
      </c>
      <c r="I172" s="153">
        <f t="shared" si="32"/>
        <v>2641</v>
      </c>
      <c r="J172" s="154"/>
    </row>
    <row r="173" spans="1:12" ht="20.100000000000001" customHeight="1">
      <c r="A173" s="80">
        <v>2020</v>
      </c>
      <c r="B173" s="151">
        <f t="shared" si="26"/>
        <v>2427</v>
      </c>
      <c r="C173" s="152">
        <f t="shared" si="27"/>
        <v>2122</v>
      </c>
      <c r="D173" s="152">
        <f t="shared" si="28"/>
        <v>2983</v>
      </c>
      <c r="E173" s="268"/>
      <c r="F173" s="152">
        <f t="shared" si="29"/>
        <v>2512</v>
      </c>
      <c r="G173" s="152">
        <f t="shared" si="30"/>
        <v>2511</v>
      </c>
      <c r="H173" s="152">
        <f t="shared" si="31"/>
        <v>2469.5</v>
      </c>
      <c r="I173" s="153">
        <f t="shared" si="32"/>
        <v>2511</v>
      </c>
      <c r="J173" s="154"/>
    </row>
    <row r="174" spans="1:12" ht="20.100000000000001" customHeight="1">
      <c r="A174" s="80">
        <v>2021</v>
      </c>
      <c r="B174" s="151">
        <f t="shared" si="26"/>
        <v>2277</v>
      </c>
      <c r="C174" s="152">
        <f t="shared" si="27"/>
        <v>1955</v>
      </c>
      <c r="D174" s="152">
        <f t="shared" si="28"/>
        <v>2896</v>
      </c>
      <c r="E174" s="268"/>
      <c r="F174" s="152">
        <f t="shared" si="29"/>
        <v>2399</v>
      </c>
      <c r="G174" s="152">
        <f t="shared" si="30"/>
        <v>2381.8000000000002</v>
      </c>
      <c r="H174" s="152">
        <f t="shared" si="31"/>
        <v>2338</v>
      </c>
      <c r="I174" s="153">
        <f t="shared" si="32"/>
        <v>2382</v>
      </c>
      <c r="J174" s="154"/>
    </row>
    <row r="175" spans="1:12" ht="20.100000000000001" customHeight="1">
      <c r="A175" s="80">
        <v>2022</v>
      </c>
      <c r="B175" s="151">
        <f t="shared" si="26"/>
        <v>2127</v>
      </c>
      <c r="C175" s="152">
        <f t="shared" si="27"/>
        <v>1788</v>
      </c>
      <c r="D175" s="152">
        <f t="shared" si="28"/>
        <v>2812</v>
      </c>
      <c r="E175" s="268"/>
      <c r="F175" s="152">
        <f t="shared" si="29"/>
        <v>2291</v>
      </c>
      <c r="G175" s="152">
        <f t="shared" si="30"/>
        <v>2254.5</v>
      </c>
      <c r="H175" s="152">
        <f t="shared" si="31"/>
        <v>2209</v>
      </c>
      <c r="I175" s="153">
        <f t="shared" si="32"/>
        <v>2255</v>
      </c>
      <c r="J175" s="154"/>
    </row>
    <row r="176" spans="1:12" ht="20.100000000000001" customHeight="1">
      <c r="A176" s="80">
        <v>2023</v>
      </c>
      <c r="B176" s="151">
        <f t="shared" si="26"/>
        <v>1977</v>
      </c>
      <c r="C176" s="152">
        <f t="shared" si="27"/>
        <v>1622</v>
      </c>
      <c r="D176" s="152">
        <f t="shared" si="28"/>
        <v>2731</v>
      </c>
      <c r="E176" s="268"/>
      <c r="F176" s="152">
        <f t="shared" si="29"/>
        <v>2186</v>
      </c>
      <c r="G176" s="152">
        <f t="shared" si="30"/>
        <v>2129</v>
      </c>
      <c r="H176" s="152">
        <f t="shared" si="31"/>
        <v>2081.5</v>
      </c>
      <c r="I176" s="153">
        <f t="shared" si="32"/>
        <v>2129</v>
      </c>
      <c r="J176" s="154"/>
      <c r="L176" s="55">
        <v>806200</v>
      </c>
    </row>
    <row r="177" spans="1:41" ht="20.100000000000001" customHeight="1">
      <c r="A177" s="80">
        <v>2024</v>
      </c>
      <c r="B177" s="151">
        <f t="shared" si="26"/>
        <v>1827</v>
      </c>
      <c r="C177" s="152">
        <f t="shared" si="27"/>
        <v>1455</v>
      </c>
      <c r="D177" s="152">
        <f t="shared" si="28"/>
        <v>2651</v>
      </c>
      <c r="E177" s="268"/>
      <c r="F177" s="152">
        <f t="shared" si="29"/>
        <v>2084</v>
      </c>
      <c r="G177" s="152">
        <f t="shared" si="30"/>
        <v>2004.3</v>
      </c>
      <c r="H177" s="152">
        <f t="shared" si="31"/>
        <v>1955.5</v>
      </c>
      <c r="I177" s="153">
        <f t="shared" si="32"/>
        <v>2004</v>
      </c>
      <c r="J177" s="154"/>
      <c r="K177" s="55">
        <v>51000</v>
      </c>
      <c r="L177" s="75">
        <f>+K177+E177</f>
        <v>51000</v>
      </c>
      <c r="M177" s="75"/>
    </row>
    <row r="178" spans="1:41" ht="20.100000000000001" customHeight="1">
      <c r="A178" s="80">
        <v>2025</v>
      </c>
      <c r="B178" s="151">
        <f t="shared" si="26"/>
        <v>1678</v>
      </c>
      <c r="C178" s="152">
        <f t="shared" si="27"/>
        <v>1288</v>
      </c>
      <c r="D178" s="152">
        <f t="shared" si="28"/>
        <v>2574</v>
      </c>
      <c r="E178" s="268"/>
      <c r="F178" s="152">
        <f t="shared" si="29"/>
        <v>1987</v>
      </c>
      <c r="G178" s="152">
        <f t="shared" si="30"/>
        <v>1881.8</v>
      </c>
      <c r="H178" s="152">
        <f t="shared" si="31"/>
        <v>1832.5</v>
      </c>
      <c r="I178" s="153">
        <f t="shared" si="32"/>
        <v>1882</v>
      </c>
      <c r="J178" s="154"/>
      <c r="L178" s="75">
        <f>+L176-L177</f>
        <v>755200</v>
      </c>
      <c r="M178" s="75"/>
    </row>
    <row r="179" spans="1:41" ht="20.100000000000001" customHeight="1">
      <c r="A179" s="155" t="s">
        <v>97</v>
      </c>
      <c r="B179" s="156"/>
      <c r="C179" s="157"/>
      <c r="D179" s="157"/>
      <c r="E179" s="157"/>
      <c r="F179" s="156"/>
      <c r="G179" s="269" t="s">
        <v>254</v>
      </c>
      <c r="H179" s="157"/>
      <c r="I179" s="159"/>
      <c r="J179" s="160"/>
      <c r="K179" s="161"/>
      <c r="L179" s="162">
        <f>+B129</f>
        <v>5872</v>
      </c>
      <c r="M179" s="162">
        <f>+B130</f>
        <v>5835</v>
      </c>
      <c r="N179" s="162">
        <f>B131</f>
        <v>5719</v>
      </c>
      <c r="O179" s="161">
        <f>B132</f>
        <v>5594</v>
      </c>
      <c r="P179" s="162">
        <f>B133</f>
        <v>5248</v>
      </c>
      <c r="Q179" s="161">
        <f>B134</f>
        <v>5034</v>
      </c>
      <c r="R179" s="162">
        <f>B135</f>
        <v>4835</v>
      </c>
      <c r="S179" s="162">
        <f>B136</f>
        <v>4742</v>
      </c>
      <c r="T179" s="162">
        <f>B137</f>
        <v>4623</v>
      </c>
      <c r="U179" s="162">
        <f>B138</f>
        <v>4474</v>
      </c>
      <c r="V179" s="162">
        <f>B139</f>
        <v>4374</v>
      </c>
      <c r="W179" s="162">
        <f>B16</f>
        <v>4224</v>
      </c>
      <c r="X179" s="162"/>
      <c r="Y179" s="161"/>
      <c r="Z179" s="161"/>
      <c r="AA179" s="161"/>
      <c r="AB179" s="161"/>
      <c r="AC179" s="161"/>
      <c r="AD179" s="161"/>
      <c r="AE179" s="161"/>
      <c r="AF179" s="161"/>
      <c r="AG179" s="161"/>
      <c r="AH179" s="161"/>
      <c r="AI179" s="161"/>
      <c r="AJ179" s="161"/>
      <c r="AK179" s="161"/>
      <c r="AL179" s="161"/>
      <c r="AM179" s="161"/>
      <c r="AN179" s="161"/>
    </row>
    <row r="180" spans="1:41" ht="20.100000000000001" hidden="1" customHeight="1">
      <c r="A180" s="85"/>
      <c r="B180" s="163"/>
      <c r="C180" s="164"/>
      <c r="D180" s="164"/>
      <c r="E180" s="164"/>
      <c r="F180" s="164"/>
      <c r="G180" s="164"/>
      <c r="H180" s="164"/>
      <c r="I180" s="165"/>
      <c r="J180" s="166"/>
      <c r="K180" s="161"/>
      <c r="L180" s="161"/>
      <c r="M180" s="161"/>
      <c r="N180" s="161"/>
      <c r="O180" s="161"/>
      <c r="P180" s="161"/>
      <c r="Q180" s="161"/>
      <c r="R180" s="161"/>
      <c r="S180" s="161"/>
      <c r="T180" s="161"/>
      <c r="U180" s="161"/>
      <c r="V180" s="161"/>
      <c r="W180" s="161"/>
      <c r="X180" s="161"/>
      <c r="Y180" s="161"/>
      <c r="Z180" s="161"/>
      <c r="AA180" s="161"/>
      <c r="AB180" s="161"/>
      <c r="AC180" s="161"/>
      <c r="AD180" s="161"/>
      <c r="AE180" s="161"/>
      <c r="AF180" s="161"/>
      <c r="AG180" s="161"/>
      <c r="AH180" s="161"/>
      <c r="AI180" s="161"/>
      <c r="AJ180" s="161"/>
      <c r="AK180" s="161"/>
      <c r="AL180" s="161"/>
      <c r="AM180" s="161"/>
      <c r="AN180" s="161"/>
    </row>
    <row r="181" spans="1:41" s="161" customFormat="1" ht="20.100000000000001" customHeight="1">
      <c r="A181" s="167" t="s">
        <v>98</v>
      </c>
      <c r="B181" s="168">
        <f>I4</f>
        <v>0.97717712577674387</v>
      </c>
      <c r="C181" s="169">
        <f>I35</f>
        <v>0.97717712577674365</v>
      </c>
      <c r="D181" s="169">
        <f>I66</f>
        <v>0.97858310890554012</v>
      </c>
      <c r="E181" s="169"/>
      <c r="F181" s="169">
        <f>I128</f>
        <v>0.97833185458364158</v>
      </c>
      <c r="G181" s="170"/>
      <c r="H181" s="171"/>
      <c r="I181" s="172"/>
      <c r="J181" s="173"/>
      <c r="K181" s="174">
        <f>MAX(B181:I181,F181)</f>
        <v>0.97858310890554012</v>
      </c>
      <c r="L181" s="161">
        <v>1997</v>
      </c>
      <c r="M181" s="161">
        <v>1998</v>
      </c>
      <c r="N181" s="161">
        <v>1999</v>
      </c>
      <c r="O181" s="161">
        <f t="shared" ref="O181:AN181" si="33">+N181+1</f>
        <v>2000</v>
      </c>
      <c r="P181" s="161">
        <f t="shared" si="33"/>
        <v>2001</v>
      </c>
      <c r="Q181" s="161">
        <f t="shared" si="33"/>
        <v>2002</v>
      </c>
      <c r="R181" s="161">
        <f t="shared" si="33"/>
        <v>2003</v>
      </c>
      <c r="S181" s="161">
        <f t="shared" si="33"/>
        <v>2004</v>
      </c>
      <c r="T181" s="161">
        <f t="shared" si="33"/>
        <v>2005</v>
      </c>
      <c r="U181" s="161">
        <f t="shared" si="33"/>
        <v>2006</v>
      </c>
      <c r="V181" s="161">
        <f t="shared" si="33"/>
        <v>2007</v>
      </c>
      <c r="W181" s="161">
        <f t="shared" si="33"/>
        <v>2008</v>
      </c>
      <c r="X181" s="161">
        <f t="shared" si="33"/>
        <v>2009</v>
      </c>
      <c r="Y181" s="161">
        <f t="shared" si="33"/>
        <v>2010</v>
      </c>
      <c r="Z181" s="161">
        <f t="shared" si="33"/>
        <v>2011</v>
      </c>
      <c r="AA181" s="161">
        <f t="shared" si="33"/>
        <v>2012</v>
      </c>
      <c r="AB181" s="161">
        <f t="shared" si="33"/>
        <v>2013</v>
      </c>
      <c r="AC181" s="161">
        <f t="shared" si="33"/>
        <v>2014</v>
      </c>
      <c r="AD181" s="161">
        <f t="shared" si="33"/>
        <v>2015</v>
      </c>
      <c r="AE181" s="161">
        <f t="shared" si="33"/>
        <v>2016</v>
      </c>
      <c r="AF181" s="161">
        <f t="shared" si="33"/>
        <v>2017</v>
      </c>
      <c r="AG181" s="161">
        <f t="shared" si="33"/>
        <v>2018</v>
      </c>
      <c r="AH181" s="161">
        <f t="shared" si="33"/>
        <v>2019</v>
      </c>
      <c r="AI181" s="161">
        <f t="shared" si="33"/>
        <v>2020</v>
      </c>
      <c r="AJ181" s="161">
        <f t="shared" si="33"/>
        <v>2021</v>
      </c>
      <c r="AK181" s="161">
        <f t="shared" si="33"/>
        <v>2022</v>
      </c>
      <c r="AL181" s="161">
        <f t="shared" si="33"/>
        <v>2023</v>
      </c>
      <c r="AM181" s="161">
        <f t="shared" si="33"/>
        <v>2024</v>
      </c>
      <c r="AN181" s="161">
        <f t="shared" si="33"/>
        <v>2025</v>
      </c>
    </row>
    <row r="182" spans="1:41" ht="20.100000000000001" customHeight="1">
      <c r="K182" s="161" t="s">
        <v>99</v>
      </c>
      <c r="L182" s="161"/>
      <c r="M182" s="161"/>
      <c r="N182" s="161"/>
      <c r="O182" s="161"/>
      <c r="P182" s="161"/>
      <c r="Q182" s="161"/>
      <c r="R182" s="161"/>
      <c r="S182" s="161"/>
      <c r="T182" s="161"/>
      <c r="U182" s="161"/>
      <c r="V182" s="162">
        <f>+V179</f>
        <v>4374</v>
      </c>
      <c r="W182" s="175">
        <f>+B16</f>
        <v>4224</v>
      </c>
      <c r="X182" s="162">
        <f>B17</f>
        <v>4074</v>
      </c>
      <c r="Y182" s="162">
        <f>B18</f>
        <v>3925</v>
      </c>
      <c r="Z182" s="162">
        <f>B19</f>
        <v>3775</v>
      </c>
      <c r="AA182" s="162">
        <f>B20</f>
        <v>3625</v>
      </c>
      <c r="AB182" s="162">
        <f>B21</f>
        <v>3475</v>
      </c>
      <c r="AC182" s="162">
        <f>B22</f>
        <v>3325</v>
      </c>
      <c r="AD182" s="162">
        <f>B23</f>
        <v>3176</v>
      </c>
      <c r="AE182" s="162">
        <f>B24</f>
        <v>3026</v>
      </c>
      <c r="AF182" s="162">
        <f>B25</f>
        <v>2876</v>
      </c>
      <c r="AG182" s="162">
        <f>B26</f>
        <v>2726</v>
      </c>
      <c r="AH182" s="162">
        <f>B27</f>
        <v>2576</v>
      </c>
      <c r="AI182" s="162">
        <f>B28</f>
        <v>2427</v>
      </c>
      <c r="AJ182" s="162">
        <f>B29</f>
        <v>2277</v>
      </c>
      <c r="AK182" s="162">
        <f>B30</f>
        <v>2127</v>
      </c>
      <c r="AL182" s="162">
        <f>B31</f>
        <v>1977</v>
      </c>
      <c r="AM182" s="162">
        <f>B32</f>
        <v>1827</v>
      </c>
      <c r="AN182" s="162">
        <f>B33</f>
        <v>1678</v>
      </c>
      <c r="AO182" s="161" t="s">
        <v>99</v>
      </c>
    </row>
    <row r="183" spans="1:41" ht="20.100000000000001" customHeight="1">
      <c r="K183" s="161" t="s">
        <v>100</v>
      </c>
      <c r="L183" s="161"/>
      <c r="M183" s="161"/>
      <c r="N183" s="161"/>
      <c r="O183" s="161"/>
      <c r="P183" s="161"/>
      <c r="Q183" s="161"/>
      <c r="R183" s="161"/>
      <c r="S183" s="161"/>
      <c r="T183" s="161"/>
      <c r="U183" s="161"/>
      <c r="V183" s="162">
        <f>+V182</f>
        <v>4374</v>
      </c>
      <c r="W183" s="175">
        <f>+B47</f>
        <v>4122</v>
      </c>
      <c r="X183" s="162">
        <f>B48</f>
        <v>3956</v>
      </c>
      <c r="Y183" s="162">
        <f>B49</f>
        <v>3789</v>
      </c>
      <c r="Z183" s="162">
        <f>B50</f>
        <v>3622</v>
      </c>
      <c r="AA183" s="162">
        <f>B51</f>
        <v>3456</v>
      </c>
      <c r="AB183" s="162">
        <f>B52</f>
        <v>3289</v>
      </c>
      <c r="AC183" s="162">
        <f>B53</f>
        <v>3122</v>
      </c>
      <c r="AD183" s="162">
        <f>B54</f>
        <v>2955</v>
      </c>
      <c r="AE183" s="162">
        <f>B55</f>
        <v>2789</v>
      </c>
      <c r="AF183" s="162">
        <f>B56</f>
        <v>2622</v>
      </c>
      <c r="AG183" s="162">
        <f>B57</f>
        <v>2455</v>
      </c>
      <c r="AH183" s="162">
        <f>B58</f>
        <v>2289</v>
      </c>
      <c r="AI183" s="162">
        <f>B59</f>
        <v>2122</v>
      </c>
      <c r="AJ183" s="162">
        <f>B60</f>
        <v>1955</v>
      </c>
      <c r="AK183" s="162">
        <f>B61</f>
        <v>1788</v>
      </c>
      <c r="AL183" s="162">
        <f>B62</f>
        <v>1622</v>
      </c>
      <c r="AM183" s="162">
        <f>B63</f>
        <v>1455</v>
      </c>
      <c r="AN183" s="162">
        <f>B64</f>
        <v>1288</v>
      </c>
      <c r="AO183" s="161" t="s">
        <v>100</v>
      </c>
    </row>
    <row r="184" spans="1:41" ht="20.100000000000001" customHeight="1">
      <c r="K184" s="161" t="s">
        <v>101</v>
      </c>
      <c r="L184" s="161"/>
      <c r="M184" s="161"/>
      <c r="N184" s="161"/>
      <c r="O184" s="161"/>
      <c r="P184" s="161"/>
      <c r="Q184" s="161"/>
      <c r="R184" s="161"/>
      <c r="S184" s="161"/>
      <c r="T184" s="161"/>
      <c r="U184" s="161"/>
      <c r="V184" s="162">
        <f>+V183</f>
        <v>4374</v>
      </c>
      <c r="W184" s="175">
        <f>+B78</f>
        <v>4247</v>
      </c>
      <c r="X184" s="162">
        <f>B79</f>
        <v>4124</v>
      </c>
      <c r="Y184" s="162">
        <f>B80</f>
        <v>4004</v>
      </c>
      <c r="Z184" s="162">
        <f>B81</f>
        <v>3888</v>
      </c>
      <c r="AA184" s="162">
        <f>B82</f>
        <v>3775</v>
      </c>
      <c r="AB184" s="162">
        <f>B83</f>
        <v>3666</v>
      </c>
      <c r="AC184" s="162">
        <f>B84</f>
        <v>3559</v>
      </c>
      <c r="AD184" s="162">
        <f>B85</f>
        <v>3456</v>
      </c>
      <c r="AE184" s="162">
        <f>B86</f>
        <v>3356</v>
      </c>
      <c r="AF184" s="162">
        <f>B87</f>
        <v>3258</v>
      </c>
      <c r="AG184" s="162">
        <f>B88</f>
        <v>3164</v>
      </c>
      <c r="AH184" s="162">
        <f>B89</f>
        <v>3072</v>
      </c>
      <c r="AI184" s="162">
        <f>B90</f>
        <v>2983</v>
      </c>
      <c r="AJ184" s="162">
        <f>B91</f>
        <v>2896</v>
      </c>
      <c r="AK184" s="162">
        <f>B92</f>
        <v>2812</v>
      </c>
      <c r="AL184" s="162">
        <f>B93</f>
        <v>2731</v>
      </c>
      <c r="AM184" s="162">
        <f>B94</f>
        <v>2651</v>
      </c>
      <c r="AN184" s="162">
        <f>B95</f>
        <v>2574</v>
      </c>
      <c r="AO184" s="161" t="s">
        <v>101</v>
      </c>
    </row>
    <row r="185" spans="1:41" ht="20.100000000000001" customHeight="1">
      <c r="K185" s="161" t="s">
        <v>102</v>
      </c>
      <c r="L185" s="161"/>
      <c r="M185" s="161"/>
      <c r="N185" s="161"/>
      <c r="O185" s="161"/>
      <c r="P185" s="161"/>
      <c r="Q185" s="161"/>
      <c r="R185" s="161"/>
      <c r="S185" s="161"/>
      <c r="T185" s="161"/>
      <c r="U185" s="161"/>
      <c r="V185" s="162">
        <f>+V184</f>
        <v>4374</v>
      </c>
      <c r="W185" s="175"/>
      <c r="X185" s="161"/>
      <c r="Y185" s="161"/>
      <c r="Z185" s="161"/>
      <c r="AA185" s="161"/>
      <c r="AB185" s="161"/>
      <c r="AC185" s="161"/>
      <c r="AD185" s="161"/>
      <c r="AE185" s="161"/>
      <c r="AF185" s="161"/>
      <c r="AG185" s="161"/>
      <c r="AH185" s="161"/>
      <c r="AI185" s="161"/>
      <c r="AJ185" s="161"/>
      <c r="AK185" s="161"/>
      <c r="AL185" s="161"/>
      <c r="AM185" s="161"/>
      <c r="AN185" s="161"/>
      <c r="AO185" s="161" t="s">
        <v>102</v>
      </c>
    </row>
    <row r="186" spans="1:41" ht="20.100000000000001" customHeight="1">
      <c r="K186" s="161" t="s">
        <v>103</v>
      </c>
      <c r="L186" s="161"/>
      <c r="M186" s="161"/>
      <c r="N186" s="161"/>
      <c r="O186" s="161"/>
      <c r="P186" s="161"/>
      <c r="Q186" s="161"/>
      <c r="R186" s="161"/>
      <c r="S186" s="161"/>
      <c r="T186" s="161"/>
      <c r="U186" s="161"/>
      <c r="V186" s="162">
        <f>+V185</f>
        <v>4374</v>
      </c>
      <c r="W186" s="175">
        <f>+B140</f>
        <v>4144</v>
      </c>
      <c r="X186" s="162">
        <f>B141</f>
        <v>3990</v>
      </c>
      <c r="Y186" s="162">
        <f>B142</f>
        <v>3839</v>
      </c>
      <c r="Z186" s="162">
        <f>B143</f>
        <v>3691</v>
      </c>
      <c r="AA186" s="162">
        <f>B144</f>
        <v>3546</v>
      </c>
      <c r="AB186" s="162">
        <f>B145</f>
        <v>3404</v>
      </c>
      <c r="AC186" s="162">
        <f>B146</f>
        <v>3266</v>
      </c>
      <c r="AD186" s="162">
        <f>B147</f>
        <v>3131</v>
      </c>
      <c r="AE186" s="162">
        <f>B148</f>
        <v>3000</v>
      </c>
      <c r="AF186" s="162">
        <f>B149</f>
        <v>2872</v>
      </c>
      <c r="AG186" s="162">
        <f>B150</f>
        <v>2748</v>
      </c>
      <c r="AH186" s="162">
        <f>B151</f>
        <v>2628</v>
      </c>
      <c r="AI186" s="162">
        <f>B152</f>
        <v>2512</v>
      </c>
      <c r="AJ186" s="162">
        <f>B153</f>
        <v>2399</v>
      </c>
      <c r="AK186" s="162">
        <f>B154</f>
        <v>2291</v>
      </c>
      <c r="AL186" s="162">
        <f>B155</f>
        <v>2186</v>
      </c>
      <c r="AM186" s="162">
        <f>B156</f>
        <v>2084</v>
      </c>
      <c r="AN186" s="162">
        <f>B157</f>
        <v>1987</v>
      </c>
      <c r="AO186" s="161" t="s">
        <v>103</v>
      </c>
    </row>
    <row r="187" spans="1:41" ht="20.100000000000001" customHeight="1">
      <c r="K187" s="161" t="s">
        <v>95</v>
      </c>
      <c r="L187" s="161"/>
      <c r="M187" s="161"/>
      <c r="N187" s="161"/>
      <c r="O187" s="161"/>
      <c r="P187" s="161"/>
      <c r="Q187" s="161"/>
      <c r="R187" s="161"/>
      <c r="S187" s="161"/>
      <c r="T187" s="161"/>
      <c r="U187" s="161"/>
      <c r="V187" s="162">
        <f>+V186</f>
        <v>4374</v>
      </c>
      <c r="W187" s="175">
        <f>+G161</f>
        <v>4184.3</v>
      </c>
      <c r="X187" s="206">
        <f>+G162</f>
        <v>4036</v>
      </c>
      <c r="Y187" s="206">
        <f>+G163</f>
        <v>3889.3</v>
      </c>
      <c r="Z187" s="206">
        <f>+F164</f>
        <v>3691</v>
      </c>
      <c r="AA187" s="206">
        <f>+F165</f>
        <v>3546</v>
      </c>
      <c r="AB187" s="206">
        <f>+F166</f>
        <v>3404</v>
      </c>
      <c r="AC187" s="206">
        <f>+F167</f>
        <v>3266</v>
      </c>
      <c r="AD187" s="206">
        <f>+F168</f>
        <v>3131</v>
      </c>
      <c r="AE187" s="206">
        <f>+F169</f>
        <v>3000</v>
      </c>
      <c r="AF187" s="206">
        <f>+F170</f>
        <v>2872</v>
      </c>
      <c r="AG187" s="206">
        <f>+F171</f>
        <v>2748</v>
      </c>
      <c r="AH187" s="206">
        <f>+F172</f>
        <v>2628</v>
      </c>
      <c r="AI187" s="206">
        <f>+F173</f>
        <v>2512</v>
      </c>
      <c r="AJ187" s="206">
        <f>+F174</f>
        <v>2399</v>
      </c>
      <c r="AK187" s="206">
        <f>+F175</f>
        <v>2291</v>
      </c>
      <c r="AL187" s="206">
        <f>+F176</f>
        <v>2186</v>
      </c>
      <c r="AM187" s="206">
        <f>+F177</f>
        <v>2084</v>
      </c>
      <c r="AN187" s="206">
        <f>+F178</f>
        <v>1987</v>
      </c>
      <c r="AO187" s="161" t="s">
        <v>95</v>
      </c>
    </row>
    <row r="188" spans="1:41" ht="20.100000000000001" customHeight="1"/>
    <row r="189" spans="1:41" ht="20.100000000000001" customHeight="1"/>
    <row r="190" spans="1:41" ht="20.100000000000001" customHeight="1"/>
    <row r="191" spans="1:41" ht="20.100000000000001" customHeight="1"/>
    <row r="192" spans="1:41" ht="20.100000000000001" customHeight="1"/>
    <row r="193" ht="20.100000000000001" customHeight="1"/>
    <row r="194" ht="20.100000000000001" customHeight="1"/>
    <row r="195" ht="20.100000000000001" customHeight="1"/>
    <row r="196" ht="20.100000000000001" customHeight="1"/>
    <row r="197" ht="20.100000000000001" customHeight="1"/>
    <row r="198" ht="20.100000000000001" customHeight="1"/>
    <row r="199" ht="20.100000000000001" customHeight="1"/>
    <row r="200" ht="20.100000000000001" customHeight="1"/>
    <row r="201" ht="20.100000000000001" customHeight="1"/>
    <row r="202" ht="20.100000000000001" customHeight="1"/>
    <row r="203" ht="20.100000000000001" customHeight="1"/>
    <row r="204" ht="20.100000000000001" customHeight="1"/>
  </sheetData>
  <phoneticPr fontId="50" type="noConversion"/>
  <pageMargins left="0.74803149606299213" right="0.74803149606299213" top="0.78740157480314965" bottom="0.78740157480314965" header="0.51181102362204722" footer="0.51181102362204722"/>
  <pageSetup paperSize="9" scale="70" fitToHeight="3" orientation="portrait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>
  <sheetPr codeName="Sheet53">
    <tabColor indexed="53"/>
  </sheetPr>
  <dimension ref="A1:AO179"/>
  <sheetViews>
    <sheetView workbookViewId="0"/>
  </sheetViews>
  <sheetFormatPr defaultRowHeight="15" customHeight="1"/>
  <cols>
    <col min="1" max="1" width="8.88671875" style="55"/>
    <col min="2" max="2" width="9.21875" style="55" customWidth="1"/>
    <col min="3" max="3" width="9.5546875" style="55" customWidth="1"/>
    <col min="4" max="4" width="9" style="55" customWidth="1"/>
    <col min="5" max="5" width="11.33203125" style="55" customWidth="1"/>
    <col min="6" max="6" width="9.44140625" style="55" customWidth="1"/>
    <col min="7" max="7" width="15.109375" style="55" bestFit="1" customWidth="1"/>
    <col min="8" max="8" width="12.88671875" style="55" bestFit="1" customWidth="1"/>
    <col min="9" max="9" width="11.5546875" style="55" bestFit="1" customWidth="1"/>
    <col min="10" max="16384" width="8.88671875" style="55"/>
  </cols>
  <sheetData>
    <row r="1" spans="1:12" ht="15" customHeight="1">
      <c r="A1" s="54" t="s">
        <v>309</v>
      </c>
    </row>
    <row r="2" spans="1:12" ht="15" customHeight="1">
      <c r="A2" s="54"/>
    </row>
    <row r="3" spans="1:12" ht="15" customHeight="1">
      <c r="A3" s="56" t="s">
        <v>74</v>
      </c>
      <c r="B3" s="57"/>
    </row>
    <row r="4" spans="1:12" ht="15" customHeight="1">
      <c r="A4" s="58" t="s">
        <v>32</v>
      </c>
      <c r="B4" s="59" t="s">
        <v>40</v>
      </c>
      <c r="C4" s="59" t="s">
        <v>33</v>
      </c>
      <c r="D4" s="60"/>
      <c r="E4" s="60"/>
      <c r="F4" s="61"/>
      <c r="G4" s="62"/>
      <c r="H4" s="63" t="s">
        <v>266</v>
      </c>
      <c r="I4" s="64">
        <f>RSQ(I6:I11,B6:B11)</f>
        <v>0.99665628704229992</v>
      </c>
    </row>
    <row r="5" spans="1:12" ht="15" customHeight="1">
      <c r="A5" s="176">
        <v>2002</v>
      </c>
      <c r="B5" s="183">
        <f>+망상동10!B10</f>
        <v>5034</v>
      </c>
      <c r="C5" s="177">
        <v>0</v>
      </c>
      <c r="D5" s="178"/>
      <c r="E5" s="178"/>
      <c r="F5" s="179"/>
      <c r="G5" s="262"/>
      <c r="H5" s="263"/>
      <c r="I5" s="70">
        <f t="shared" ref="I5:I28" si="0">$E$6*C5+$E$7</f>
        <v>5034</v>
      </c>
    </row>
    <row r="6" spans="1:12" ht="15" customHeight="1">
      <c r="A6" s="65">
        <v>2003</v>
      </c>
      <c r="B6" s="184">
        <f>+망상동10!B11</f>
        <v>4835</v>
      </c>
      <c r="C6" s="67">
        <f>+C5+1</f>
        <v>1</v>
      </c>
      <c r="D6" s="53" t="s">
        <v>75</v>
      </c>
      <c r="E6" s="68">
        <f>(B10-B5)/C10</f>
        <v>-132</v>
      </c>
      <c r="F6" s="69"/>
      <c r="G6" s="53"/>
      <c r="H6" s="69"/>
      <c r="I6" s="70">
        <f t="shared" si="0"/>
        <v>4902</v>
      </c>
      <c r="J6" s="71">
        <v>570570</v>
      </c>
      <c r="K6" s="55">
        <v>570570</v>
      </c>
      <c r="L6" s="55">
        <v>766</v>
      </c>
    </row>
    <row r="7" spans="1:12" ht="15" customHeight="1">
      <c r="A7" s="65">
        <v>2004</v>
      </c>
      <c r="B7" s="184">
        <f>+망상동10!B12</f>
        <v>4742</v>
      </c>
      <c r="C7" s="67">
        <f t="shared" ref="C7:C28" si="1">C6+1</f>
        <v>2</v>
      </c>
      <c r="D7" s="53" t="s">
        <v>76</v>
      </c>
      <c r="E7" s="72">
        <f>B5</f>
        <v>5034</v>
      </c>
      <c r="F7" s="69"/>
      <c r="G7" s="53"/>
      <c r="H7" s="69"/>
      <c r="I7" s="70">
        <f t="shared" si="0"/>
        <v>4770</v>
      </c>
      <c r="J7" s="71">
        <v>583230</v>
      </c>
      <c r="K7" s="55">
        <v>583230</v>
      </c>
      <c r="L7" s="55">
        <v>1094</v>
      </c>
    </row>
    <row r="8" spans="1:12" ht="15" customHeight="1">
      <c r="A8" s="65">
        <v>2005</v>
      </c>
      <c r="B8" s="184">
        <f>+망상동10!B13</f>
        <v>4623</v>
      </c>
      <c r="C8" s="67">
        <f t="shared" si="1"/>
        <v>3</v>
      </c>
      <c r="D8" s="53" t="s">
        <v>77</v>
      </c>
      <c r="E8" s="73">
        <f>I4</f>
        <v>0.99665628704229992</v>
      </c>
      <c r="F8" s="69"/>
      <c r="G8" s="53"/>
      <c r="H8" s="69"/>
      <c r="I8" s="70">
        <f t="shared" si="0"/>
        <v>4638</v>
      </c>
      <c r="J8" s="71">
        <v>590162</v>
      </c>
      <c r="K8" s="55">
        <v>590162</v>
      </c>
      <c r="L8" s="55">
        <v>1277</v>
      </c>
    </row>
    <row r="9" spans="1:12" ht="15" customHeight="1">
      <c r="A9" s="65">
        <v>2006</v>
      </c>
      <c r="B9" s="184">
        <f>+망상동10!B14</f>
        <v>4474</v>
      </c>
      <c r="C9" s="67">
        <f t="shared" si="1"/>
        <v>4</v>
      </c>
      <c r="D9" s="53"/>
      <c r="E9" s="53"/>
      <c r="F9" s="69"/>
      <c r="G9" s="53"/>
      <c r="H9" s="69"/>
      <c r="I9" s="70">
        <f t="shared" si="0"/>
        <v>4506</v>
      </c>
      <c r="J9" s="71">
        <v>600343</v>
      </c>
      <c r="K9" s="55">
        <v>600343</v>
      </c>
      <c r="L9" s="55">
        <v>1147</v>
      </c>
    </row>
    <row r="10" spans="1:12" ht="15" customHeight="1" thickBot="1">
      <c r="A10" s="97">
        <v>2007</v>
      </c>
      <c r="B10" s="185">
        <f>+망상동10!B15</f>
        <v>4374</v>
      </c>
      <c r="C10" s="99">
        <f t="shared" si="1"/>
        <v>5</v>
      </c>
      <c r="D10" s="101" t="s">
        <v>73</v>
      </c>
      <c r="E10" s="101"/>
      <c r="F10" s="100"/>
      <c r="G10" s="101"/>
      <c r="H10" s="100"/>
      <c r="I10" s="102">
        <f t="shared" si="0"/>
        <v>4374</v>
      </c>
      <c r="J10" s="71">
        <v>611921</v>
      </c>
      <c r="K10" s="55">
        <v>611921</v>
      </c>
      <c r="L10" s="55">
        <v>1355</v>
      </c>
    </row>
    <row r="11" spans="1:12" ht="15" customHeight="1" thickTop="1">
      <c r="A11" s="255">
        <v>2008</v>
      </c>
      <c r="B11" s="81">
        <f t="shared" ref="B11:B28" si="2">ROUND($E$6*C11+$E$7,0)</f>
        <v>4242</v>
      </c>
      <c r="C11" s="77">
        <f t="shared" si="1"/>
        <v>6</v>
      </c>
      <c r="D11" s="256"/>
      <c r="E11" s="256"/>
      <c r="F11" s="78"/>
      <c r="G11" s="256"/>
      <c r="H11" s="78"/>
      <c r="I11" s="79">
        <f t="shared" si="0"/>
        <v>4242</v>
      </c>
      <c r="J11" s="74">
        <v>622238</v>
      </c>
      <c r="K11" s="55">
        <v>622238</v>
      </c>
      <c r="L11" s="55">
        <v>1717</v>
      </c>
    </row>
    <row r="12" spans="1:12" ht="15" customHeight="1">
      <c r="A12" s="80">
        <v>2009</v>
      </c>
      <c r="B12" s="81">
        <f t="shared" si="2"/>
        <v>4110</v>
      </c>
      <c r="C12" s="67">
        <f t="shared" si="1"/>
        <v>7</v>
      </c>
      <c r="D12" s="69"/>
      <c r="E12" s="69"/>
      <c r="F12" s="69"/>
      <c r="G12" s="69"/>
      <c r="H12" s="69"/>
      <c r="I12" s="70">
        <f t="shared" si="0"/>
        <v>4110</v>
      </c>
    </row>
    <row r="13" spans="1:12" ht="15" customHeight="1">
      <c r="A13" s="186">
        <v>2010</v>
      </c>
      <c r="B13" s="187">
        <f t="shared" si="2"/>
        <v>3978</v>
      </c>
      <c r="C13" s="188">
        <f t="shared" si="1"/>
        <v>8</v>
      </c>
      <c r="D13" s="189"/>
      <c r="E13" s="189"/>
      <c r="F13" s="189"/>
      <c r="G13" s="189"/>
      <c r="H13" s="189"/>
      <c r="I13" s="190">
        <f t="shared" si="0"/>
        <v>3978</v>
      </c>
    </row>
    <row r="14" spans="1:12" ht="15" customHeight="1">
      <c r="A14" s="80">
        <v>2011</v>
      </c>
      <c r="B14" s="81">
        <f t="shared" si="2"/>
        <v>3846</v>
      </c>
      <c r="C14" s="82">
        <f t="shared" si="1"/>
        <v>9</v>
      </c>
      <c r="D14" s="69"/>
      <c r="E14" s="69"/>
      <c r="F14" s="69"/>
      <c r="G14" s="69"/>
      <c r="H14" s="69"/>
      <c r="I14" s="70">
        <f t="shared" si="0"/>
        <v>3846</v>
      </c>
    </row>
    <row r="15" spans="1:12" ht="15" customHeight="1">
      <c r="A15" s="80">
        <v>2012</v>
      </c>
      <c r="B15" s="81">
        <f t="shared" si="2"/>
        <v>3714</v>
      </c>
      <c r="C15" s="82">
        <f t="shared" si="1"/>
        <v>10</v>
      </c>
      <c r="D15" s="69"/>
      <c r="E15" s="69"/>
      <c r="F15" s="69"/>
      <c r="G15" s="69"/>
      <c r="H15" s="69"/>
      <c r="I15" s="70">
        <f t="shared" si="0"/>
        <v>3714</v>
      </c>
    </row>
    <row r="16" spans="1:12" ht="15" customHeight="1">
      <c r="A16" s="80">
        <v>2013</v>
      </c>
      <c r="B16" s="81">
        <f t="shared" si="2"/>
        <v>3582</v>
      </c>
      <c r="C16" s="82">
        <f t="shared" si="1"/>
        <v>11</v>
      </c>
      <c r="D16" s="69"/>
      <c r="E16" s="69"/>
      <c r="F16" s="69"/>
      <c r="G16" s="69"/>
      <c r="H16" s="69"/>
      <c r="I16" s="70">
        <f t="shared" si="0"/>
        <v>3582</v>
      </c>
    </row>
    <row r="17" spans="1:9" ht="15" customHeight="1">
      <c r="A17" s="80">
        <v>2014</v>
      </c>
      <c r="B17" s="81">
        <f t="shared" si="2"/>
        <v>3450</v>
      </c>
      <c r="C17" s="82">
        <f t="shared" si="1"/>
        <v>12</v>
      </c>
      <c r="D17" s="69"/>
      <c r="E17" s="69"/>
      <c r="F17" s="69"/>
      <c r="G17" s="69"/>
      <c r="H17" s="69"/>
      <c r="I17" s="70">
        <f t="shared" si="0"/>
        <v>3450</v>
      </c>
    </row>
    <row r="18" spans="1:9" ht="15" customHeight="1">
      <c r="A18" s="186">
        <v>2015</v>
      </c>
      <c r="B18" s="187">
        <f t="shared" si="2"/>
        <v>3318</v>
      </c>
      <c r="C18" s="188">
        <f t="shared" si="1"/>
        <v>13</v>
      </c>
      <c r="D18" s="189"/>
      <c r="E18" s="189"/>
      <c r="F18" s="189"/>
      <c r="G18" s="189"/>
      <c r="H18" s="189"/>
      <c r="I18" s="190">
        <f t="shared" si="0"/>
        <v>3318</v>
      </c>
    </row>
    <row r="19" spans="1:9" ht="15" customHeight="1">
      <c r="A19" s="80">
        <v>2016</v>
      </c>
      <c r="B19" s="81">
        <f t="shared" si="2"/>
        <v>3186</v>
      </c>
      <c r="C19" s="82">
        <f t="shared" si="1"/>
        <v>14</v>
      </c>
      <c r="D19" s="69"/>
      <c r="E19" s="69"/>
      <c r="F19" s="69"/>
      <c r="G19" s="69"/>
      <c r="H19" s="69"/>
      <c r="I19" s="70">
        <f t="shared" si="0"/>
        <v>3186</v>
      </c>
    </row>
    <row r="20" spans="1:9" ht="15" customHeight="1">
      <c r="A20" s="80">
        <v>2017</v>
      </c>
      <c r="B20" s="81">
        <f t="shared" si="2"/>
        <v>3054</v>
      </c>
      <c r="C20" s="82">
        <f t="shared" si="1"/>
        <v>15</v>
      </c>
      <c r="D20" s="69"/>
      <c r="E20" s="69"/>
      <c r="F20" s="69"/>
      <c r="G20" s="69"/>
      <c r="H20" s="69"/>
      <c r="I20" s="70">
        <f t="shared" si="0"/>
        <v>3054</v>
      </c>
    </row>
    <row r="21" spans="1:9" ht="15" customHeight="1">
      <c r="A21" s="80">
        <v>2018</v>
      </c>
      <c r="B21" s="81">
        <f t="shared" si="2"/>
        <v>2922</v>
      </c>
      <c r="C21" s="82">
        <f t="shared" si="1"/>
        <v>16</v>
      </c>
      <c r="D21" s="69"/>
      <c r="E21" s="69"/>
      <c r="F21" s="69"/>
      <c r="G21" s="69"/>
      <c r="H21" s="69"/>
      <c r="I21" s="70">
        <f t="shared" si="0"/>
        <v>2922</v>
      </c>
    </row>
    <row r="22" spans="1:9" ht="15" customHeight="1">
      <c r="A22" s="80">
        <v>2019</v>
      </c>
      <c r="B22" s="81">
        <f t="shared" si="2"/>
        <v>2790</v>
      </c>
      <c r="C22" s="82">
        <f t="shared" si="1"/>
        <v>17</v>
      </c>
      <c r="D22" s="69"/>
      <c r="E22" s="69"/>
      <c r="F22" s="69"/>
      <c r="G22" s="69"/>
      <c r="H22" s="69"/>
      <c r="I22" s="70">
        <f t="shared" si="0"/>
        <v>2790</v>
      </c>
    </row>
    <row r="23" spans="1:9" ht="15" customHeight="1">
      <c r="A23" s="186">
        <v>2020</v>
      </c>
      <c r="B23" s="187">
        <f t="shared" si="2"/>
        <v>2658</v>
      </c>
      <c r="C23" s="188">
        <f t="shared" si="1"/>
        <v>18</v>
      </c>
      <c r="D23" s="189"/>
      <c r="E23" s="189"/>
      <c r="F23" s="189"/>
      <c r="G23" s="189"/>
      <c r="H23" s="189"/>
      <c r="I23" s="190">
        <f t="shared" si="0"/>
        <v>2658</v>
      </c>
    </row>
    <row r="24" spans="1:9" ht="15" customHeight="1">
      <c r="A24" s="80">
        <v>2021</v>
      </c>
      <c r="B24" s="81">
        <f t="shared" si="2"/>
        <v>2526</v>
      </c>
      <c r="C24" s="82">
        <f t="shared" si="1"/>
        <v>19</v>
      </c>
      <c r="D24" s="69"/>
      <c r="E24" s="69"/>
      <c r="F24" s="69"/>
      <c r="G24" s="69"/>
      <c r="H24" s="69"/>
      <c r="I24" s="70">
        <f t="shared" si="0"/>
        <v>2526</v>
      </c>
    </row>
    <row r="25" spans="1:9" ht="15" customHeight="1">
      <c r="A25" s="80">
        <v>2022</v>
      </c>
      <c r="B25" s="81">
        <f t="shared" si="2"/>
        <v>2394</v>
      </c>
      <c r="C25" s="82">
        <f t="shared" si="1"/>
        <v>20</v>
      </c>
      <c r="D25" s="69"/>
      <c r="E25" s="69"/>
      <c r="F25" s="69"/>
      <c r="G25" s="69"/>
      <c r="H25" s="69"/>
      <c r="I25" s="70">
        <f t="shared" si="0"/>
        <v>2394</v>
      </c>
    </row>
    <row r="26" spans="1:9" ht="15" customHeight="1">
      <c r="A26" s="80">
        <v>2023</v>
      </c>
      <c r="B26" s="81">
        <f t="shared" si="2"/>
        <v>2262</v>
      </c>
      <c r="C26" s="82">
        <f t="shared" si="1"/>
        <v>21</v>
      </c>
      <c r="D26" s="69"/>
      <c r="E26" s="69"/>
      <c r="F26" s="69"/>
      <c r="G26" s="69"/>
      <c r="H26" s="69"/>
      <c r="I26" s="70">
        <f t="shared" si="0"/>
        <v>2262</v>
      </c>
    </row>
    <row r="27" spans="1:9" ht="15" customHeight="1">
      <c r="A27" s="80">
        <v>2024</v>
      </c>
      <c r="B27" s="81">
        <f t="shared" si="2"/>
        <v>2130</v>
      </c>
      <c r="C27" s="67">
        <f t="shared" si="1"/>
        <v>22</v>
      </c>
      <c r="D27" s="83"/>
      <c r="E27" s="69"/>
      <c r="F27" s="69"/>
      <c r="G27" s="69"/>
      <c r="H27" s="84"/>
      <c r="I27" s="70">
        <f t="shared" si="0"/>
        <v>2130</v>
      </c>
    </row>
    <row r="28" spans="1:9" ht="15" customHeight="1">
      <c r="A28" s="191">
        <v>2025</v>
      </c>
      <c r="B28" s="192">
        <f t="shared" si="2"/>
        <v>1998</v>
      </c>
      <c r="C28" s="193">
        <f t="shared" si="1"/>
        <v>23</v>
      </c>
      <c r="D28" s="194"/>
      <c r="E28" s="195"/>
      <c r="F28" s="195"/>
      <c r="G28" s="195"/>
      <c r="H28" s="196"/>
      <c r="I28" s="197">
        <f t="shared" si="0"/>
        <v>1998</v>
      </c>
    </row>
    <row r="29" spans="1:9" ht="15" customHeight="1">
      <c r="A29" s="56" t="s">
        <v>78</v>
      </c>
      <c r="B29" s="92"/>
      <c r="I29" s="89"/>
    </row>
    <row r="30" spans="1:9" ht="15" customHeight="1">
      <c r="A30" s="58" t="s">
        <v>32</v>
      </c>
      <c r="B30" s="59" t="s">
        <v>40</v>
      </c>
      <c r="C30" s="59" t="s">
        <v>33</v>
      </c>
      <c r="D30" s="60"/>
      <c r="E30" s="60"/>
      <c r="F30" s="61"/>
      <c r="G30" s="62"/>
      <c r="H30" s="63" t="s">
        <v>266</v>
      </c>
      <c r="I30" s="64">
        <f>RSQ(I32:I37,B32:B37)</f>
        <v>0.99602871844588359</v>
      </c>
    </row>
    <row r="31" spans="1:9" ht="15" customHeight="1">
      <c r="A31" s="65">
        <v>2002</v>
      </c>
      <c r="B31" s="93">
        <f t="shared" ref="B31:B36" si="3">B5</f>
        <v>5034</v>
      </c>
      <c r="C31" s="67">
        <v>0</v>
      </c>
      <c r="D31" s="53"/>
      <c r="E31" s="53"/>
      <c r="F31" s="69"/>
      <c r="G31" s="264"/>
      <c r="H31" s="265"/>
      <c r="I31" s="94">
        <f t="shared" ref="I31:I54" si="4">$E$32*C31+$E$33</f>
        <v>5001.9047619047615</v>
      </c>
    </row>
    <row r="32" spans="1:9" ht="15" customHeight="1">
      <c r="A32" s="65">
        <f t="shared" ref="A32:A37" si="5">A6</f>
        <v>2003</v>
      </c>
      <c r="B32" s="93">
        <f t="shared" si="3"/>
        <v>4835</v>
      </c>
      <c r="C32" s="67">
        <f>+C31+1</f>
        <v>1</v>
      </c>
      <c r="D32" s="53" t="s">
        <v>75</v>
      </c>
      <c r="E32" s="68">
        <f>INDEX(LINEST(B31:B36,C31:C36),1)</f>
        <v>-128.62857142857146</v>
      </c>
      <c r="F32" s="69"/>
      <c r="G32" s="53"/>
      <c r="H32" s="69"/>
      <c r="I32" s="70">
        <f t="shared" si="4"/>
        <v>4873.2761904761901</v>
      </c>
    </row>
    <row r="33" spans="1:9" ht="15" customHeight="1">
      <c r="A33" s="65">
        <f t="shared" si="5"/>
        <v>2004</v>
      </c>
      <c r="B33" s="93">
        <f t="shared" si="3"/>
        <v>4742</v>
      </c>
      <c r="C33" s="67">
        <f t="shared" ref="C33:C54" si="6">C32+1</f>
        <v>2</v>
      </c>
      <c r="D33" s="53" t="s">
        <v>76</v>
      </c>
      <c r="E33" s="72">
        <f>INDEX(LINEST(B31:B36,C31:C36),2)</f>
        <v>5001.9047619047615</v>
      </c>
      <c r="F33" s="69"/>
      <c r="G33" s="53"/>
      <c r="H33" s="69"/>
      <c r="I33" s="70">
        <f t="shared" si="4"/>
        <v>4744.6476190476187</v>
      </c>
    </row>
    <row r="34" spans="1:9" ht="15" customHeight="1">
      <c r="A34" s="65">
        <f t="shared" si="5"/>
        <v>2005</v>
      </c>
      <c r="B34" s="93">
        <f t="shared" si="3"/>
        <v>4623</v>
      </c>
      <c r="C34" s="67">
        <f t="shared" si="6"/>
        <v>3</v>
      </c>
      <c r="D34" s="53" t="s">
        <v>77</v>
      </c>
      <c r="E34" s="73">
        <f>I30</f>
        <v>0.99602871844588359</v>
      </c>
      <c r="F34" s="69"/>
      <c r="G34" s="53"/>
      <c r="H34" s="69"/>
      <c r="I34" s="70">
        <f t="shared" si="4"/>
        <v>4616.0190476190473</v>
      </c>
    </row>
    <row r="35" spans="1:9" ht="15" customHeight="1">
      <c r="A35" s="65">
        <f t="shared" si="5"/>
        <v>2006</v>
      </c>
      <c r="B35" s="93">
        <f t="shared" si="3"/>
        <v>4474</v>
      </c>
      <c r="C35" s="67">
        <f t="shared" si="6"/>
        <v>4</v>
      </c>
      <c r="D35" s="53"/>
      <c r="E35" s="53"/>
      <c r="F35" s="69"/>
      <c r="G35" s="53"/>
      <c r="H35" s="69"/>
      <c r="I35" s="70">
        <f t="shared" si="4"/>
        <v>4487.390476190476</v>
      </c>
    </row>
    <row r="36" spans="1:9" ht="15" customHeight="1" thickBot="1">
      <c r="A36" s="97">
        <f t="shared" si="5"/>
        <v>2007</v>
      </c>
      <c r="B36" s="98">
        <f t="shared" si="3"/>
        <v>4374</v>
      </c>
      <c r="C36" s="99">
        <f t="shared" si="6"/>
        <v>5</v>
      </c>
      <c r="D36" s="101" t="s">
        <v>73</v>
      </c>
      <c r="E36" s="101"/>
      <c r="F36" s="100"/>
      <c r="G36" s="270"/>
      <c r="H36" s="100"/>
      <c r="I36" s="102">
        <f t="shared" si="4"/>
        <v>4358.7619047619046</v>
      </c>
    </row>
    <row r="37" spans="1:9" ht="15" customHeight="1" thickTop="1">
      <c r="A37" s="255">
        <f t="shared" si="5"/>
        <v>2008</v>
      </c>
      <c r="B37" s="81">
        <f t="shared" ref="B37:B54" si="7">ROUND(E$32*C37+E$33,0)</f>
        <v>4230</v>
      </c>
      <c r="C37" s="77">
        <f t="shared" si="6"/>
        <v>6</v>
      </c>
      <c r="D37" s="256"/>
      <c r="E37" s="256"/>
      <c r="F37" s="78"/>
      <c r="G37" s="256"/>
      <c r="H37" s="78"/>
      <c r="I37" s="79">
        <f t="shared" si="4"/>
        <v>4230.1333333333332</v>
      </c>
    </row>
    <row r="38" spans="1:9" ht="15" customHeight="1">
      <c r="A38" s="80">
        <v>2009</v>
      </c>
      <c r="B38" s="81">
        <f t="shared" si="7"/>
        <v>4102</v>
      </c>
      <c r="C38" s="67">
        <f t="shared" si="6"/>
        <v>7</v>
      </c>
      <c r="D38" s="69"/>
      <c r="E38" s="69"/>
      <c r="F38" s="69"/>
      <c r="G38" s="69"/>
      <c r="H38" s="69"/>
      <c r="I38" s="70">
        <f t="shared" si="4"/>
        <v>4101.5047619047609</v>
      </c>
    </row>
    <row r="39" spans="1:9" ht="15" customHeight="1">
      <c r="A39" s="186">
        <v>2010</v>
      </c>
      <c r="B39" s="187">
        <f t="shared" si="7"/>
        <v>3973</v>
      </c>
      <c r="C39" s="188">
        <f t="shared" si="6"/>
        <v>8</v>
      </c>
      <c r="D39" s="189"/>
      <c r="E39" s="189"/>
      <c r="F39" s="189"/>
      <c r="G39" s="189"/>
      <c r="H39" s="189"/>
      <c r="I39" s="190">
        <f t="shared" si="4"/>
        <v>3972.8761904761895</v>
      </c>
    </row>
    <row r="40" spans="1:9" ht="15" customHeight="1">
      <c r="A40" s="80">
        <v>2011</v>
      </c>
      <c r="B40" s="81">
        <f t="shared" si="7"/>
        <v>3844</v>
      </c>
      <c r="C40" s="82">
        <f t="shared" si="6"/>
        <v>9</v>
      </c>
      <c r="D40" s="69"/>
      <c r="E40" s="69"/>
      <c r="F40" s="69"/>
      <c r="G40" s="69"/>
      <c r="H40" s="69"/>
      <c r="I40" s="70">
        <f t="shared" si="4"/>
        <v>3844.2476190476182</v>
      </c>
    </row>
    <row r="41" spans="1:9" ht="15" customHeight="1">
      <c r="A41" s="80">
        <v>2012</v>
      </c>
      <c r="B41" s="81">
        <f t="shared" si="7"/>
        <v>3716</v>
      </c>
      <c r="C41" s="82">
        <f t="shared" si="6"/>
        <v>10</v>
      </c>
      <c r="D41" s="69"/>
      <c r="E41" s="69"/>
      <c r="F41" s="69"/>
      <c r="G41" s="69"/>
      <c r="H41" s="69"/>
      <c r="I41" s="70">
        <f t="shared" si="4"/>
        <v>3715.6190476190468</v>
      </c>
    </row>
    <row r="42" spans="1:9" ht="15" customHeight="1">
      <c r="A42" s="80">
        <v>2013</v>
      </c>
      <c r="B42" s="81">
        <f t="shared" si="7"/>
        <v>3587</v>
      </c>
      <c r="C42" s="82">
        <f t="shared" si="6"/>
        <v>11</v>
      </c>
      <c r="D42" s="69"/>
      <c r="E42" s="69"/>
      <c r="F42" s="69"/>
      <c r="G42" s="69"/>
      <c r="H42" s="69"/>
      <c r="I42" s="70">
        <f t="shared" si="4"/>
        <v>3586.9904761904754</v>
      </c>
    </row>
    <row r="43" spans="1:9" ht="15" customHeight="1">
      <c r="A43" s="80">
        <v>2014</v>
      </c>
      <c r="B43" s="81">
        <f t="shared" si="7"/>
        <v>3458</v>
      </c>
      <c r="C43" s="82">
        <f t="shared" si="6"/>
        <v>12</v>
      </c>
      <c r="D43" s="69"/>
      <c r="E43" s="69"/>
      <c r="F43" s="69"/>
      <c r="G43" s="69"/>
      <c r="H43" s="69"/>
      <c r="I43" s="70">
        <f t="shared" si="4"/>
        <v>3458.361904761904</v>
      </c>
    </row>
    <row r="44" spans="1:9" ht="15" customHeight="1">
      <c r="A44" s="186">
        <v>2015</v>
      </c>
      <c r="B44" s="187">
        <f t="shared" si="7"/>
        <v>3330</v>
      </c>
      <c r="C44" s="188">
        <f t="shared" si="6"/>
        <v>13</v>
      </c>
      <c r="D44" s="189"/>
      <c r="E44" s="189"/>
      <c r="F44" s="189"/>
      <c r="G44" s="189"/>
      <c r="H44" s="189"/>
      <c r="I44" s="190">
        <f t="shared" si="4"/>
        <v>3329.7333333333327</v>
      </c>
    </row>
    <row r="45" spans="1:9" ht="15" customHeight="1">
      <c r="A45" s="80">
        <v>2016</v>
      </c>
      <c r="B45" s="81">
        <f t="shared" si="7"/>
        <v>3201</v>
      </c>
      <c r="C45" s="82">
        <f t="shared" si="6"/>
        <v>14</v>
      </c>
      <c r="D45" s="69"/>
      <c r="E45" s="69"/>
      <c r="F45" s="69"/>
      <c r="G45" s="69"/>
      <c r="H45" s="69"/>
      <c r="I45" s="70">
        <f t="shared" si="4"/>
        <v>3201.1047619047613</v>
      </c>
    </row>
    <row r="46" spans="1:9" ht="15" customHeight="1">
      <c r="A46" s="80">
        <v>2017</v>
      </c>
      <c r="B46" s="81">
        <f t="shared" si="7"/>
        <v>3072</v>
      </c>
      <c r="C46" s="82">
        <f t="shared" si="6"/>
        <v>15</v>
      </c>
      <c r="D46" s="69"/>
      <c r="E46" s="69"/>
      <c r="F46" s="69"/>
      <c r="G46" s="69"/>
      <c r="H46" s="69"/>
      <c r="I46" s="70">
        <f t="shared" si="4"/>
        <v>3072.4761904761895</v>
      </c>
    </row>
    <row r="47" spans="1:9" ht="15" customHeight="1">
      <c r="A47" s="80">
        <v>2018</v>
      </c>
      <c r="B47" s="81">
        <f t="shared" si="7"/>
        <v>2944</v>
      </c>
      <c r="C47" s="82">
        <f t="shared" si="6"/>
        <v>16</v>
      </c>
      <c r="D47" s="69"/>
      <c r="E47" s="69"/>
      <c r="F47" s="69"/>
      <c r="G47" s="69"/>
      <c r="H47" s="69"/>
      <c r="I47" s="70">
        <f t="shared" si="4"/>
        <v>2943.8476190476181</v>
      </c>
    </row>
    <row r="48" spans="1:9" ht="15" customHeight="1">
      <c r="A48" s="80">
        <v>2019</v>
      </c>
      <c r="B48" s="81">
        <f t="shared" si="7"/>
        <v>2815</v>
      </c>
      <c r="C48" s="82">
        <f t="shared" si="6"/>
        <v>17</v>
      </c>
      <c r="D48" s="69"/>
      <c r="E48" s="69"/>
      <c r="F48" s="69"/>
      <c r="G48" s="69"/>
      <c r="H48" s="69"/>
      <c r="I48" s="70">
        <f t="shared" si="4"/>
        <v>2815.2190476190467</v>
      </c>
    </row>
    <row r="49" spans="1:11" ht="15" customHeight="1">
      <c r="A49" s="186">
        <v>2020</v>
      </c>
      <c r="B49" s="187">
        <f t="shared" si="7"/>
        <v>2687</v>
      </c>
      <c r="C49" s="188">
        <f t="shared" si="6"/>
        <v>18</v>
      </c>
      <c r="D49" s="189"/>
      <c r="E49" s="189"/>
      <c r="F49" s="189"/>
      <c r="G49" s="189"/>
      <c r="H49" s="189"/>
      <c r="I49" s="190">
        <f t="shared" si="4"/>
        <v>2686.5904761904753</v>
      </c>
    </row>
    <row r="50" spans="1:11" ht="15" customHeight="1">
      <c r="A50" s="80">
        <v>2021</v>
      </c>
      <c r="B50" s="81">
        <f t="shared" si="7"/>
        <v>2558</v>
      </c>
      <c r="C50" s="82">
        <f t="shared" si="6"/>
        <v>19</v>
      </c>
      <c r="D50" s="69"/>
      <c r="E50" s="69"/>
      <c r="F50" s="69"/>
      <c r="G50" s="69"/>
      <c r="H50" s="69"/>
      <c r="I50" s="70">
        <f t="shared" si="4"/>
        <v>2557.9619047619035</v>
      </c>
    </row>
    <row r="51" spans="1:11" ht="15" customHeight="1">
      <c r="A51" s="80">
        <v>2022</v>
      </c>
      <c r="B51" s="81">
        <f t="shared" si="7"/>
        <v>2429</v>
      </c>
      <c r="C51" s="82">
        <f t="shared" si="6"/>
        <v>20</v>
      </c>
      <c r="D51" s="69"/>
      <c r="E51" s="69"/>
      <c r="F51" s="69"/>
      <c r="G51" s="69"/>
      <c r="H51" s="69"/>
      <c r="I51" s="70">
        <f t="shared" si="4"/>
        <v>2429.3333333333321</v>
      </c>
    </row>
    <row r="52" spans="1:11" ht="15" customHeight="1">
      <c r="A52" s="80">
        <v>2023</v>
      </c>
      <c r="B52" s="81">
        <f t="shared" si="7"/>
        <v>2301</v>
      </c>
      <c r="C52" s="82">
        <f t="shared" si="6"/>
        <v>21</v>
      </c>
      <c r="D52" s="69"/>
      <c r="E52" s="69"/>
      <c r="F52" s="69"/>
      <c r="G52" s="69"/>
      <c r="H52" s="69"/>
      <c r="I52" s="70">
        <f t="shared" si="4"/>
        <v>2300.7047619047607</v>
      </c>
    </row>
    <row r="53" spans="1:11" ht="15" customHeight="1">
      <c r="A53" s="80">
        <v>2024</v>
      </c>
      <c r="B53" s="81">
        <f t="shared" si="7"/>
        <v>2172</v>
      </c>
      <c r="C53" s="67">
        <f t="shared" si="6"/>
        <v>22</v>
      </c>
      <c r="D53" s="69"/>
      <c r="E53" s="69"/>
      <c r="F53" s="69"/>
      <c r="G53" s="69"/>
      <c r="H53" s="69"/>
      <c r="I53" s="70">
        <f t="shared" si="4"/>
        <v>2172.0761904761894</v>
      </c>
    </row>
    <row r="54" spans="1:11" ht="15" customHeight="1">
      <c r="A54" s="191">
        <v>2025</v>
      </c>
      <c r="B54" s="192">
        <f t="shared" si="7"/>
        <v>2043</v>
      </c>
      <c r="C54" s="193">
        <f t="shared" si="6"/>
        <v>23</v>
      </c>
      <c r="D54" s="195"/>
      <c r="E54" s="195"/>
      <c r="F54" s="195"/>
      <c r="G54" s="195"/>
      <c r="H54" s="195"/>
      <c r="I54" s="197">
        <f t="shared" si="4"/>
        <v>2043.447619047618</v>
      </c>
    </row>
    <row r="55" spans="1:11" ht="15" customHeight="1">
      <c r="A55" s="56" t="s">
        <v>79</v>
      </c>
      <c r="B55" s="57"/>
    </row>
    <row r="56" spans="1:11" ht="15" customHeight="1">
      <c r="A56" s="58" t="s">
        <v>32</v>
      </c>
      <c r="B56" s="59" t="s">
        <v>40</v>
      </c>
      <c r="C56" s="59" t="s">
        <v>34</v>
      </c>
      <c r="D56" s="59" t="s">
        <v>33</v>
      </c>
      <c r="E56" s="103"/>
      <c r="F56" s="60"/>
      <c r="G56" s="61"/>
      <c r="H56" s="63" t="s">
        <v>266</v>
      </c>
      <c r="I56" s="64">
        <f>RSQ(I58:I63,B58:B63)</f>
        <v>0.99576811535620335</v>
      </c>
    </row>
    <row r="57" spans="1:11" ht="15" customHeight="1">
      <c r="A57" s="65">
        <v>2002</v>
      </c>
      <c r="B57" s="104">
        <f t="shared" ref="B57:B62" si="8">B5</f>
        <v>5034</v>
      </c>
      <c r="C57" s="105">
        <f t="shared" ref="C57:C80" si="9">LN(B57)</f>
        <v>8.5239701756952613</v>
      </c>
      <c r="D57" s="67">
        <v>0</v>
      </c>
      <c r="E57" s="106"/>
      <c r="F57" s="53"/>
      <c r="G57" s="69"/>
      <c r="H57" s="265"/>
      <c r="I57" s="109">
        <f t="shared" ref="I57:I80" si="10">ROUND($F$59*(1+$F$58)^(D57),1)</f>
        <v>5034</v>
      </c>
    </row>
    <row r="58" spans="1:11" ht="15" customHeight="1">
      <c r="A58" s="65">
        <f t="shared" ref="A58:A63" si="11">A6</f>
        <v>2003</v>
      </c>
      <c r="B58" s="104">
        <f t="shared" si="8"/>
        <v>4835</v>
      </c>
      <c r="C58" s="105">
        <f t="shared" si="9"/>
        <v>8.4836364078873938</v>
      </c>
      <c r="D58" s="67">
        <f>+D57+1</f>
        <v>1</v>
      </c>
      <c r="E58" s="106" t="s">
        <v>37</v>
      </c>
      <c r="F58" s="73">
        <f>ROUND((B62/B57)^(1/D62)-1,5)</f>
        <v>-2.7720000000000002E-2</v>
      </c>
      <c r="G58" s="107"/>
      <c r="H58" s="108"/>
      <c r="I58" s="109">
        <f t="shared" si="10"/>
        <v>4894.5</v>
      </c>
    </row>
    <row r="59" spans="1:11" ht="15" customHeight="1">
      <c r="A59" s="65">
        <f t="shared" si="11"/>
        <v>2004</v>
      </c>
      <c r="B59" s="104">
        <f t="shared" si="8"/>
        <v>4742</v>
      </c>
      <c r="C59" s="105">
        <f t="shared" si="9"/>
        <v>8.4642142666253513</v>
      </c>
      <c r="D59" s="67">
        <f t="shared" ref="D59:D80" si="12">D58+1</f>
        <v>2</v>
      </c>
      <c r="E59" s="106" t="s">
        <v>80</v>
      </c>
      <c r="F59" s="110">
        <f>B57</f>
        <v>5034</v>
      </c>
      <c r="G59" s="107"/>
      <c r="H59" s="108"/>
      <c r="I59" s="109">
        <f t="shared" si="10"/>
        <v>4758.8</v>
      </c>
      <c r="K59" s="111"/>
    </row>
    <row r="60" spans="1:11" ht="15" customHeight="1">
      <c r="A60" s="65">
        <f t="shared" si="11"/>
        <v>2005</v>
      </c>
      <c r="B60" s="104">
        <f t="shared" si="8"/>
        <v>4623</v>
      </c>
      <c r="C60" s="105">
        <f t="shared" si="9"/>
        <v>8.4387991239882254</v>
      </c>
      <c r="D60" s="67">
        <f t="shared" si="12"/>
        <v>3</v>
      </c>
      <c r="E60" s="106" t="s">
        <v>77</v>
      </c>
      <c r="F60" s="73">
        <f>I56</f>
        <v>0.99576811535620335</v>
      </c>
      <c r="G60" s="108"/>
      <c r="H60" s="108"/>
      <c r="I60" s="109">
        <f t="shared" si="10"/>
        <v>4626.8999999999996</v>
      </c>
    </row>
    <row r="61" spans="1:11" ht="15" customHeight="1">
      <c r="A61" s="65">
        <f t="shared" si="11"/>
        <v>2006</v>
      </c>
      <c r="B61" s="104">
        <f t="shared" si="8"/>
        <v>4474</v>
      </c>
      <c r="C61" s="105">
        <f t="shared" si="9"/>
        <v>8.4060381420500754</v>
      </c>
      <c r="D61" s="67">
        <f t="shared" si="12"/>
        <v>4</v>
      </c>
      <c r="E61" s="106"/>
      <c r="F61" s="73"/>
      <c r="G61" s="108"/>
      <c r="H61" s="108"/>
      <c r="I61" s="109">
        <f t="shared" si="10"/>
        <v>4498.6000000000004</v>
      </c>
    </row>
    <row r="62" spans="1:11" ht="15" customHeight="1" thickBot="1">
      <c r="A62" s="97">
        <f t="shared" si="11"/>
        <v>2007</v>
      </c>
      <c r="B62" s="116">
        <f t="shared" si="8"/>
        <v>4374</v>
      </c>
      <c r="C62" s="117">
        <f t="shared" si="9"/>
        <v>8.3834332012367128</v>
      </c>
      <c r="D62" s="99">
        <f t="shared" si="12"/>
        <v>5</v>
      </c>
      <c r="E62" s="205" t="s">
        <v>81</v>
      </c>
      <c r="F62" s="271"/>
      <c r="G62" s="118"/>
      <c r="H62" s="118"/>
      <c r="I62" s="120">
        <f t="shared" si="10"/>
        <v>4373.8999999999996</v>
      </c>
    </row>
    <row r="63" spans="1:11" ht="15" customHeight="1" thickTop="1">
      <c r="A63" s="255">
        <f t="shared" si="11"/>
        <v>2008</v>
      </c>
      <c r="B63" s="81">
        <f t="shared" ref="B63:B80" si="13">ROUND(F$59*(1+F$58)^D63,0)</f>
        <v>4253</v>
      </c>
      <c r="C63" s="121">
        <f t="shared" si="9"/>
        <v>8.355379895253634</v>
      </c>
      <c r="D63" s="77">
        <f t="shared" si="12"/>
        <v>6</v>
      </c>
      <c r="E63" s="272"/>
      <c r="F63" s="273"/>
      <c r="G63" s="259"/>
      <c r="H63" s="259"/>
      <c r="I63" s="123">
        <f t="shared" si="10"/>
        <v>4252.7</v>
      </c>
    </row>
    <row r="64" spans="1:11" ht="15" customHeight="1">
      <c r="A64" s="80">
        <v>2009</v>
      </c>
      <c r="B64" s="81">
        <f t="shared" si="13"/>
        <v>4135</v>
      </c>
      <c r="C64" s="105">
        <f t="shared" si="9"/>
        <v>8.3272426074577925</v>
      </c>
      <c r="D64" s="67">
        <f t="shared" si="12"/>
        <v>7</v>
      </c>
      <c r="E64" s="83"/>
      <c r="F64" s="69"/>
      <c r="G64" s="69"/>
      <c r="H64" s="69"/>
      <c r="I64" s="109">
        <f t="shared" si="10"/>
        <v>4134.8</v>
      </c>
    </row>
    <row r="65" spans="1:9" ht="15" customHeight="1">
      <c r="A65" s="186">
        <v>2010</v>
      </c>
      <c r="B65" s="187">
        <f t="shared" si="13"/>
        <v>4020</v>
      </c>
      <c r="C65" s="198">
        <f t="shared" si="9"/>
        <v>8.2990371816130661</v>
      </c>
      <c r="D65" s="199">
        <f t="shared" si="12"/>
        <v>8</v>
      </c>
      <c r="E65" s="200"/>
      <c r="F65" s="189"/>
      <c r="G65" s="189"/>
      <c r="H65" s="189"/>
      <c r="I65" s="201">
        <f t="shared" si="10"/>
        <v>4020.2</v>
      </c>
    </row>
    <row r="66" spans="1:9" ht="15" customHeight="1">
      <c r="A66" s="80">
        <v>2011</v>
      </c>
      <c r="B66" s="81">
        <f t="shared" si="13"/>
        <v>3909</v>
      </c>
      <c r="C66" s="105">
        <f t="shared" si="9"/>
        <v>8.2710368657929543</v>
      </c>
      <c r="D66" s="67">
        <f t="shared" si="12"/>
        <v>9</v>
      </c>
      <c r="E66" s="83"/>
      <c r="F66" s="69"/>
      <c r="G66" s="69"/>
      <c r="H66" s="69"/>
      <c r="I66" s="109">
        <f t="shared" si="10"/>
        <v>3908.7</v>
      </c>
    </row>
    <row r="67" spans="1:9" ht="15" customHeight="1">
      <c r="A67" s="80">
        <v>2012</v>
      </c>
      <c r="B67" s="81">
        <f t="shared" si="13"/>
        <v>3800</v>
      </c>
      <c r="C67" s="105">
        <f t="shared" si="9"/>
        <v>8.2427563457144775</v>
      </c>
      <c r="D67" s="67">
        <f t="shared" si="12"/>
        <v>10</v>
      </c>
      <c r="E67" s="83"/>
      <c r="F67" s="69"/>
      <c r="G67" s="69"/>
      <c r="H67" s="69"/>
      <c r="I67" s="109">
        <f t="shared" si="10"/>
        <v>3800.4</v>
      </c>
    </row>
    <row r="68" spans="1:9" ht="15" customHeight="1">
      <c r="A68" s="80">
        <v>2013</v>
      </c>
      <c r="B68" s="81">
        <f t="shared" si="13"/>
        <v>3695</v>
      </c>
      <c r="C68" s="105">
        <f t="shared" si="9"/>
        <v>8.2147358333823028</v>
      </c>
      <c r="D68" s="67">
        <f t="shared" si="12"/>
        <v>11</v>
      </c>
      <c r="E68" s="83"/>
      <c r="F68" s="69"/>
      <c r="G68" s="69"/>
      <c r="H68" s="69"/>
      <c r="I68" s="109">
        <f t="shared" si="10"/>
        <v>3695</v>
      </c>
    </row>
    <row r="69" spans="1:9" ht="15" customHeight="1">
      <c r="A69" s="80">
        <v>2014</v>
      </c>
      <c r="B69" s="81">
        <f t="shared" si="13"/>
        <v>3593</v>
      </c>
      <c r="C69" s="105">
        <f t="shared" si="9"/>
        <v>8.1867427871135181</v>
      </c>
      <c r="D69" s="67">
        <f t="shared" si="12"/>
        <v>12</v>
      </c>
      <c r="E69" s="83"/>
      <c r="F69" s="69"/>
      <c r="G69" s="69"/>
      <c r="H69" s="69"/>
      <c r="I69" s="109">
        <f t="shared" si="10"/>
        <v>3592.6</v>
      </c>
    </row>
    <row r="70" spans="1:9" ht="15" customHeight="1">
      <c r="A70" s="186">
        <v>2015</v>
      </c>
      <c r="B70" s="187">
        <f t="shared" si="13"/>
        <v>3493</v>
      </c>
      <c r="C70" s="198">
        <f t="shared" si="9"/>
        <v>8.1585162448068314</v>
      </c>
      <c r="D70" s="199">
        <f t="shared" si="12"/>
        <v>13</v>
      </c>
      <c r="E70" s="200"/>
      <c r="F70" s="189"/>
      <c r="G70" s="189"/>
      <c r="H70" s="189"/>
      <c r="I70" s="201">
        <f t="shared" si="10"/>
        <v>3493</v>
      </c>
    </row>
    <row r="71" spans="1:9" ht="15" customHeight="1">
      <c r="A71" s="80">
        <v>2016</v>
      </c>
      <c r="B71" s="81">
        <f t="shared" si="13"/>
        <v>3396</v>
      </c>
      <c r="C71" s="105">
        <f t="shared" si="9"/>
        <v>8.1303535474312376</v>
      </c>
      <c r="D71" s="67">
        <f t="shared" si="12"/>
        <v>14</v>
      </c>
      <c r="E71" s="83"/>
      <c r="F71" s="69"/>
      <c r="G71" s="69"/>
      <c r="H71" s="69"/>
      <c r="I71" s="109">
        <f t="shared" si="10"/>
        <v>3396.2</v>
      </c>
    </row>
    <row r="72" spans="1:9" ht="15" customHeight="1">
      <c r="A72" s="80">
        <v>2017</v>
      </c>
      <c r="B72" s="81">
        <f t="shared" si="13"/>
        <v>3302</v>
      </c>
      <c r="C72" s="105">
        <f t="shared" si="9"/>
        <v>8.1022836244800729</v>
      </c>
      <c r="D72" s="67">
        <f t="shared" si="12"/>
        <v>15</v>
      </c>
      <c r="E72" s="83"/>
      <c r="F72" s="69"/>
      <c r="G72" s="69"/>
      <c r="H72" s="69"/>
      <c r="I72" s="109">
        <f t="shared" si="10"/>
        <v>3302</v>
      </c>
    </row>
    <row r="73" spans="1:9" ht="15" customHeight="1">
      <c r="A73" s="80">
        <v>2018</v>
      </c>
      <c r="B73" s="81">
        <f t="shared" si="13"/>
        <v>3211</v>
      </c>
      <c r="C73" s="105">
        <f t="shared" si="9"/>
        <v>8.0743376940895146</v>
      </c>
      <c r="D73" s="67">
        <f t="shared" si="12"/>
        <v>16</v>
      </c>
      <c r="E73" s="83"/>
      <c r="F73" s="69"/>
      <c r="G73" s="69"/>
      <c r="H73" s="69"/>
      <c r="I73" s="109">
        <f t="shared" si="10"/>
        <v>3210.5</v>
      </c>
    </row>
    <row r="74" spans="1:9" ht="15" customHeight="1">
      <c r="A74" s="80">
        <v>2019</v>
      </c>
      <c r="B74" s="81">
        <f t="shared" si="13"/>
        <v>3122</v>
      </c>
      <c r="C74" s="105">
        <f t="shared" si="9"/>
        <v>8.0462291010753777</v>
      </c>
      <c r="D74" s="67">
        <f t="shared" si="12"/>
        <v>17</v>
      </c>
      <c r="E74" s="83"/>
      <c r="F74" s="69"/>
      <c r="G74" s="69"/>
      <c r="H74" s="69"/>
      <c r="I74" s="109">
        <f t="shared" si="10"/>
        <v>3121.5</v>
      </c>
    </row>
    <row r="75" spans="1:9" ht="15" customHeight="1">
      <c r="A75" s="186">
        <v>2020</v>
      </c>
      <c r="B75" s="187">
        <f t="shared" si="13"/>
        <v>3035</v>
      </c>
      <c r="C75" s="198">
        <f t="shared" si="9"/>
        <v>8.0179667034935989</v>
      </c>
      <c r="D75" s="199">
        <f t="shared" si="12"/>
        <v>18</v>
      </c>
      <c r="E75" s="200"/>
      <c r="F75" s="189"/>
      <c r="G75" s="189"/>
      <c r="H75" s="189"/>
      <c r="I75" s="201">
        <f t="shared" si="10"/>
        <v>3035</v>
      </c>
    </row>
    <row r="76" spans="1:9" ht="15" customHeight="1">
      <c r="A76" s="80">
        <v>2021</v>
      </c>
      <c r="B76" s="81">
        <f t="shared" si="13"/>
        <v>2951</v>
      </c>
      <c r="C76" s="105">
        <f t="shared" si="9"/>
        <v>7.9898993749429392</v>
      </c>
      <c r="D76" s="67">
        <f t="shared" si="12"/>
        <v>19</v>
      </c>
      <c r="E76" s="83"/>
      <c r="F76" s="69"/>
      <c r="G76" s="69"/>
      <c r="H76" s="69"/>
      <c r="I76" s="109">
        <f t="shared" si="10"/>
        <v>2950.9</v>
      </c>
    </row>
    <row r="77" spans="1:9" ht="15" customHeight="1">
      <c r="A77" s="80">
        <v>2022</v>
      </c>
      <c r="B77" s="81">
        <f t="shared" si="13"/>
        <v>2869</v>
      </c>
      <c r="C77" s="105">
        <f t="shared" si="9"/>
        <v>7.9617188159813645</v>
      </c>
      <c r="D77" s="67">
        <f t="shared" si="12"/>
        <v>20</v>
      </c>
      <c r="E77" s="83"/>
      <c r="F77" s="69"/>
      <c r="G77" s="69"/>
      <c r="H77" s="69"/>
      <c r="I77" s="109">
        <f t="shared" si="10"/>
        <v>2869.1</v>
      </c>
    </row>
    <row r="78" spans="1:9" ht="15" customHeight="1">
      <c r="A78" s="80">
        <v>2023</v>
      </c>
      <c r="B78" s="81">
        <f t="shared" si="13"/>
        <v>2790</v>
      </c>
      <c r="C78" s="105">
        <f t="shared" si="9"/>
        <v>7.9337968748154113</v>
      </c>
      <c r="D78" s="67">
        <f t="shared" si="12"/>
        <v>21</v>
      </c>
      <c r="E78" s="83"/>
      <c r="F78" s="69"/>
      <c r="G78" s="69"/>
      <c r="H78" s="69"/>
      <c r="I78" s="109">
        <f t="shared" si="10"/>
        <v>2789.5</v>
      </c>
    </row>
    <row r="79" spans="1:9" ht="15" customHeight="1">
      <c r="A79" s="80">
        <v>2024</v>
      </c>
      <c r="B79" s="81">
        <f t="shared" si="13"/>
        <v>2712</v>
      </c>
      <c r="C79" s="105">
        <f t="shared" si="9"/>
        <v>7.9054416490602861</v>
      </c>
      <c r="D79" s="67">
        <f t="shared" si="12"/>
        <v>22</v>
      </c>
      <c r="E79" s="69"/>
      <c r="F79" s="69"/>
      <c r="G79" s="69"/>
      <c r="H79" s="69"/>
      <c r="I79" s="109">
        <f t="shared" si="10"/>
        <v>2712.2</v>
      </c>
    </row>
    <row r="80" spans="1:9" ht="15" customHeight="1">
      <c r="A80" s="191">
        <v>2025</v>
      </c>
      <c r="B80" s="192">
        <f t="shared" si="13"/>
        <v>2637</v>
      </c>
      <c r="C80" s="202">
        <f t="shared" si="9"/>
        <v>7.8773971863532868</v>
      </c>
      <c r="D80" s="193">
        <f t="shared" si="12"/>
        <v>23</v>
      </c>
      <c r="E80" s="195"/>
      <c r="F80" s="195"/>
      <c r="G80" s="195"/>
      <c r="H80" s="195"/>
      <c r="I80" s="203">
        <f t="shared" si="10"/>
        <v>2637</v>
      </c>
    </row>
    <row r="81" spans="1:9" ht="15" customHeight="1">
      <c r="A81" s="56" t="s">
        <v>82</v>
      </c>
      <c r="B81" s="57"/>
    </row>
    <row r="82" spans="1:9" ht="15" customHeight="1">
      <c r="A82" s="58" t="s">
        <v>32</v>
      </c>
      <c r="B82" s="59" t="s">
        <v>40</v>
      </c>
      <c r="C82" s="59" t="s">
        <v>83</v>
      </c>
      <c r="D82" s="59" t="s">
        <v>33</v>
      </c>
      <c r="E82" s="59" t="s">
        <v>35</v>
      </c>
      <c r="F82" s="103"/>
      <c r="G82" s="60"/>
      <c r="H82" s="63" t="s">
        <v>266</v>
      </c>
      <c r="I82" s="64" t="e">
        <f>RSQ(I83:I88,B83:B88)</f>
        <v>#VALUE!</v>
      </c>
    </row>
    <row r="83" spans="1:9" ht="15" customHeight="1">
      <c r="A83" s="65">
        <v>2002</v>
      </c>
      <c r="B83" s="104">
        <f t="shared" ref="B83:B88" si="14">B5</f>
        <v>5034</v>
      </c>
      <c r="C83" s="67"/>
      <c r="D83" s="67">
        <v>0</v>
      </c>
      <c r="E83" s="67"/>
      <c r="F83" s="106"/>
      <c r="G83" s="53"/>
      <c r="H83" s="265"/>
      <c r="I83" s="277" t="e">
        <f>$B$83+$G$88*D83^$G$84</f>
        <v>#VALUE!</v>
      </c>
    </row>
    <row r="84" spans="1:9" ht="15" customHeight="1">
      <c r="A84" s="65">
        <f t="shared" ref="A84:A89" si="15">A6</f>
        <v>2003</v>
      </c>
      <c r="B84" s="104">
        <f t="shared" si="14"/>
        <v>4835</v>
      </c>
      <c r="C84" s="126" t="e">
        <f>LN(-B$83+B84)</f>
        <v>#NUM!</v>
      </c>
      <c r="D84" s="67">
        <f>+D83+1</f>
        <v>1</v>
      </c>
      <c r="E84" s="67">
        <f>LN(D84)</f>
        <v>0</v>
      </c>
      <c r="F84" s="106" t="s">
        <v>75</v>
      </c>
      <c r="G84" s="73" t="e">
        <f>INDEX(LINEST(C84:C88,E84:E88),1)</f>
        <v>#VALUE!</v>
      </c>
      <c r="H84" s="127"/>
      <c r="I84" s="278" t="e">
        <f>$B$83+$G$88*D84^$G$84</f>
        <v>#VALUE!</v>
      </c>
    </row>
    <row r="85" spans="1:9" ht="15" customHeight="1">
      <c r="A85" s="65">
        <f t="shared" si="15"/>
        <v>2004</v>
      </c>
      <c r="B85" s="104">
        <f t="shared" si="14"/>
        <v>4742</v>
      </c>
      <c r="C85" s="126" t="e">
        <f>LN(-B$83+B85)</f>
        <v>#NUM!</v>
      </c>
      <c r="D85" s="67">
        <f t="shared" ref="D85:D106" si="16">D84+1</f>
        <v>2</v>
      </c>
      <c r="E85" s="67">
        <f>LN(D85)</f>
        <v>0.69314718055994529</v>
      </c>
      <c r="F85" s="106" t="s">
        <v>76</v>
      </c>
      <c r="G85" s="73" t="e">
        <f>INDEX(LINEST(C84:C88,E84:E88),2)</f>
        <v>#VALUE!</v>
      </c>
      <c r="H85" s="129" t="s">
        <v>306</v>
      </c>
      <c r="I85" s="128" t="e">
        <f t="shared" ref="I85:I106" si="17">$B$84+$G$88*D85^$G$84</f>
        <v>#VALUE!</v>
      </c>
    </row>
    <row r="86" spans="1:9" ht="15" customHeight="1">
      <c r="A86" s="65">
        <f t="shared" si="15"/>
        <v>2005</v>
      </c>
      <c r="B86" s="104">
        <f t="shared" si="14"/>
        <v>4623</v>
      </c>
      <c r="C86" s="126" t="e">
        <f>LN(-B$83+B86)</f>
        <v>#NUM!</v>
      </c>
      <c r="D86" s="67">
        <f t="shared" si="16"/>
        <v>3</v>
      </c>
      <c r="E86" s="67">
        <f>LN(D86)</f>
        <v>1.0986122886681098</v>
      </c>
      <c r="F86" s="69"/>
      <c r="G86" s="130"/>
      <c r="H86" s="127"/>
      <c r="I86" s="128" t="e">
        <f t="shared" si="17"/>
        <v>#VALUE!</v>
      </c>
    </row>
    <row r="87" spans="1:9" ht="15" customHeight="1">
      <c r="A87" s="65">
        <f t="shared" si="15"/>
        <v>2006</v>
      </c>
      <c r="B87" s="104">
        <f t="shared" si="14"/>
        <v>4474</v>
      </c>
      <c r="C87" s="126" t="e">
        <f>LN(-B$83+B87)</f>
        <v>#NUM!</v>
      </c>
      <c r="D87" s="67">
        <f t="shared" si="16"/>
        <v>4</v>
      </c>
      <c r="E87" s="67">
        <f>LN(D87)</f>
        <v>1.3862943611198906</v>
      </c>
      <c r="F87" s="106" t="s">
        <v>77</v>
      </c>
      <c r="G87" s="73" t="e">
        <f>I82</f>
        <v>#VALUE!</v>
      </c>
      <c r="H87" s="127"/>
      <c r="I87" s="128" t="e">
        <f t="shared" si="17"/>
        <v>#VALUE!</v>
      </c>
    </row>
    <row r="88" spans="1:9" ht="15" customHeight="1" thickBot="1">
      <c r="A88" s="97">
        <f t="shared" si="15"/>
        <v>2007</v>
      </c>
      <c r="B88" s="116">
        <f t="shared" si="14"/>
        <v>4374</v>
      </c>
      <c r="C88" s="141" t="e">
        <f>LN(-B$83+B88)</f>
        <v>#NUM!</v>
      </c>
      <c r="D88" s="99">
        <f t="shared" si="16"/>
        <v>5</v>
      </c>
      <c r="E88" s="99">
        <f>LN(D88)</f>
        <v>1.6094379124341003</v>
      </c>
      <c r="F88" s="205" t="s">
        <v>38</v>
      </c>
      <c r="G88" s="274" t="e">
        <f>EXP(G85)</f>
        <v>#VALUE!</v>
      </c>
      <c r="H88" s="143"/>
      <c r="I88" s="144" t="e">
        <f t="shared" si="17"/>
        <v>#VALUE!</v>
      </c>
    </row>
    <row r="89" spans="1:9" ht="15" customHeight="1" thickTop="1">
      <c r="A89" s="255">
        <f t="shared" si="15"/>
        <v>2008</v>
      </c>
      <c r="B89" s="81" t="e">
        <f t="shared" ref="B89:B106" si="18">ROUND(LOOKUP(0,D$83:D$88,B$83:B$88)+G$88*D89^G$84,0)</f>
        <v>#VALUE!</v>
      </c>
      <c r="C89" s="257"/>
      <c r="D89" s="77">
        <f t="shared" si="16"/>
        <v>6</v>
      </c>
      <c r="E89" s="77"/>
      <c r="F89" s="275"/>
      <c r="G89" s="256"/>
      <c r="H89" s="258"/>
      <c r="I89" s="133" t="e">
        <f t="shared" si="17"/>
        <v>#VALUE!</v>
      </c>
    </row>
    <row r="90" spans="1:9" ht="15" customHeight="1">
      <c r="A90" s="80">
        <v>2009</v>
      </c>
      <c r="B90" s="81" t="e">
        <f t="shared" si="18"/>
        <v>#VALUE!</v>
      </c>
      <c r="C90" s="126"/>
      <c r="D90" s="67">
        <f t="shared" si="16"/>
        <v>7</v>
      </c>
      <c r="E90" s="67"/>
      <c r="F90" s="83"/>
      <c r="G90" s="69"/>
      <c r="H90" s="84"/>
      <c r="I90" s="128" t="e">
        <f t="shared" si="17"/>
        <v>#VALUE!</v>
      </c>
    </row>
    <row r="91" spans="1:9" ht="15" customHeight="1">
      <c r="A91" s="80">
        <v>2010</v>
      </c>
      <c r="B91" s="81" t="e">
        <f t="shared" si="18"/>
        <v>#VALUE!</v>
      </c>
      <c r="C91" s="126"/>
      <c r="D91" s="67">
        <f t="shared" si="16"/>
        <v>8</v>
      </c>
      <c r="E91" s="67"/>
      <c r="F91" s="83"/>
      <c r="G91" s="69"/>
      <c r="H91" s="84"/>
      <c r="I91" s="128" t="e">
        <f t="shared" si="17"/>
        <v>#VALUE!</v>
      </c>
    </row>
    <row r="92" spans="1:9" ht="15" customHeight="1">
      <c r="A92" s="80">
        <v>2011</v>
      </c>
      <c r="B92" s="81" t="e">
        <f t="shared" si="18"/>
        <v>#VALUE!</v>
      </c>
      <c r="C92" s="126"/>
      <c r="D92" s="67">
        <f t="shared" si="16"/>
        <v>9</v>
      </c>
      <c r="E92" s="67"/>
      <c r="F92" s="83"/>
      <c r="G92" s="69"/>
      <c r="H92" s="84"/>
      <c r="I92" s="128" t="e">
        <f t="shared" si="17"/>
        <v>#VALUE!</v>
      </c>
    </row>
    <row r="93" spans="1:9" ht="15" customHeight="1">
      <c r="A93" s="80">
        <v>2012</v>
      </c>
      <c r="B93" s="81" t="e">
        <f t="shared" si="18"/>
        <v>#VALUE!</v>
      </c>
      <c r="C93" s="126"/>
      <c r="D93" s="67">
        <f t="shared" si="16"/>
        <v>10</v>
      </c>
      <c r="E93" s="67"/>
      <c r="F93" s="83"/>
      <c r="G93" s="69"/>
      <c r="H93" s="84"/>
      <c r="I93" s="128" t="e">
        <f t="shared" si="17"/>
        <v>#VALUE!</v>
      </c>
    </row>
    <row r="94" spans="1:9" ht="15" customHeight="1">
      <c r="A94" s="80">
        <v>2013</v>
      </c>
      <c r="B94" s="81" t="e">
        <f t="shared" si="18"/>
        <v>#VALUE!</v>
      </c>
      <c r="C94" s="126"/>
      <c r="D94" s="67">
        <f t="shared" si="16"/>
        <v>11</v>
      </c>
      <c r="E94" s="67"/>
      <c r="F94" s="83"/>
      <c r="G94" s="69"/>
      <c r="H94" s="84"/>
      <c r="I94" s="128" t="e">
        <f t="shared" si="17"/>
        <v>#VALUE!</v>
      </c>
    </row>
    <row r="95" spans="1:9" ht="15" customHeight="1">
      <c r="A95" s="80">
        <v>2014</v>
      </c>
      <c r="B95" s="81" t="e">
        <f t="shared" si="18"/>
        <v>#VALUE!</v>
      </c>
      <c r="C95" s="126"/>
      <c r="D95" s="67">
        <f t="shared" si="16"/>
        <v>12</v>
      </c>
      <c r="E95" s="67"/>
      <c r="F95" s="83"/>
      <c r="G95" s="69"/>
      <c r="H95" s="84"/>
      <c r="I95" s="128" t="e">
        <f t="shared" si="17"/>
        <v>#VALUE!</v>
      </c>
    </row>
    <row r="96" spans="1:9" ht="15" customHeight="1">
      <c r="A96" s="80">
        <v>2015</v>
      </c>
      <c r="B96" s="81" t="e">
        <f t="shared" si="18"/>
        <v>#VALUE!</v>
      </c>
      <c r="C96" s="126"/>
      <c r="D96" s="67">
        <f t="shared" si="16"/>
        <v>13</v>
      </c>
      <c r="E96" s="67"/>
      <c r="F96" s="83"/>
      <c r="G96" s="69"/>
      <c r="H96" s="84"/>
      <c r="I96" s="128" t="e">
        <f t="shared" si="17"/>
        <v>#VALUE!</v>
      </c>
    </row>
    <row r="97" spans="1:9" ht="15" customHeight="1">
      <c r="A97" s="80">
        <v>2016</v>
      </c>
      <c r="B97" s="81" t="e">
        <f t="shared" si="18"/>
        <v>#VALUE!</v>
      </c>
      <c r="C97" s="126"/>
      <c r="D97" s="67">
        <f t="shared" si="16"/>
        <v>14</v>
      </c>
      <c r="E97" s="67"/>
      <c r="F97" s="83"/>
      <c r="G97" s="69"/>
      <c r="H97" s="84"/>
      <c r="I97" s="128" t="e">
        <f t="shared" si="17"/>
        <v>#VALUE!</v>
      </c>
    </row>
    <row r="98" spans="1:9" ht="15" customHeight="1">
      <c r="A98" s="80">
        <v>2017</v>
      </c>
      <c r="B98" s="81" t="e">
        <f t="shared" si="18"/>
        <v>#VALUE!</v>
      </c>
      <c r="C98" s="126"/>
      <c r="D98" s="67">
        <f t="shared" si="16"/>
        <v>15</v>
      </c>
      <c r="E98" s="67"/>
      <c r="F98" s="83"/>
      <c r="G98" s="69"/>
      <c r="H98" s="84"/>
      <c r="I98" s="128" t="e">
        <f t="shared" si="17"/>
        <v>#VALUE!</v>
      </c>
    </row>
    <row r="99" spans="1:9" ht="15" customHeight="1">
      <c r="A99" s="80">
        <v>2018</v>
      </c>
      <c r="B99" s="81" t="e">
        <f t="shared" si="18"/>
        <v>#VALUE!</v>
      </c>
      <c r="C99" s="126"/>
      <c r="D99" s="67">
        <f t="shared" si="16"/>
        <v>16</v>
      </c>
      <c r="E99" s="67"/>
      <c r="F99" s="83"/>
      <c r="G99" s="69"/>
      <c r="H99" s="84"/>
      <c r="I99" s="128" t="e">
        <f t="shared" si="17"/>
        <v>#VALUE!</v>
      </c>
    </row>
    <row r="100" spans="1:9" ht="15" customHeight="1">
      <c r="A100" s="80">
        <v>2019</v>
      </c>
      <c r="B100" s="81" t="e">
        <f t="shared" si="18"/>
        <v>#VALUE!</v>
      </c>
      <c r="C100" s="126"/>
      <c r="D100" s="67">
        <f t="shared" si="16"/>
        <v>17</v>
      </c>
      <c r="E100" s="67"/>
      <c r="F100" s="83"/>
      <c r="G100" s="69"/>
      <c r="H100" s="84"/>
      <c r="I100" s="128" t="e">
        <f t="shared" si="17"/>
        <v>#VALUE!</v>
      </c>
    </row>
    <row r="101" spans="1:9" ht="15" customHeight="1">
      <c r="A101" s="80">
        <v>2020</v>
      </c>
      <c r="B101" s="81" t="e">
        <f t="shared" si="18"/>
        <v>#VALUE!</v>
      </c>
      <c r="C101" s="126"/>
      <c r="D101" s="67">
        <f t="shared" si="16"/>
        <v>18</v>
      </c>
      <c r="E101" s="67"/>
      <c r="F101" s="83"/>
      <c r="G101" s="69"/>
      <c r="H101" s="84"/>
      <c r="I101" s="128" t="e">
        <f t="shared" si="17"/>
        <v>#VALUE!</v>
      </c>
    </row>
    <row r="102" spans="1:9" ht="15" customHeight="1">
      <c r="A102" s="80">
        <v>2021</v>
      </c>
      <c r="B102" s="81" t="e">
        <f t="shared" si="18"/>
        <v>#VALUE!</v>
      </c>
      <c r="C102" s="126"/>
      <c r="D102" s="67">
        <f t="shared" si="16"/>
        <v>19</v>
      </c>
      <c r="E102" s="67"/>
      <c r="F102" s="83"/>
      <c r="G102" s="69"/>
      <c r="H102" s="84"/>
      <c r="I102" s="128" t="e">
        <f t="shared" si="17"/>
        <v>#VALUE!</v>
      </c>
    </row>
    <row r="103" spans="1:9" ht="15" customHeight="1">
      <c r="A103" s="80">
        <v>2022</v>
      </c>
      <c r="B103" s="81" t="e">
        <f t="shared" si="18"/>
        <v>#VALUE!</v>
      </c>
      <c r="C103" s="126"/>
      <c r="D103" s="67">
        <f t="shared" si="16"/>
        <v>20</v>
      </c>
      <c r="E103" s="67"/>
      <c r="F103" s="83"/>
      <c r="G103" s="69"/>
      <c r="H103" s="84"/>
      <c r="I103" s="128" t="e">
        <f t="shared" si="17"/>
        <v>#VALUE!</v>
      </c>
    </row>
    <row r="104" spans="1:9" ht="15" customHeight="1">
      <c r="A104" s="80">
        <v>2023</v>
      </c>
      <c r="B104" s="81" t="e">
        <f t="shared" si="18"/>
        <v>#VALUE!</v>
      </c>
      <c r="C104" s="126"/>
      <c r="D104" s="67">
        <f t="shared" si="16"/>
        <v>21</v>
      </c>
      <c r="E104" s="67"/>
      <c r="F104" s="83"/>
      <c r="G104" s="69"/>
      <c r="H104" s="84"/>
      <c r="I104" s="128" t="e">
        <f t="shared" si="17"/>
        <v>#VALUE!</v>
      </c>
    </row>
    <row r="105" spans="1:9" ht="15" customHeight="1">
      <c r="A105" s="80">
        <v>2024</v>
      </c>
      <c r="B105" s="81" t="e">
        <f t="shared" si="18"/>
        <v>#VALUE!</v>
      </c>
      <c r="C105" s="126"/>
      <c r="D105" s="67">
        <f t="shared" si="16"/>
        <v>22</v>
      </c>
      <c r="E105" s="67"/>
      <c r="F105" s="69"/>
      <c r="G105" s="69"/>
      <c r="H105" s="69"/>
      <c r="I105" s="136" t="e">
        <f t="shared" si="17"/>
        <v>#VALUE!</v>
      </c>
    </row>
    <row r="106" spans="1:9" ht="15" customHeight="1">
      <c r="A106" s="85">
        <v>2025</v>
      </c>
      <c r="B106" s="81" t="e">
        <f t="shared" si="18"/>
        <v>#VALUE!</v>
      </c>
      <c r="C106" s="204"/>
      <c r="D106" s="87">
        <f t="shared" si="16"/>
        <v>23</v>
      </c>
      <c r="E106" s="87"/>
      <c r="F106" s="89"/>
      <c r="G106" s="89"/>
      <c r="H106" s="89"/>
      <c r="I106" s="138" t="e">
        <f t="shared" si="17"/>
        <v>#VALUE!</v>
      </c>
    </row>
    <row r="107" spans="1:9" ht="15" customHeight="1">
      <c r="A107" s="56" t="s">
        <v>87</v>
      </c>
      <c r="B107" s="57"/>
    </row>
    <row r="108" spans="1:9" ht="15" customHeight="1">
      <c r="A108" s="58" t="s">
        <v>32</v>
      </c>
      <c r="B108" s="59" t="s">
        <v>40</v>
      </c>
      <c r="C108" s="59" t="s">
        <v>36</v>
      </c>
      <c r="D108" s="59" t="s">
        <v>33</v>
      </c>
      <c r="E108" s="103"/>
      <c r="F108" s="60"/>
      <c r="G108" s="61"/>
      <c r="H108" s="63" t="s">
        <v>266</v>
      </c>
      <c r="I108" s="64">
        <f>RSQ(I109:I114,B109:B114)</f>
        <v>0.99011791552154393</v>
      </c>
    </row>
    <row r="109" spans="1:9" ht="15" customHeight="1">
      <c r="A109" s="65">
        <v>2002</v>
      </c>
      <c r="B109" s="104">
        <f t="shared" ref="B109:B114" si="19">+B5</f>
        <v>5034</v>
      </c>
      <c r="C109" s="126">
        <f t="shared" ref="C109:C114" si="20">LN(F$113/B109-1)</f>
        <v>0</v>
      </c>
      <c r="D109" s="67">
        <v>0</v>
      </c>
      <c r="E109" s="106"/>
      <c r="F109" s="53"/>
      <c r="G109" s="69"/>
      <c r="H109" s="265"/>
      <c r="I109" s="267">
        <f t="shared" ref="I109:I132" si="21">$F$113/(1+EXP($F$111+$F$110*D109))</f>
        <v>5002.5388551462447</v>
      </c>
    </row>
    <row r="110" spans="1:9" ht="15" customHeight="1">
      <c r="A110" s="65">
        <f t="shared" ref="A110:A115" si="22">A6</f>
        <v>2003</v>
      </c>
      <c r="B110" s="104">
        <f t="shared" si="19"/>
        <v>4835</v>
      </c>
      <c r="C110" s="126">
        <f t="shared" si="20"/>
        <v>7.9103598484813298E-2</v>
      </c>
      <c r="D110" s="67">
        <f>+D109+1</f>
        <v>1</v>
      </c>
      <c r="E110" s="106" t="s">
        <v>75</v>
      </c>
      <c r="F110" s="139">
        <f>INDEX(LINEST(C109:C114,D109:D114),1)</f>
        <v>5.1403204123363022E-2</v>
      </c>
      <c r="G110" s="140" t="s">
        <v>88</v>
      </c>
      <c r="H110" s="127"/>
      <c r="I110" s="128">
        <f t="shared" si="21"/>
        <v>4873.2112930344447</v>
      </c>
    </row>
    <row r="111" spans="1:9" ht="15" customHeight="1">
      <c r="A111" s="65">
        <f t="shared" si="22"/>
        <v>2004</v>
      </c>
      <c r="B111" s="104">
        <f t="shared" si="19"/>
        <v>4742</v>
      </c>
      <c r="C111" s="126">
        <f t="shared" si="20"/>
        <v>0.11614149974852671</v>
      </c>
      <c r="D111" s="67">
        <f t="shared" ref="D111:D132" si="23">D110+1</f>
        <v>2</v>
      </c>
      <c r="E111" s="106" t="s">
        <v>76</v>
      </c>
      <c r="F111" s="139">
        <f>INDEX(LINEST(C109:C114,D109:D114),2)</f>
        <v>1.2499624345804927E-2</v>
      </c>
      <c r="G111" s="69"/>
      <c r="H111" s="127"/>
      <c r="I111" s="128">
        <f t="shared" si="21"/>
        <v>4744.0958460795673</v>
      </c>
    </row>
    <row r="112" spans="1:9" ht="15" customHeight="1">
      <c r="A112" s="65">
        <f t="shared" si="22"/>
        <v>2005</v>
      </c>
      <c r="B112" s="104">
        <f t="shared" si="19"/>
        <v>4623</v>
      </c>
      <c r="C112" s="126">
        <f t="shared" si="20"/>
        <v>0.16365391137883534</v>
      </c>
      <c r="D112" s="67">
        <f t="shared" si="23"/>
        <v>3</v>
      </c>
      <c r="E112" s="106" t="s">
        <v>77</v>
      </c>
      <c r="F112" s="73">
        <f>I108</f>
        <v>0.99011791552154393</v>
      </c>
      <c r="G112" s="69"/>
      <c r="H112" s="127"/>
      <c r="I112" s="128">
        <f t="shared" si="21"/>
        <v>4615.3619670053113</v>
      </c>
    </row>
    <row r="113" spans="1:9" ht="15" customHeight="1">
      <c r="A113" s="65">
        <f t="shared" si="22"/>
        <v>2006</v>
      </c>
      <c r="B113" s="104">
        <f t="shared" si="19"/>
        <v>4474</v>
      </c>
      <c r="C113" s="126">
        <f t="shared" si="20"/>
        <v>0.22341173171182999</v>
      </c>
      <c r="D113" s="67">
        <f t="shared" si="23"/>
        <v>4</v>
      </c>
      <c r="E113" s="106" t="s">
        <v>39</v>
      </c>
      <c r="F113" s="110">
        <f>MAX(B109:B114)*2</f>
        <v>10068</v>
      </c>
      <c r="G113" s="69"/>
      <c r="H113" s="127"/>
      <c r="I113" s="128">
        <f t="shared" si="21"/>
        <v>4487.1771049880936</v>
      </c>
    </row>
    <row r="114" spans="1:9" ht="15" customHeight="1" thickBot="1">
      <c r="A114" s="97">
        <f t="shared" si="22"/>
        <v>2007</v>
      </c>
      <c r="B114" s="116">
        <f t="shared" si="19"/>
        <v>4374</v>
      </c>
      <c r="C114" s="141">
        <f t="shared" si="20"/>
        <v>0.26373506660126955</v>
      </c>
      <c r="D114" s="99">
        <f t="shared" si="23"/>
        <v>5</v>
      </c>
      <c r="E114" s="205"/>
      <c r="F114" s="101"/>
      <c r="G114" s="100"/>
      <c r="H114" s="143"/>
      <c r="I114" s="144">
        <f t="shared" si="21"/>
        <v>4359.7058420202011</v>
      </c>
    </row>
    <row r="115" spans="1:9" ht="15" customHeight="1" thickTop="1">
      <c r="A115" s="255">
        <f t="shared" si="22"/>
        <v>2008</v>
      </c>
      <c r="B115" s="81">
        <f t="shared" ref="B115:B132" si="24">ROUND(F$113/(1+EXP(F$111+F$110*D115)),0)</f>
        <v>4233</v>
      </c>
      <c r="C115" s="257"/>
      <c r="D115" s="77">
        <f t="shared" si="23"/>
        <v>6</v>
      </c>
      <c r="E115" s="275"/>
      <c r="F115" s="256"/>
      <c r="G115" s="78"/>
      <c r="H115" s="258"/>
      <c r="I115" s="133">
        <f t="shared" si="21"/>
        <v>4233.1090609267394</v>
      </c>
    </row>
    <row r="116" spans="1:9" ht="15" customHeight="1">
      <c r="A116" s="80">
        <v>2009</v>
      </c>
      <c r="B116" s="81">
        <f t="shared" si="24"/>
        <v>4108</v>
      </c>
      <c r="C116" s="134"/>
      <c r="D116" s="67">
        <f t="shared" si="23"/>
        <v>7</v>
      </c>
      <c r="E116" s="83"/>
      <c r="F116" s="69"/>
      <c r="G116" s="69"/>
      <c r="H116" s="84"/>
      <c r="I116" s="128">
        <f t="shared" si="21"/>
        <v>4107.5431538111297</v>
      </c>
    </row>
    <row r="117" spans="1:9" ht="15" customHeight="1">
      <c r="A117" s="80">
        <v>2010</v>
      </c>
      <c r="B117" s="81">
        <f t="shared" si="24"/>
        <v>3983</v>
      </c>
      <c r="C117" s="134"/>
      <c r="D117" s="67">
        <f t="shared" si="23"/>
        <v>8</v>
      </c>
      <c r="E117" s="83"/>
      <c r="F117" s="69"/>
      <c r="G117" s="69"/>
      <c r="H117" s="84"/>
      <c r="I117" s="128">
        <f t="shared" si="21"/>
        <v>3983.1592789521046</v>
      </c>
    </row>
    <row r="118" spans="1:9" ht="15" customHeight="1">
      <c r="A118" s="80">
        <v>2011</v>
      </c>
      <c r="B118" s="81">
        <f t="shared" si="24"/>
        <v>3860</v>
      </c>
      <c r="C118" s="134"/>
      <c r="D118" s="67">
        <f t="shared" si="23"/>
        <v>9</v>
      </c>
      <c r="E118" s="83"/>
      <c r="F118" s="69"/>
      <c r="G118" s="69"/>
      <c r="H118" s="84"/>
      <c r="I118" s="128">
        <f t="shared" si="21"/>
        <v>3860.1026732889882</v>
      </c>
    </row>
    <row r="119" spans="1:9" ht="15" customHeight="1">
      <c r="A119" s="80">
        <v>2012</v>
      </c>
      <c r="B119" s="81">
        <f t="shared" si="24"/>
        <v>3739</v>
      </c>
      <c r="C119" s="134"/>
      <c r="D119" s="67">
        <f t="shared" si="23"/>
        <v>10</v>
      </c>
      <c r="E119" s="83"/>
      <c r="F119" s="69"/>
      <c r="G119" s="69"/>
      <c r="H119" s="84"/>
      <c r="I119" s="128">
        <f t="shared" si="21"/>
        <v>3738.5120266359099</v>
      </c>
    </row>
    <row r="120" spans="1:9" ht="15" customHeight="1">
      <c r="A120" s="80">
        <v>2013</v>
      </c>
      <c r="B120" s="81">
        <f t="shared" si="24"/>
        <v>3619</v>
      </c>
      <c r="C120" s="134"/>
      <c r="D120" s="67">
        <f t="shared" si="23"/>
        <v>11</v>
      </c>
      <c r="E120" s="83"/>
      <c r="F120" s="69"/>
      <c r="G120" s="69"/>
      <c r="H120" s="84"/>
      <c r="I120" s="128">
        <f t="shared" si="21"/>
        <v>3618.5189226863617</v>
      </c>
    </row>
    <row r="121" spans="1:9" ht="15" customHeight="1">
      <c r="A121" s="80">
        <v>2014</v>
      </c>
      <c r="B121" s="81">
        <f t="shared" si="24"/>
        <v>3500</v>
      </c>
      <c r="C121" s="134"/>
      <c r="D121" s="67">
        <f t="shared" si="23"/>
        <v>12</v>
      </c>
      <c r="E121" s="83"/>
      <c r="F121" s="69"/>
      <c r="G121" s="69"/>
      <c r="H121" s="84"/>
      <c r="I121" s="128">
        <f t="shared" si="21"/>
        <v>3500.2473507351624</v>
      </c>
    </row>
    <row r="122" spans="1:9" ht="15" customHeight="1">
      <c r="A122" s="80">
        <v>2015</v>
      </c>
      <c r="B122" s="81">
        <f t="shared" si="24"/>
        <v>3384</v>
      </c>
      <c r="C122" s="134"/>
      <c r="D122" s="67">
        <f t="shared" si="23"/>
        <v>13</v>
      </c>
      <c r="E122" s="83"/>
      <c r="F122" s="69"/>
      <c r="G122" s="69"/>
      <c r="H122" s="84"/>
      <c r="I122" s="128">
        <f t="shared" si="21"/>
        <v>3383.8132908839598</v>
      </c>
    </row>
    <row r="123" spans="1:9" ht="15" customHeight="1">
      <c r="A123" s="80">
        <v>2016</v>
      </c>
      <c r="B123" s="81">
        <f t="shared" si="24"/>
        <v>3269</v>
      </c>
      <c r="C123" s="134"/>
      <c r="D123" s="67">
        <f t="shared" si="23"/>
        <v>14</v>
      </c>
      <c r="E123" s="83"/>
      <c r="F123" s="69"/>
      <c r="G123" s="69"/>
      <c r="H123" s="84"/>
      <c r="I123" s="128">
        <f t="shared" si="21"/>
        <v>3269.3243743365701</v>
      </c>
    </row>
    <row r="124" spans="1:9" ht="15" customHeight="1">
      <c r="A124" s="80">
        <v>2017</v>
      </c>
      <c r="B124" s="81">
        <f t="shared" si="24"/>
        <v>3157</v>
      </c>
      <c r="C124" s="134"/>
      <c r="D124" s="67">
        <f t="shared" si="23"/>
        <v>15</v>
      </c>
      <c r="E124" s="83"/>
      <c r="F124" s="69"/>
      <c r="G124" s="69"/>
      <c r="H124" s="84"/>
      <c r="I124" s="128">
        <f t="shared" si="21"/>
        <v>3156.8796192580817</v>
      </c>
    </row>
    <row r="125" spans="1:9" ht="15" customHeight="1">
      <c r="A125" s="80">
        <v>2018</v>
      </c>
      <c r="B125" s="81">
        <f t="shared" si="24"/>
        <v>3047</v>
      </c>
      <c r="C125" s="134"/>
      <c r="D125" s="67">
        <f t="shared" si="23"/>
        <v>16</v>
      </c>
      <c r="E125" s="83"/>
      <c r="F125" s="69"/>
      <c r="G125" s="69"/>
      <c r="H125" s="84"/>
      <c r="I125" s="128">
        <f t="shared" si="21"/>
        <v>3046.5692415905469</v>
      </c>
    </row>
    <row r="126" spans="1:9" ht="15" customHeight="1">
      <c r="A126" s="80">
        <v>2019</v>
      </c>
      <c r="B126" s="81">
        <f t="shared" si="24"/>
        <v>2938</v>
      </c>
      <c r="C126" s="134"/>
      <c r="D126" s="67">
        <f t="shared" si="23"/>
        <v>17</v>
      </c>
      <c r="E126" s="83"/>
      <c r="F126" s="69"/>
      <c r="G126" s="69"/>
      <c r="H126" s="84"/>
      <c r="I126" s="128">
        <f t="shared" si="21"/>
        <v>2938.4745392094169</v>
      </c>
    </row>
    <row r="127" spans="1:9" ht="15" customHeight="1">
      <c r="A127" s="80">
        <v>2020</v>
      </c>
      <c r="B127" s="81">
        <f t="shared" si="24"/>
        <v>2833</v>
      </c>
      <c r="C127" s="134"/>
      <c r="D127" s="67">
        <f t="shared" si="23"/>
        <v>18</v>
      </c>
      <c r="E127" s="83"/>
      <c r="F127" s="69"/>
      <c r="G127" s="69"/>
      <c r="H127" s="84"/>
      <c r="I127" s="128">
        <f t="shared" si="21"/>
        <v>2832.6678468860855</v>
      </c>
    </row>
    <row r="128" spans="1:9" ht="15" customHeight="1">
      <c r="A128" s="80">
        <v>2021</v>
      </c>
      <c r="B128" s="81">
        <f t="shared" si="24"/>
        <v>2729</v>
      </c>
      <c r="C128" s="134"/>
      <c r="D128" s="67">
        <f t="shared" si="23"/>
        <v>19</v>
      </c>
      <c r="E128" s="83"/>
      <c r="F128" s="69"/>
      <c r="G128" s="69"/>
      <c r="H128" s="84"/>
      <c r="I128" s="128">
        <f t="shared" si="21"/>
        <v>2729.2125587070191</v>
      </c>
    </row>
    <row r="129" spans="1:10" ht="15" customHeight="1">
      <c r="A129" s="80">
        <v>2022</v>
      </c>
      <c r="B129" s="81">
        <f t="shared" si="24"/>
        <v>2628</v>
      </c>
      <c r="C129" s="134"/>
      <c r="D129" s="67">
        <f t="shared" si="23"/>
        <v>20</v>
      </c>
      <c r="E129" s="83"/>
      <c r="F129" s="69"/>
      <c r="G129" s="69"/>
      <c r="H129" s="84"/>
      <c r="I129" s="128">
        <f t="shared" si="21"/>
        <v>2628.1632138989535</v>
      </c>
    </row>
    <row r="130" spans="1:10" ht="15" customHeight="1">
      <c r="A130" s="80">
        <v>2023</v>
      </c>
      <c r="B130" s="81">
        <f t="shared" si="24"/>
        <v>2530</v>
      </c>
      <c r="C130" s="134"/>
      <c r="D130" s="67">
        <f t="shared" si="23"/>
        <v>21</v>
      </c>
      <c r="E130" s="83"/>
      <c r="F130" s="69"/>
      <c r="G130" s="69"/>
      <c r="H130" s="84"/>
      <c r="I130" s="128">
        <f t="shared" si="21"/>
        <v>2529.5656414287946</v>
      </c>
    </row>
    <row r="131" spans="1:10" ht="15" customHeight="1">
      <c r="A131" s="80">
        <v>2024</v>
      </c>
      <c r="B131" s="81">
        <f t="shared" si="24"/>
        <v>2433</v>
      </c>
      <c r="C131" s="135"/>
      <c r="D131" s="67">
        <f t="shared" si="23"/>
        <v>22</v>
      </c>
      <c r="E131" s="69"/>
      <c r="F131" s="69"/>
      <c r="G131" s="69"/>
      <c r="H131" s="69"/>
      <c r="I131" s="136">
        <f t="shared" si="21"/>
        <v>2433.4571582886829</v>
      </c>
    </row>
    <row r="132" spans="1:10" ht="15" customHeight="1">
      <c r="A132" s="85">
        <v>2025</v>
      </c>
      <c r="B132" s="86">
        <f t="shared" si="24"/>
        <v>2340</v>
      </c>
      <c r="C132" s="137"/>
      <c r="D132" s="87">
        <f t="shared" si="23"/>
        <v>23</v>
      </c>
      <c r="E132" s="89"/>
      <c r="F132" s="89"/>
      <c r="G132" s="89"/>
      <c r="H132" s="89"/>
      <c r="I132" s="138">
        <f t="shared" si="21"/>
        <v>2339.8668160404254</v>
      </c>
    </row>
    <row r="133" spans="1:10" ht="15" customHeight="1">
      <c r="A133" s="56" t="s">
        <v>307</v>
      </c>
      <c r="B133" s="57"/>
    </row>
    <row r="134" spans="1:10" ht="15" customHeight="1">
      <c r="A134" s="56"/>
      <c r="B134" s="57"/>
    </row>
    <row r="135" spans="1:10" ht="24">
      <c r="A135" s="145" t="s">
        <v>32</v>
      </c>
      <c r="B135" s="146" t="s">
        <v>91</v>
      </c>
      <c r="C135" s="147" t="s">
        <v>72</v>
      </c>
      <c r="D135" s="147" t="s">
        <v>92</v>
      </c>
      <c r="E135" s="147" t="s">
        <v>93</v>
      </c>
      <c r="F135" s="147" t="s">
        <v>94</v>
      </c>
      <c r="G135" s="147" t="s">
        <v>95</v>
      </c>
      <c r="H135" s="148" t="s">
        <v>96</v>
      </c>
      <c r="I135" s="149" t="s">
        <v>268</v>
      </c>
      <c r="J135" s="150" t="s">
        <v>269</v>
      </c>
    </row>
    <row r="136" spans="1:10" ht="20.100000000000001" customHeight="1">
      <c r="A136" s="65">
        <v>2008</v>
      </c>
      <c r="B136" s="151">
        <f t="shared" ref="B136:B153" si="25">B11</f>
        <v>4242</v>
      </c>
      <c r="C136" s="152">
        <f t="shared" ref="C136:C153" si="26">B37</f>
        <v>4230</v>
      </c>
      <c r="D136" s="152">
        <f t="shared" ref="D136:D153" si="27">B63</f>
        <v>4253</v>
      </c>
      <c r="E136" s="152"/>
      <c r="F136" s="152">
        <f t="shared" ref="F136:F153" si="28">B115</f>
        <v>4233</v>
      </c>
      <c r="G136" s="152">
        <f t="shared" ref="G136:G153" si="29">ROUND(AVERAGE(B136:F136),1)</f>
        <v>4239.5</v>
      </c>
      <c r="H136" s="152">
        <f t="shared" ref="H136:H153" si="30">ROUND((SUM(B136:F136)-MAX(B136:F136)-MIN(B136:F136))/(COUNT(B136:F136)-2),1)</f>
        <v>4237.5</v>
      </c>
      <c r="I136" s="153">
        <f t="shared" ref="I136:I153" si="31">ROUND(SUMIF(B$154:H$154,"○",B136:H136),0)</f>
        <v>4240</v>
      </c>
      <c r="J136" s="261"/>
    </row>
    <row r="137" spans="1:10" ht="20.100000000000001" customHeight="1">
      <c r="A137" s="80">
        <v>2009</v>
      </c>
      <c r="B137" s="151">
        <f t="shared" si="25"/>
        <v>4110</v>
      </c>
      <c r="C137" s="152">
        <f t="shared" si="26"/>
        <v>4102</v>
      </c>
      <c r="D137" s="152">
        <f t="shared" si="27"/>
        <v>4135</v>
      </c>
      <c r="E137" s="152"/>
      <c r="F137" s="152">
        <f t="shared" si="28"/>
        <v>4108</v>
      </c>
      <c r="G137" s="152">
        <f t="shared" si="29"/>
        <v>4113.8</v>
      </c>
      <c r="H137" s="152">
        <f t="shared" si="30"/>
        <v>4109</v>
      </c>
      <c r="I137" s="153">
        <f t="shared" si="31"/>
        <v>4114</v>
      </c>
      <c r="J137" s="154"/>
    </row>
    <row r="138" spans="1:10" ht="20.100000000000001" customHeight="1">
      <c r="A138" s="80">
        <v>2010</v>
      </c>
      <c r="B138" s="151">
        <f t="shared" si="25"/>
        <v>3978</v>
      </c>
      <c r="C138" s="152">
        <f t="shared" si="26"/>
        <v>3973</v>
      </c>
      <c r="D138" s="152">
        <f t="shared" si="27"/>
        <v>4020</v>
      </c>
      <c r="E138" s="152"/>
      <c r="F138" s="152">
        <f t="shared" si="28"/>
        <v>3983</v>
      </c>
      <c r="G138" s="152">
        <f t="shared" si="29"/>
        <v>3988.5</v>
      </c>
      <c r="H138" s="152">
        <f t="shared" si="30"/>
        <v>3980.5</v>
      </c>
      <c r="I138" s="153">
        <f t="shared" si="31"/>
        <v>3989</v>
      </c>
      <c r="J138" s="154"/>
    </row>
    <row r="139" spans="1:10" ht="20.100000000000001" customHeight="1">
      <c r="A139" s="80">
        <v>2011</v>
      </c>
      <c r="B139" s="151">
        <f t="shared" si="25"/>
        <v>3846</v>
      </c>
      <c r="C139" s="152">
        <f t="shared" si="26"/>
        <v>3844</v>
      </c>
      <c r="D139" s="152">
        <f t="shared" si="27"/>
        <v>3909</v>
      </c>
      <c r="E139" s="152"/>
      <c r="F139" s="152">
        <f t="shared" si="28"/>
        <v>3860</v>
      </c>
      <c r="G139" s="152">
        <f t="shared" si="29"/>
        <v>3864.8</v>
      </c>
      <c r="H139" s="152">
        <f t="shared" si="30"/>
        <v>3853</v>
      </c>
      <c r="I139" s="153">
        <f t="shared" si="31"/>
        <v>3865</v>
      </c>
      <c r="J139" s="154"/>
    </row>
    <row r="140" spans="1:10" ht="20.100000000000001" customHeight="1">
      <c r="A140" s="80">
        <v>2012</v>
      </c>
      <c r="B140" s="151">
        <f t="shared" si="25"/>
        <v>3714</v>
      </c>
      <c r="C140" s="152">
        <f t="shared" si="26"/>
        <v>3716</v>
      </c>
      <c r="D140" s="152">
        <f t="shared" si="27"/>
        <v>3800</v>
      </c>
      <c r="E140" s="152"/>
      <c r="F140" s="152">
        <f t="shared" si="28"/>
        <v>3739</v>
      </c>
      <c r="G140" s="152">
        <f t="shared" si="29"/>
        <v>3742.3</v>
      </c>
      <c r="H140" s="152">
        <f t="shared" si="30"/>
        <v>3727.5</v>
      </c>
      <c r="I140" s="153">
        <f t="shared" si="31"/>
        <v>3742</v>
      </c>
      <c r="J140" s="154"/>
    </row>
    <row r="141" spans="1:10" ht="20.100000000000001" customHeight="1">
      <c r="A141" s="80">
        <v>2013</v>
      </c>
      <c r="B141" s="151">
        <f t="shared" si="25"/>
        <v>3582</v>
      </c>
      <c r="C141" s="152">
        <f t="shared" si="26"/>
        <v>3587</v>
      </c>
      <c r="D141" s="152">
        <f t="shared" si="27"/>
        <v>3695</v>
      </c>
      <c r="E141" s="152"/>
      <c r="F141" s="152">
        <f t="shared" si="28"/>
        <v>3619</v>
      </c>
      <c r="G141" s="152">
        <f t="shared" si="29"/>
        <v>3620.8</v>
      </c>
      <c r="H141" s="152">
        <f t="shared" si="30"/>
        <v>3603</v>
      </c>
      <c r="I141" s="153">
        <f t="shared" si="31"/>
        <v>3621</v>
      </c>
      <c r="J141" s="154"/>
    </row>
    <row r="142" spans="1:10" ht="20.100000000000001" customHeight="1">
      <c r="A142" s="80">
        <v>2014</v>
      </c>
      <c r="B142" s="151">
        <f t="shared" si="25"/>
        <v>3450</v>
      </c>
      <c r="C142" s="152">
        <f t="shared" si="26"/>
        <v>3458</v>
      </c>
      <c r="D142" s="152">
        <f t="shared" si="27"/>
        <v>3593</v>
      </c>
      <c r="E142" s="152"/>
      <c r="F142" s="152">
        <f t="shared" si="28"/>
        <v>3500</v>
      </c>
      <c r="G142" s="152">
        <f t="shared" si="29"/>
        <v>3500.3</v>
      </c>
      <c r="H142" s="152">
        <f t="shared" si="30"/>
        <v>3479</v>
      </c>
      <c r="I142" s="153">
        <f t="shared" si="31"/>
        <v>3500</v>
      </c>
      <c r="J142" s="154"/>
    </row>
    <row r="143" spans="1:10" ht="20.100000000000001" customHeight="1">
      <c r="A143" s="80">
        <v>2015</v>
      </c>
      <c r="B143" s="151">
        <f t="shared" si="25"/>
        <v>3318</v>
      </c>
      <c r="C143" s="152">
        <f t="shared" si="26"/>
        <v>3330</v>
      </c>
      <c r="D143" s="152">
        <f t="shared" si="27"/>
        <v>3493</v>
      </c>
      <c r="E143" s="152"/>
      <c r="F143" s="152">
        <f t="shared" si="28"/>
        <v>3384</v>
      </c>
      <c r="G143" s="152">
        <f t="shared" si="29"/>
        <v>3381.3</v>
      </c>
      <c r="H143" s="152">
        <f t="shared" si="30"/>
        <v>3357</v>
      </c>
      <c r="I143" s="153">
        <f t="shared" si="31"/>
        <v>3381</v>
      </c>
      <c r="J143" s="154"/>
    </row>
    <row r="144" spans="1:10" ht="20.100000000000001" customHeight="1">
      <c r="A144" s="80">
        <v>2016</v>
      </c>
      <c r="B144" s="151">
        <f t="shared" si="25"/>
        <v>3186</v>
      </c>
      <c r="C144" s="152">
        <f t="shared" si="26"/>
        <v>3201</v>
      </c>
      <c r="D144" s="152">
        <f t="shared" si="27"/>
        <v>3396</v>
      </c>
      <c r="E144" s="152"/>
      <c r="F144" s="152">
        <f t="shared" si="28"/>
        <v>3269</v>
      </c>
      <c r="G144" s="152">
        <f t="shared" si="29"/>
        <v>3263</v>
      </c>
      <c r="H144" s="152">
        <f t="shared" si="30"/>
        <v>3235</v>
      </c>
      <c r="I144" s="153">
        <f t="shared" si="31"/>
        <v>3263</v>
      </c>
      <c r="J144" s="154"/>
    </row>
    <row r="145" spans="1:41" ht="20.100000000000001" customHeight="1">
      <c r="A145" s="80">
        <v>2017</v>
      </c>
      <c r="B145" s="151">
        <f t="shared" si="25"/>
        <v>3054</v>
      </c>
      <c r="C145" s="152">
        <f t="shared" si="26"/>
        <v>3072</v>
      </c>
      <c r="D145" s="152">
        <f t="shared" si="27"/>
        <v>3302</v>
      </c>
      <c r="E145" s="152"/>
      <c r="F145" s="152">
        <f t="shared" si="28"/>
        <v>3157</v>
      </c>
      <c r="G145" s="152">
        <f t="shared" si="29"/>
        <v>3146.3</v>
      </c>
      <c r="H145" s="152">
        <f t="shared" si="30"/>
        <v>3114.5</v>
      </c>
      <c r="I145" s="153">
        <f t="shared" si="31"/>
        <v>3146</v>
      </c>
      <c r="J145" s="154"/>
    </row>
    <row r="146" spans="1:41" ht="20.100000000000001" customHeight="1">
      <c r="A146" s="80">
        <v>2018</v>
      </c>
      <c r="B146" s="151">
        <f t="shared" si="25"/>
        <v>2922</v>
      </c>
      <c r="C146" s="152">
        <f t="shared" si="26"/>
        <v>2944</v>
      </c>
      <c r="D146" s="152">
        <f t="shared" si="27"/>
        <v>3211</v>
      </c>
      <c r="E146" s="152"/>
      <c r="F146" s="152">
        <f t="shared" si="28"/>
        <v>3047</v>
      </c>
      <c r="G146" s="152">
        <f t="shared" si="29"/>
        <v>3031</v>
      </c>
      <c r="H146" s="152">
        <f t="shared" si="30"/>
        <v>2995.5</v>
      </c>
      <c r="I146" s="153">
        <f t="shared" si="31"/>
        <v>3031</v>
      </c>
      <c r="J146" s="154"/>
    </row>
    <row r="147" spans="1:41" ht="20.100000000000001" customHeight="1">
      <c r="A147" s="80">
        <v>2019</v>
      </c>
      <c r="B147" s="151">
        <f t="shared" si="25"/>
        <v>2790</v>
      </c>
      <c r="C147" s="152">
        <f t="shared" si="26"/>
        <v>2815</v>
      </c>
      <c r="D147" s="152">
        <f t="shared" si="27"/>
        <v>3122</v>
      </c>
      <c r="E147" s="152"/>
      <c r="F147" s="152">
        <f t="shared" si="28"/>
        <v>2938</v>
      </c>
      <c r="G147" s="152">
        <f t="shared" si="29"/>
        <v>2916.3</v>
      </c>
      <c r="H147" s="152">
        <f t="shared" si="30"/>
        <v>2876.5</v>
      </c>
      <c r="I147" s="153">
        <f t="shared" si="31"/>
        <v>2916</v>
      </c>
      <c r="J147" s="154"/>
    </row>
    <row r="148" spans="1:41" ht="20.100000000000001" customHeight="1">
      <c r="A148" s="80">
        <v>2020</v>
      </c>
      <c r="B148" s="151">
        <f t="shared" si="25"/>
        <v>2658</v>
      </c>
      <c r="C148" s="152">
        <f t="shared" si="26"/>
        <v>2687</v>
      </c>
      <c r="D148" s="152">
        <f t="shared" si="27"/>
        <v>3035</v>
      </c>
      <c r="E148" s="152"/>
      <c r="F148" s="152">
        <f t="shared" si="28"/>
        <v>2833</v>
      </c>
      <c r="G148" s="152">
        <f t="shared" si="29"/>
        <v>2803.3</v>
      </c>
      <c r="H148" s="152">
        <f t="shared" si="30"/>
        <v>2760</v>
      </c>
      <c r="I148" s="153">
        <f t="shared" si="31"/>
        <v>2803</v>
      </c>
      <c r="J148" s="154"/>
    </row>
    <row r="149" spans="1:41" ht="20.100000000000001" customHeight="1">
      <c r="A149" s="80">
        <v>2021</v>
      </c>
      <c r="B149" s="151">
        <f t="shared" si="25"/>
        <v>2526</v>
      </c>
      <c r="C149" s="152">
        <f t="shared" si="26"/>
        <v>2558</v>
      </c>
      <c r="D149" s="152">
        <f t="shared" si="27"/>
        <v>2951</v>
      </c>
      <c r="E149" s="152"/>
      <c r="F149" s="152">
        <f t="shared" si="28"/>
        <v>2729</v>
      </c>
      <c r="G149" s="152">
        <f t="shared" si="29"/>
        <v>2691</v>
      </c>
      <c r="H149" s="152">
        <f t="shared" si="30"/>
        <v>2643.5</v>
      </c>
      <c r="I149" s="153">
        <f t="shared" si="31"/>
        <v>2691</v>
      </c>
      <c r="J149" s="154"/>
    </row>
    <row r="150" spans="1:41" ht="20.100000000000001" customHeight="1">
      <c r="A150" s="80">
        <v>2022</v>
      </c>
      <c r="B150" s="151">
        <f t="shared" si="25"/>
        <v>2394</v>
      </c>
      <c r="C150" s="152">
        <f t="shared" si="26"/>
        <v>2429</v>
      </c>
      <c r="D150" s="152">
        <f t="shared" si="27"/>
        <v>2869</v>
      </c>
      <c r="E150" s="152"/>
      <c r="F150" s="152">
        <f t="shared" si="28"/>
        <v>2628</v>
      </c>
      <c r="G150" s="152">
        <f t="shared" si="29"/>
        <v>2580</v>
      </c>
      <c r="H150" s="152">
        <f t="shared" si="30"/>
        <v>2528.5</v>
      </c>
      <c r="I150" s="153">
        <f t="shared" si="31"/>
        <v>2580</v>
      </c>
      <c r="J150" s="154"/>
    </row>
    <row r="151" spans="1:41" ht="20.100000000000001" customHeight="1">
      <c r="A151" s="80">
        <v>2023</v>
      </c>
      <c r="B151" s="151">
        <f t="shared" si="25"/>
        <v>2262</v>
      </c>
      <c r="C151" s="152">
        <f t="shared" si="26"/>
        <v>2301</v>
      </c>
      <c r="D151" s="152">
        <f t="shared" si="27"/>
        <v>2790</v>
      </c>
      <c r="E151" s="152"/>
      <c r="F151" s="152">
        <f t="shared" si="28"/>
        <v>2530</v>
      </c>
      <c r="G151" s="152">
        <f t="shared" si="29"/>
        <v>2470.8000000000002</v>
      </c>
      <c r="H151" s="152">
        <f t="shared" si="30"/>
        <v>2415.5</v>
      </c>
      <c r="I151" s="153">
        <f t="shared" si="31"/>
        <v>2471</v>
      </c>
      <c r="J151" s="154"/>
      <c r="L151" s="55">
        <v>806200</v>
      </c>
    </row>
    <row r="152" spans="1:41" ht="20.100000000000001" customHeight="1">
      <c r="A152" s="80">
        <v>2024</v>
      </c>
      <c r="B152" s="151">
        <f t="shared" si="25"/>
        <v>2130</v>
      </c>
      <c r="C152" s="152">
        <f t="shared" si="26"/>
        <v>2172</v>
      </c>
      <c r="D152" s="152">
        <f t="shared" si="27"/>
        <v>2712</v>
      </c>
      <c r="E152" s="152"/>
      <c r="F152" s="152">
        <f t="shared" si="28"/>
        <v>2433</v>
      </c>
      <c r="G152" s="152">
        <f t="shared" si="29"/>
        <v>2361.8000000000002</v>
      </c>
      <c r="H152" s="152">
        <f t="shared" si="30"/>
        <v>2302.5</v>
      </c>
      <c r="I152" s="153">
        <f t="shared" si="31"/>
        <v>2362</v>
      </c>
      <c r="J152" s="154"/>
      <c r="K152" s="55">
        <v>51000</v>
      </c>
      <c r="L152" s="75">
        <f>+K152+E152</f>
        <v>51000</v>
      </c>
      <c r="M152" s="75"/>
    </row>
    <row r="153" spans="1:41" ht="20.100000000000001" customHeight="1">
      <c r="A153" s="80">
        <v>2025</v>
      </c>
      <c r="B153" s="151">
        <f t="shared" si="25"/>
        <v>1998</v>
      </c>
      <c r="C153" s="152">
        <f t="shared" si="26"/>
        <v>2043</v>
      </c>
      <c r="D153" s="152">
        <f t="shared" si="27"/>
        <v>2637</v>
      </c>
      <c r="E153" s="152"/>
      <c r="F153" s="152">
        <f t="shared" si="28"/>
        <v>2340</v>
      </c>
      <c r="G153" s="152">
        <f t="shared" si="29"/>
        <v>2254.5</v>
      </c>
      <c r="H153" s="152">
        <f t="shared" si="30"/>
        <v>2191.5</v>
      </c>
      <c r="I153" s="153">
        <f t="shared" si="31"/>
        <v>2255</v>
      </c>
      <c r="J153" s="154"/>
      <c r="L153" s="75">
        <f>+L151-L152</f>
        <v>755200</v>
      </c>
      <c r="M153" s="75"/>
    </row>
    <row r="154" spans="1:41" ht="20.100000000000001" customHeight="1">
      <c r="A154" s="155" t="s">
        <v>97</v>
      </c>
      <c r="B154" s="156"/>
      <c r="C154" s="157"/>
      <c r="D154" s="157"/>
      <c r="E154" s="157"/>
      <c r="F154" s="156"/>
      <c r="G154" s="158" t="s">
        <v>270</v>
      </c>
      <c r="H154" s="157"/>
      <c r="I154" s="159"/>
      <c r="J154" s="160"/>
      <c r="K154" s="161"/>
      <c r="L154" s="162">
        <f>B109</f>
        <v>5034</v>
      </c>
      <c r="M154" s="162">
        <f>+B110</f>
        <v>4835</v>
      </c>
      <c r="N154" s="162">
        <f>B111</f>
        <v>4742</v>
      </c>
      <c r="O154" s="161">
        <f>B112</f>
        <v>4623</v>
      </c>
      <c r="P154" s="162">
        <f>B113</f>
        <v>4474</v>
      </c>
      <c r="Q154" s="161">
        <f>B114</f>
        <v>4374</v>
      </c>
      <c r="R154" s="162">
        <f>B115</f>
        <v>4233</v>
      </c>
      <c r="S154" s="162"/>
      <c r="T154" s="162"/>
      <c r="U154" s="162"/>
      <c r="V154" s="162"/>
      <c r="W154" s="162"/>
      <c r="X154" s="162"/>
      <c r="Y154" s="161"/>
      <c r="Z154" s="161"/>
      <c r="AA154" s="161"/>
      <c r="AB154" s="161"/>
      <c r="AC154" s="161"/>
      <c r="AD154" s="161"/>
      <c r="AE154" s="161"/>
      <c r="AF154" s="161"/>
      <c r="AG154" s="161"/>
      <c r="AH154" s="161"/>
      <c r="AI154" s="161"/>
      <c r="AJ154" s="161"/>
      <c r="AK154" s="161"/>
      <c r="AL154" s="161"/>
      <c r="AM154" s="161"/>
      <c r="AN154" s="161"/>
    </row>
    <row r="155" spans="1:41" ht="20.100000000000001" hidden="1" customHeight="1">
      <c r="A155" s="85"/>
      <c r="B155" s="163"/>
      <c r="C155" s="164"/>
      <c r="D155" s="164"/>
      <c r="E155" s="164"/>
      <c r="F155" s="164"/>
      <c r="G155" s="164"/>
      <c r="H155" s="164"/>
      <c r="I155" s="165"/>
      <c r="J155" s="166"/>
      <c r="K155" s="161"/>
      <c r="L155" s="161"/>
      <c r="M155" s="161"/>
      <c r="N155" s="161"/>
      <c r="O155" s="161"/>
      <c r="P155" s="161"/>
      <c r="Q155" s="161"/>
      <c r="R155" s="161"/>
      <c r="S155" s="161"/>
      <c r="T155" s="161"/>
      <c r="U155" s="161"/>
      <c r="V155" s="161"/>
      <c r="W155" s="161"/>
      <c r="X155" s="161"/>
      <c r="Y155" s="161"/>
      <c r="Z155" s="161"/>
      <c r="AA155" s="161"/>
      <c r="AB155" s="161"/>
      <c r="AC155" s="161"/>
      <c r="AD155" s="161"/>
      <c r="AE155" s="161"/>
      <c r="AF155" s="161"/>
      <c r="AG155" s="161"/>
      <c r="AH155" s="161"/>
      <c r="AI155" s="161"/>
      <c r="AJ155" s="161"/>
      <c r="AK155" s="161"/>
      <c r="AL155" s="161"/>
      <c r="AM155" s="161"/>
      <c r="AN155" s="161"/>
    </row>
    <row r="156" spans="1:41" s="161" customFormat="1" ht="20.100000000000001" customHeight="1">
      <c r="A156" s="167" t="s">
        <v>98</v>
      </c>
      <c r="B156" s="168">
        <f>I4</f>
        <v>0.99665628704229992</v>
      </c>
      <c r="C156" s="169">
        <f>I30</f>
        <v>0.99602871844588359</v>
      </c>
      <c r="D156" s="169">
        <f>I56</f>
        <v>0.99576811535620335</v>
      </c>
      <c r="E156" s="169"/>
      <c r="F156" s="169">
        <f>I108</f>
        <v>0.99011791552154393</v>
      </c>
      <c r="G156" s="170"/>
      <c r="H156" s="171"/>
      <c r="I156" s="172"/>
      <c r="J156" s="173"/>
      <c r="K156" s="174">
        <f>MAX(B156:I156,F156)</f>
        <v>0.99665628704229992</v>
      </c>
      <c r="L156" s="161">
        <v>2002</v>
      </c>
      <c r="M156" s="161">
        <v>2003</v>
      </c>
      <c r="N156" s="161">
        <f t="shared" ref="N156:AI156" si="32">+M156+1</f>
        <v>2004</v>
      </c>
      <c r="O156" s="161">
        <f t="shared" si="32"/>
        <v>2005</v>
      </c>
      <c r="P156" s="161">
        <f t="shared" si="32"/>
        <v>2006</v>
      </c>
      <c r="Q156" s="161">
        <f t="shared" si="32"/>
        <v>2007</v>
      </c>
      <c r="R156" s="161">
        <f t="shared" si="32"/>
        <v>2008</v>
      </c>
      <c r="S156" s="161">
        <f t="shared" si="32"/>
        <v>2009</v>
      </c>
      <c r="T156" s="161">
        <f t="shared" si="32"/>
        <v>2010</v>
      </c>
      <c r="U156" s="161">
        <f t="shared" si="32"/>
        <v>2011</v>
      </c>
      <c r="V156" s="161">
        <f t="shared" si="32"/>
        <v>2012</v>
      </c>
      <c r="W156" s="161">
        <f t="shared" si="32"/>
        <v>2013</v>
      </c>
      <c r="X156" s="161">
        <f t="shared" si="32"/>
        <v>2014</v>
      </c>
      <c r="Y156" s="161">
        <f t="shared" si="32"/>
        <v>2015</v>
      </c>
      <c r="Z156" s="161">
        <f t="shared" si="32"/>
        <v>2016</v>
      </c>
      <c r="AA156" s="161">
        <f t="shared" si="32"/>
        <v>2017</v>
      </c>
      <c r="AB156" s="161">
        <f t="shared" si="32"/>
        <v>2018</v>
      </c>
      <c r="AC156" s="161">
        <f t="shared" si="32"/>
        <v>2019</v>
      </c>
      <c r="AD156" s="161">
        <f t="shared" si="32"/>
        <v>2020</v>
      </c>
      <c r="AE156" s="161">
        <f t="shared" si="32"/>
        <v>2021</v>
      </c>
      <c r="AF156" s="161">
        <f t="shared" si="32"/>
        <v>2022</v>
      </c>
      <c r="AG156" s="161">
        <f t="shared" si="32"/>
        <v>2023</v>
      </c>
      <c r="AH156" s="161">
        <f t="shared" si="32"/>
        <v>2024</v>
      </c>
      <c r="AI156" s="161">
        <f t="shared" si="32"/>
        <v>2025</v>
      </c>
    </row>
    <row r="157" spans="1:41" ht="20.100000000000001" customHeight="1">
      <c r="K157" s="161" t="s">
        <v>99</v>
      </c>
      <c r="L157" s="161"/>
      <c r="M157" s="161"/>
      <c r="N157" s="161"/>
      <c r="O157" s="161"/>
      <c r="P157" s="161"/>
      <c r="Q157" s="161">
        <f>+Q154</f>
        <v>4374</v>
      </c>
      <c r="R157" s="162">
        <f>+B11</f>
        <v>4242</v>
      </c>
      <c r="S157" s="162">
        <f>+B12</f>
        <v>4110</v>
      </c>
      <c r="T157" s="162">
        <f>+B13</f>
        <v>3978</v>
      </c>
      <c r="U157" s="162">
        <f>+B14</f>
        <v>3846</v>
      </c>
      <c r="V157" s="162">
        <f>+B15</f>
        <v>3714</v>
      </c>
      <c r="W157" s="162">
        <f>+B16</f>
        <v>3582</v>
      </c>
      <c r="X157" s="162">
        <f>+B17</f>
        <v>3450</v>
      </c>
      <c r="Y157" s="162">
        <f>+B18</f>
        <v>3318</v>
      </c>
      <c r="Z157" s="162">
        <f>+B19</f>
        <v>3186</v>
      </c>
      <c r="AA157" s="162">
        <f>+B20</f>
        <v>3054</v>
      </c>
      <c r="AB157" s="162">
        <f>+B21</f>
        <v>2922</v>
      </c>
      <c r="AC157" s="162">
        <f>+B22</f>
        <v>2790</v>
      </c>
      <c r="AD157" s="162">
        <f>+B23</f>
        <v>2658</v>
      </c>
      <c r="AE157" s="162">
        <f>+B24</f>
        <v>2526</v>
      </c>
      <c r="AF157" s="162">
        <f>+B25</f>
        <v>2394</v>
      </c>
      <c r="AG157" s="162">
        <f>+B26</f>
        <v>2262</v>
      </c>
      <c r="AH157" s="162">
        <f>+B27</f>
        <v>2130</v>
      </c>
      <c r="AI157" s="162">
        <f>+B28</f>
        <v>1998</v>
      </c>
      <c r="AJ157" s="162"/>
      <c r="AK157" s="162"/>
      <c r="AL157" s="162"/>
      <c r="AM157" s="162"/>
      <c r="AN157" s="162"/>
      <c r="AO157" s="161"/>
    </row>
    <row r="158" spans="1:41" ht="20.100000000000001" customHeight="1">
      <c r="K158" s="161" t="s">
        <v>100</v>
      </c>
      <c r="L158" s="161"/>
      <c r="M158" s="161"/>
      <c r="N158" s="161"/>
      <c r="O158" s="161"/>
      <c r="P158" s="161"/>
      <c r="Q158" s="161">
        <f>+Q157</f>
        <v>4374</v>
      </c>
      <c r="R158" s="162">
        <f>+B37</f>
        <v>4230</v>
      </c>
      <c r="S158" s="162">
        <f>+B38</f>
        <v>4102</v>
      </c>
      <c r="T158" s="162">
        <f>+B39</f>
        <v>3973</v>
      </c>
      <c r="U158" s="162">
        <f>+B40</f>
        <v>3844</v>
      </c>
      <c r="V158" s="162">
        <f>+B41</f>
        <v>3716</v>
      </c>
      <c r="W158" s="162">
        <f>+B42</f>
        <v>3587</v>
      </c>
      <c r="X158" s="162">
        <f>+B43</f>
        <v>3458</v>
      </c>
      <c r="Y158" s="162">
        <f>+B44</f>
        <v>3330</v>
      </c>
      <c r="Z158" s="162">
        <f>+B45</f>
        <v>3201</v>
      </c>
      <c r="AA158" s="162">
        <f>+B46</f>
        <v>3072</v>
      </c>
      <c r="AB158" s="162">
        <f>+B47</f>
        <v>2944</v>
      </c>
      <c r="AC158" s="162">
        <f>+B48</f>
        <v>2815</v>
      </c>
      <c r="AD158" s="162">
        <f>+B49</f>
        <v>2687</v>
      </c>
      <c r="AE158" s="162">
        <f>+B50</f>
        <v>2558</v>
      </c>
      <c r="AF158" s="162">
        <f>+B51</f>
        <v>2429</v>
      </c>
      <c r="AG158" s="162">
        <f>+B52</f>
        <v>2301</v>
      </c>
      <c r="AH158" s="162">
        <f>+B53</f>
        <v>2172</v>
      </c>
      <c r="AI158" s="162">
        <f>+B54</f>
        <v>2043</v>
      </c>
      <c r="AJ158" s="162"/>
      <c r="AK158" s="162"/>
      <c r="AL158" s="162"/>
      <c r="AM158" s="162"/>
      <c r="AN158" s="162"/>
      <c r="AO158" s="161"/>
    </row>
    <row r="159" spans="1:41" ht="20.100000000000001" customHeight="1">
      <c r="K159" s="161" t="s">
        <v>101</v>
      </c>
      <c r="L159" s="161"/>
      <c r="M159" s="161"/>
      <c r="N159" s="161"/>
      <c r="O159" s="161"/>
      <c r="P159" s="161"/>
      <c r="Q159" s="161">
        <f>+Q158</f>
        <v>4374</v>
      </c>
      <c r="R159" s="162">
        <f>+B63</f>
        <v>4253</v>
      </c>
      <c r="S159" s="162">
        <f>+B64</f>
        <v>4135</v>
      </c>
      <c r="T159" s="162">
        <f>+B65</f>
        <v>4020</v>
      </c>
      <c r="U159" s="162">
        <f>+B66</f>
        <v>3909</v>
      </c>
      <c r="V159" s="162">
        <f>+B67</f>
        <v>3800</v>
      </c>
      <c r="W159" s="162">
        <f>+B68</f>
        <v>3695</v>
      </c>
      <c r="X159" s="162">
        <f>+B69</f>
        <v>3593</v>
      </c>
      <c r="Y159" s="162">
        <f>+B70</f>
        <v>3493</v>
      </c>
      <c r="Z159" s="162">
        <f>+B71</f>
        <v>3396</v>
      </c>
      <c r="AA159" s="162">
        <f>+B72</f>
        <v>3302</v>
      </c>
      <c r="AB159" s="162">
        <f>+B73</f>
        <v>3211</v>
      </c>
      <c r="AC159" s="162">
        <f>+B74</f>
        <v>3122</v>
      </c>
      <c r="AD159" s="162">
        <f>+B75</f>
        <v>3035</v>
      </c>
      <c r="AE159" s="162">
        <f>+B76</f>
        <v>2951</v>
      </c>
      <c r="AF159" s="162">
        <f>+B77</f>
        <v>2869</v>
      </c>
      <c r="AG159" s="162">
        <f>+B78</f>
        <v>2790</v>
      </c>
      <c r="AH159" s="162">
        <f>+B79</f>
        <v>2712</v>
      </c>
      <c r="AI159" s="162">
        <f>+B80</f>
        <v>2637</v>
      </c>
      <c r="AJ159" s="162"/>
      <c r="AK159" s="162"/>
      <c r="AL159" s="162"/>
      <c r="AM159" s="162"/>
      <c r="AN159" s="162"/>
      <c r="AO159" s="161"/>
    </row>
    <row r="160" spans="1:41" ht="20.100000000000001" customHeight="1">
      <c r="K160" s="161" t="s">
        <v>102</v>
      </c>
      <c r="L160" s="161"/>
      <c r="M160" s="161"/>
      <c r="N160" s="161"/>
      <c r="O160" s="161"/>
      <c r="P160" s="161"/>
      <c r="Q160" s="161">
        <f>+Q159</f>
        <v>4374</v>
      </c>
      <c r="R160" s="162" t="e">
        <f>+B89</f>
        <v>#VALUE!</v>
      </c>
      <c r="S160" s="162" t="e">
        <f>+B90</f>
        <v>#VALUE!</v>
      </c>
      <c r="T160" s="162" t="e">
        <f>+B91</f>
        <v>#VALUE!</v>
      </c>
      <c r="U160" s="162" t="e">
        <f>+B92</f>
        <v>#VALUE!</v>
      </c>
      <c r="V160" s="162" t="e">
        <f>+B93</f>
        <v>#VALUE!</v>
      </c>
      <c r="W160" s="162" t="e">
        <f>+B94</f>
        <v>#VALUE!</v>
      </c>
      <c r="X160" s="162" t="e">
        <f>+B95</f>
        <v>#VALUE!</v>
      </c>
      <c r="Y160" s="162" t="e">
        <f>+B96</f>
        <v>#VALUE!</v>
      </c>
      <c r="Z160" s="162" t="e">
        <f>+B97</f>
        <v>#VALUE!</v>
      </c>
      <c r="AA160" s="162" t="e">
        <f>+B98</f>
        <v>#VALUE!</v>
      </c>
      <c r="AB160" s="162" t="e">
        <f>+B99</f>
        <v>#VALUE!</v>
      </c>
      <c r="AC160" s="162" t="e">
        <f>+B100</f>
        <v>#VALUE!</v>
      </c>
      <c r="AD160" s="162" t="e">
        <f>+B101</f>
        <v>#VALUE!</v>
      </c>
      <c r="AE160" s="162" t="e">
        <f>+B102</f>
        <v>#VALUE!</v>
      </c>
      <c r="AF160" s="162" t="e">
        <f>+B103</f>
        <v>#VALUE!</v>
      </c>
      <c r="AG160" s="162" t="e">
        <f>+B104</f>
        <v>#VALUE!</v>
      </c>
      <c r="AH160" s="162" t="e">
        <f>+B105</f>
        <v>#VALUE!</v>
      </c>
      <c r="AI160" s="162" t="e">
        <f>+B106</f>
        <v>#VALUE!</v>
      </c>
      <c r="AJ160" s="161"/>
      <c r="AK160" s="161"/>
      <c r="AL160" s="161"/>
      <c r="AM160" s="161"/>
      <c r="AN160" s="161"/>
      <c r="AO160" s="161"/>
    </row>
    <row r="161" spans="11:41" ht="20.100000000000001" customHeight="1">
      <c r="K161" s="161" t="s">
        <v>103</v>
      </c>
      <c r="L161" s="161"/>
      <c r="M161" s="161"/>
      <c r="N161" s="161"/>
      <c r="O161" s="161"/>
      <c r="P161" s="161"/>
      <c r="Q161" s="161">
        <f>+Q160</f>
        <v>4374</v>
      </c>
      <c r="R161" s="162">
        <f>+B115</f>
        <v>4233</v>
      </c>
      <c r="S161" s="162">
        <f>+B116</f>
        <v>4108</v>
      </c>
      <c r="T161" s="162">
        <f>+B117</f>
        <v>3983</v>
      </c>
      <c r="U161" s="162">
        <f>+B118</f>
        <v>3860</v>
      </c>
      <c r="V161" s="162">
        <f>+B119</f>
        <v>3739</v>
      </c>
      <c r="W161" s="162">
        <f>+B120</f>
        <v>3619</v>
      </c>
      <c r="X161" s="162">
        <f>+B121</f>
        <v>3500</v>
      </c>
      <c r="Y161" s="162">
        <f>+B122</f>
        <v>3384</v>
      </c>
      <c r="Z161" s="162">
        <f>+B123</f>
        <v>3269</v>
      </c>
      <c r="AA161" s="162">
        <f>+B124</f>
        <v>3157</v>
      </c>
      <c r="AB161" s="162">
        <f>+B125</f>
        <v>3047</v>
      </c>
      <c r="AC161" s="162">
        <f>+B126</f>
        <v>2938</v>
      </c>
      <c r="AD161" s="162">
        <f>+B127</f>
        <v>2833</v>
      </c>
      <c r="AE161" s="162">
        <f>+B128</f>
        <v>2729</v>
      </c>
      <c r="AF161" s="162">
        <f>+B129</f>
        <v>2628</v>
      </c>
      <c r="AG161" s="162">
        <f>+B130</f>
        <v>2530</v>
      </c>
      <c r="AH161" s="162">
        <f>+B131</f>
        <v>2433</v>
      </c>
      <c r="AI161" s="162">
        <f>+B132</f>
        <v>2340</v>
      </c>
      <c r="AJ161" s="162"/>
      <c r="AK161" s="162"/>
      <c r="AL161" s="162"/>
      <c r="AM161" s="162"/>
      <c r="AN161" s="162"/>
      <c r="AO161" s="161"/>
    </row>
    <row r="162" spans="11:41" ht="20.100000000000001" customHeight="1">
      <c r="K162" s="161" t="s">
        <v>95</v>
      </c>
      <c r="L162" s="161"/>
      <c r="M162" s="161"/>
      <c r="N162" s="161"/>
      <c r="O162" s="161"/>
      <c r="P162" s="161"/>
      <c r="Q162" s="161">
        <f>+Q161</f>
        <v>4374</v>
      </c>
      <c r="R162" s="206">
        <f>+H136</f>
        <v>4237.5</v>
      </c>
      <c r="S162" s="206">
        <f>+H137</f>
        <v>4109</v>
      </c>
      <c r="T162" s="206">
        <f>+H138</f>
        <v>3980.5</v>
      </c>
      <c r="U162" s="206">
        <f>+H139</f>
        <v>3853</v>
      </c>
      <c r="V162" s="206">
        <f>+H140</f>
        <v>3727.5</v>
      </c>
      <c r="W162" s="175">
        <f>+H141</f>
        <v>3603</v>
      </c>
      <c r="X162" s="206">
        <f>+H142</f>
        <v>3479</v>
      </c>
      <c r="Y162" s="206">
        <f>+H143</f>
        <v>3357</v>
      </c>
      <c r="Z162" s="206">
        <f>+H144</f>
        <v>3235</v>
      </c>
      <c r="AA162" s="206">
        <f>+H145</f>
        <v>3114.5</v>
      </c>
      <c r="AB162" s="206">
        <f>+H146</f>
        <v>2995.5</v>
      </c>
      <c r="AC162" s="206">
        <f>+H147</f>
        <v>2876.5</v>
      </c>
      <c r="AD162" s="206">
        <f>+H148</f>
        <v>2760</v>
      </c>
      <c r="AE162" s="206">
        <f>+H149</f>
        <v>2643.5</v>
      </c>
      <c r="AF162" s="206">
        <f>+H150</f>
        <v>2528.5</v>
      </c>
      <c r="AG162" s="206">
        <f>+H151</f>
        <v>2415.5</v>
      </c>
      <c r="AH162" s="206">
        <f>+H152</f>
        <v>2302.5</v>
      </c>
      <c r="AI162" s="206">
        <f>+H153</f>
        <v>2191.5</v>
      </c>
      <c r="AJ162" s="161"/>
      <c r="AK162" s="161"/>
      <c r="AL162" s="161"/>
      <c r="AM162" s="161"/>
      <c r="AN162" s="161"/>
      <c r="AO162" s="161" t="s">
        <v>95</v>
      </c>
    </row>
    <row r="163" spans="11:41" ht="20.100000000000001" customHeight="1"/>
    <row r="164" spans="11:41" ht="20.100000000000001" customHeight="1"/>
    <row r="165" spans="11:41" ht="20.100000000000001" customHeight="1"/>
    <row r="166" spans="11:41" ht="20.100000000000001" customHeight="1"/>
    <row r="167" spans="11:41" ht="20.100000000000001" customHeight="1"/>
    <row r="168" spans="11:41" ht="20.100000000000001" customHeight="1"/>
    <row r="169" spans="11:41" ht="20.100000000000001" customHeight="1"/>
    <row r="170" spans="11:41" ht="20.100000000000001" customHeight="1"/>
    <row r="171" spans="11:41" ht="20.100000000000001" customHeight="1"/>
    <row r="172" spans="11:41" ht="20.100000000000001" customHeight="1"/>
    <row r="173" spans="11:41" ht="20.100000000000001" customHeight="1"/>
    <row r="174" spans="11:41" ht="20.100000000000001" customHeight="1"/>
    <row r="175" spans="11:41" ht="20.100000000000001" customHeight="1"/>
    <row r="176" spans="11:41" ht="20.100000000000001" customHeight="1"/>
    <row r="177" ht="20.100000000000001" customHeight="1"/>
    <row r="178" ht="20.100000000000001" customHeight="1"/>
    <row r="179" ht="20.100000000000001" customHeight="1"/>
  </sheetData>
  <phoneticPr fontId="50" type="noConversion"/>
  <pageMargins left="0.74803149606299213" right="0.74803149606299213" top="0.78740157480314965" bottom="0.78740157480314965" header="0.51181102362204722" footer="0.51181102362204722"/>
  <pageSetup paperSize="9" scale="70" fitToHeight="3" orientation="portrait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>
  <sheetPr codeName="Sheet59">
    <tabColor indexed="61"/>
  </sheetPr>
  <dimension ref="A1:AX248"/>
  <sheetViews>
    <sheetView workbookViewId="0"/>
  </sheetViews>
  <sheetFormatPr defaultRowHeight="15" customHeight="1"/>
  <cols>
    <col min="1" max="1" width="8.88671875" style="55"/>
    <col min="2" max="2" width="9.21875" style="55" customWidth="1"/>
    <col min="3" max="3" width="9.5546875" style="55" customWidth="1"/>
    <col min="4" max="4" width="9" style="55" customWidth="1"/>
    <col min="5" max="5" width="11.33203125" style="55" customWidth="1"/>
    <col min="6" max="6" width="9.44140625" style="55" customWidth="1"/>
    <col min="7" max="7" width="15.109375" style="55" bestFit="1" customWidth="1"/>
    <col min="8" max="8" width="12.88671875" style="55" bestFit="1" customWidth="1"/>
    <col min="9" max="9" width="11.5546875" style="55" bestFit="1" customWidth="1"/>
    <col min="10" max="16384" width="8.88671875" style="55"/>
  </cols>
  <sheetData>
    <row r="1" spans="1:12" ht="15" customHeight="1">
      <c r="A1" s="54" t="s">
        <v>129</v>
      </c>
    </row>
    <row r="2" spans="1:12" ht="15" customHeight="1">
      <c r="A2" s="54"/>
    </row>
    <row r="3" spans="1:12" ht="15" customHeight="1">
      <c r="A3" s="56" t="s">
        <v>74</v>
      </c>
      <c r="B3" s="57"/>
    </row>
    <row r="4" spans="1:12" ht="15" customHeight="1">
      <c r="A4" s="58" t="s">
        <v>32</v>
      </c>
      <c r="B4" s="59" t="s">
        <v>40</v>
      </c>
      <c r="C4" s="59" t="s">
        <v>33</v>
      </c>
      <c r="D4" s="60"/>
      <c r="E4" s="60"/>
      <c r="F4" s="61"/>
      <c r="G4" s="62"/>
      <c r="H4" s="63" t="s">
        <v>104</v>
      </c>
      <c r="I4" s="64">
        <f>RSQ(I5:I24,B5:B24)</f>
        <v>0.97028781325821578</v>
      </c>
    </row>
    <row r="5" spans="1:12" ht="15" customHeight="1">
      <c r="A5" s="65">
        <f>과거인구현황!A6</f>
        <v>1988</v>
      </c>
      <c r="B5" s="66">
        <f>+VLOOKUP(A5,과거인구현황!$A$6:$W$26,22,FALSE)</f>
        <v>9652</v>
      </c>
      <c r="C5" s="67">
        <v>0</v>
      </c>
      <c r="D5" s="53" t="s">
        <v>75</v>
      </c>
      <c r="E5" s="68">
        <f>(B24-B5)/C24</f>
        <v>-286.31578947368422</v>
      </c>
      <c r="F5" s="69"/>
      <c r="G5" s="53"/>
      <c r="H5" s="69"/>
      <c r="I5" s="70">
        <f t="shared" ref="I5:I42" si="0">$E$5*C5+$E$6</f>
        <v>9652</v>
      </c>
      <c r="J5" s="71">
        <v>570570</v>
      </c>
      <c r="K5" s="55">
        <v>570570</v>
      </c>
      <c r="L5" s="55">
        <v>766</v>
      </c>
    </row>
    <row r="6" spans="1:12" ht="15" customHeight="1">
      <c r="A6" s="65">
        <f>과거인구현황!A7</f>
        <v>1989</v>
      </c>
      <c r="B6" s="66">
        <f>+VLOOKUP(A6,과거인구현황!$A$6:$W$26,22,FALSE)</f>
        <v>9336</v>
      </c>
      <c r="C6" s="67">
        <f t="shared" ref="C6:C42" si="1">C5+1</f>
        <v>1</v>
      </c>
      <c r="D6" s="53" t="s">
        <v>76</v>
      </c>
      <c r="E6" s="72">
        <f>B5</f>
        <v>9652</v>
      </c>
      <c r="F6" s="69"/>
      <c r="G6" s="53"/>
      <c r="H6" s="69"/>
      <c r="I6" s="70">
        <f t="shared" si="0"/>
        <v>9365.6842105263149</v>
      </c>
      <c r="J6" s="71">
        <v>583230</v>
      </c>
      <c r="K6" s="55">
        <v>583230</v>
      </c>
      <c r="L6" s="55">
        <v>1094</v>
      </c>
    </row>
    <row r="7" spans="1:12" ht="15" customHeight="1">
      <c r="A7" s="65">
        <f>과거인구현황!A8</f>
        <v>1990</v>
      </c>
      <c r="B7" s="66">
        <f>+VLOOKUP(A7,과거인구현황!$A$6:$W$26,22,FALSE)</f>
        <v>8152</v>
      </c>
      <c r="C7" s="67">
        <f t="shared" si="1"/>
        <v>2</v>
      </c>
      <c r="D7" s="53" t="s">
        <v>77</v>
      </c>
      <c r="E7" s="73">
        <f>I4</f>
        <v>0.97028781325821578</v>
      </c>
      <c r="F7" s="69"/>
      <c r="G7" s="53"/>
      <c r="H7" s="69"/>
      <c r="I7" s="70">
        <f t="shared" si="0"/>
        <v>9079.3684210526317</v>
      </c>
      <c r="J7" s="71">
        <v>590162</v>
      </c>
      <c r="K7" s="55">
        <v>590162</v>
      </c>
      <c r="L7" s="55">
        <v>1277</v>
      </c>
    </row>
    <row r="8" spans="1:12" ht="15" customHeight="1">
      <c r="A8" s="65">
        <f>과거인구현황!A9</f>
        <v>1991</v>
      </c>
      <c r="B8" s="66">
        <f>+VLOOKUP(A8,과거인구현황!$A$6:$W$26,22,FALSE)</f>
        <v>8172</v>
      </c>
      <c r="C8" s="67">
        <f t="shared" si="1"/>
        <v>3</v>
      </c>
      <c r="D8" s="53"/>
      <c r="E8" s="53"/>
      <c r="F8" s="69"/>
      <c r="G8" s="53"/>
      <c r="H8" s="69"/>
      <c r="I8" s="70">
        <f t="shared" si="0"/>
        <v>8793.0526315789466</v>
      </c>
      <c r="J8" s="71">
        <v>600343</v>
      </c>
      <c r="K8" s="55">
        <v>600343</v>
      </c>
      <c r="L8" s="55">
        <v>1147</v>
      </c>
    </row>
    <row r="9" spans="1:12" ht="15" customHeight="1">
      <c r="A9" s="65">
        <f>과거인구현황!A10</f>
        <v>1992</v>
      </c>
      <c r="B9" s="66">
        <f>+VLOOKUP(A9,과거인구현황!$A$6:$W$26,22,FALSE)</f>
        <v>7723</v>
      </c>
      <c r="C9" s="67">
        <f t="shared" si="1"/>
        <v>4</v>
      </c>
      <c r="D9" s="53"/>
      <c r="E9" s="53"/>
      <c r="F9" s="69"/>
      <c r="G9" s="53"/>
      <c r="H9" s="69"/>
      <c r="I9" s="70">
        <f t="shared" si="0"/>
        <v>8506.7368421052633</v>
      </c>
      <c r="J9" s="71">
        <v>611921</v>
      </c>
      <c r="K9" s="55">
        <v>611921</v>
      </c>
      <c r="L9" s="55">
        <v>1355</v>
      </c>
    </row>
    <row r="10" spans="1:12" ht="15" customHeight="1">
      <c r="A10" s="65">
        <f>과거인구현황!A11</f>
        <v>1993</v>
      </c>
      <c r="B10" s="66">
        <f>+VLOOKUP(A10,과거인구현황!$A$6:$W$26,22,FALSE)</f>
        <v>7425</v>
      </c>
      <c r="C10" s="67">
        <f t="shared" si="1"/>
        <v>5</v>
      </c>
      <c r="D10" s="53"/>
      <c r="E10" s="53"/>
      <c r="F10" s="69"/>
      <c r="G10" s="53"/>
      <c r="H10" s="69"/>
      <c r="I10" s="70">
        <f t="shared" si="0"/>
        <v>8220.4210526315783</v>
      </c>
      <c r="J10" s="74">
        <v>622238</v>
      </c>
      <c r="K10" s="55">
        <v>622238</v>
      </c>
      <c r="L10" s="55">
        <v>1717</v>
      </c>
    </row>
    <row r="11" spans="1:12" ht="15" customHeight="1">
      <c r="A11" s="65">
        <f>과거인구현황!A12</f>
        <v>1994</v>
      </c>
      <c r="B11" s="66">
        <f>+VLOOKUP(A11,과거인구현황!$A$6:$W$26,22,FALSE)</f>
        <v>7296</v>
      </c>
      <c r="C11" s="67">
        <f t="shared" si="1"/>
        <v>6</v>
      </c>
      <c r="D11" s="53" t="s">
        <v>73</v>
      </c>
      <c r="E11" s="53"/>
      <c r="F11" s="69"/>
      <c r="G11" s="53"/>
      <c r="H11" s="69"/>
      <c r="I11" s="70">
        <f t="shared" si="0"/>
        <v>7934.105263157895</v>
      </c>
      <c r="J11" s="74">
        <v>623897</v>
      </c>
      <c r="K11" s="55">
        <v>623897</v>
      </c>
      <c r="L11" s="55">
        <v>1614</v>
      </c>
    </row>
    <row r="12" spans="1:12" ht="15" customHeight="1">
      <c r="A12" s="65">
        <f>과거인구현황!A13</f>
        <v>1995</v>
      </c>
      <c r="B12" s="66">
        <f>+VLOOKUP(A12,과거인구현황!$A$6:$W$26,22,FALSE)</f>
        <v>6993</v>
      </c>
      <c r="C12" s="67">
        <f t="shared" si="1"/>
        <v>7</v>
      </c>
      <c r="D12" s="53"/>
      <c r="E12" s="53"/>
      <c r="F12" s="69"/>
      <c r="G12" s="53"/>
      <c r="H12" s="69"/>
      <c r="I12" s="70">
        <f t="shared" si="0"/>
        <v>7647.78947368421</v>
      </c>
      <c r="J12" s="74">
        <v>626069</v>
      </c>
      <c r="K12" s="55">
        <v>626069</v>
      </c>
      <c r="L12" s="55">
        <v>1584</v>
      </c>
    </row>
    <row r="13" spans="1:12" ht="15" customHeight="1">
      <c r="A13" s="65">
        <f>과거인구현황!A14</f>
        <v>1996</v>
      </c>
      <c r="B13" s="66">
        <f>+VLOOKUP(A13,과거인구현황!$A$6:$W$26,22,FALSE)</f>
        <v>6633</v>
      </c>
      <c r="C13" s="67">
        <f t="shared" si="1"/>
        <v>8</v>
      </c>
      <c r="D13" s="53"/>
      <c r="E13" s="53"/>
      <c r="F13" s="69"/>
      <c r="G13" s="53"/>
      <c r="H13" s="69"/>
      <c r="I13" s="70">
        <f t="shared" si="0"/>
        <v>7361.4736842105267</v>
      </c>
      <c r="J13" s="74">
        <v>618816</v>
      </c>
      <c r="K13" s="55">
        <v>620374</v>
      </c>
      <c r="L13" s="75">
        <v>1555</v>
      </c>
    </row>
    <row r="14" spans="1:12" ht="15" customHeight="1">
      <c r="A14" s="65">
        <f>과거인구현황!A15</f>
        <v>1997</v>
      </c>
      <c r="B14" s="66">
        <f>+VLOOKUP(A14,과거인구현황!$A$6:$W$26,22,FALSE)</f>
        <v>6394</v>
      </c>
      <c r="C14" s="67">
        <f t="shared" si="1"/>
        <v>9</v>
      </c>
      <c r="D14" s="53"/>
      <c r="E14" s="53"/>
      <c r="F14" s="69"/>
      <c r="G14" s="53"/>
      <c r="H14" s="69"/>
      <c r="I14" s="70">
        <f t="shared" si="0"/>
        <v>7075.1578947368416</v>
      </c>
      <c r="J14" s="74">
        <v>622472</v>
      </c>
      <c r="K14" s="55">
        <v>624260</v>
      </c>
      <c r="L14" s="75">
        <v>1788</v>
      </c>
    </row>
    <row r="15" spans="1:12" ht="15" customHeight="1">
      <c r="A15" s="65">
        <f>과거인구현황!A16</f>
        <v>1998</v>
      </c>
      <c r="B15" s="66">
        <f>+VLOOKUP(A15,과거인구현황!$A$6:$W$26,22,FALSE)</f>
        <v>6192</v>
      </c>
      <c r="C15" s="67">
        <f t="shared" si="1"/>
        <v>10</v>
      </c>
      <c r="D15" s="53"/>
      <c r="E15" s="53"/>
      <c r="F15" s="69"/>
      <c r="G15" s="53"/>
      <c r="H15" s="69"/>
      <c r="I15" s="70">
        <f t="shared" si="0"/>
        <v>6788.8421052631584</v>
      </c>
      <c r="K15" s="55">
        <v>623804</v>
      </c>
      <c r="L15" s="75">
        <f>+J15-K15</f>
        <v>-623804</v>
      </c>
    </row>
    <row r="16" spans="1:12" ht="15" customHeight="1">
      <c r="A16" s="65">
        <f>과거인구현황!A17</f>
        <v>1999</v>
      </c>
      <c r="B16" s="66">
        <f>+VLOOKUP(A16,과거인구현황!$A$6:$W$26,22,FALSE)</f>
        <v>5927</v>
      </c>
      <c r="C16" s="67">
        <f t="shared" si="1"/>
        <v>11</v>
      </c>
      <c r="D16" s="53"/>
      <c r="E16" s="53"/>
      <c r="F16" s="69"/>
      <c r="G16" s="53"/>
      <c r="H16" s="69"/>
      <c r="I16" s="70">
        <f t="shared" si="0"/>
        <v>6502.5263157894733</v>
      </c>
      <c r="L16" s="75"/>
    </row>
    <row r="17" spans="1:12" ht="15" customHeight="1">
      <c r="A17" s="65">
        <f>과거인구현황!A18</f>
        <v>2000</v>
      </c>
      <c r="B17" s="66">
        <f>+VLOOKUP(A17,과거인구현황!$A$6:$W$26,22,FALSE)</f>
        <v>5619</v>
      </c>
      <c r="C17" s="67">
        <f t="shared" si="1"/>
        <v>12</v>
      </c>
      <c r="D17" s="53"/>
      <c r="E17" s="53"/>
      <c r="F17" s="69"/>
      <c r="G17" s="53"/>
      <c r="H17" s="69"/>
      <c r="I17" s="70">
        <f t="shared" si="0"/>
        <v>6216.2105263157891</v>
      </c>
      <c r="L17" s="75"/>
    </row>
    <row r="18" spans="1:12" ht="15" customHeight="1">
      <c r="A18" s="65">
        <f>과거인구현황!A19</f>
        <v>2001</v>
      </c>
      <c r="B18" s="66">
        <f>+VLOOKUP(A18,과거인구현황!$A$6:$W$26,22,FALSE)</f>
        <v>5393</v>
      </c>
      <c r="C18" s="67">
        <f t="shared" si="1"/>
        <v>13</v>
      </c>
      <c r="D18" s="53"/>
      <c r="E18" s="53"/>
      <c r="F18" s="69"/>
      <c r="G18" s="53"/>
      <c r="H18" s="69"/>
      <c r="I18" s="70">
        <f t="shared" si="0"/>
        <v>5929.894736842105</v>
      </c>
      <c r="L18" s="75"/>
    </row>
    <row r="19" spans="1:12" ht="15" customHeight="1">
      <c r="A19" s="65">
        <f>과거인구현황!A20</f>
        <v>2002</v>
      </c>
      <c r="B19" s="66">
        <f>+VLOOKUP(A19,과거인구현황!$A$6:$W$26,22,FALSE)</f>
        <v>5125</v>
      </c>
      <c r="C19" s="67">
        <f t="shared" si="1"/>
        <v>14</v>
      </c>
      <c r="D19" s="53"/>
      <c r="E19" s="53"/>
      <c r="F19" s="69"/>
      <c r="G19" s="53"/>
      <c r="H19" s="69"/>
      <c r="I19" s="70">
        <f t="shared" si="0"/>
        <v>5643.5789473684208</v>
      </c>
      <c r="L19" s="75"/>
    </row>
    <row r="20" spans="1:12" ht="15" customHeight="1">
      <c r="A20" s="65">
        <f>과거인구현황!A21</f>
        <v>2003</v>
      </c>
      <c r="B20" s="66">
        <f>+VLOOKUP(A20,과거인구현황!$A$6:$W$26,22,FALSE)</f>
        <v>4944</v>
      </c>
      <c r="C20" s="67">
        <f t="shared" si="1"/>
        <v>15</v>
      </c>
      <c r="D20" s="53"/>
      <c r="E20" s="53"/>
      <c r="F20" s="69"/>
      <c r="G20" s="53"/>
      <c r="H20" s="69"/>
      <c r="I20" s="70">
        <f t="shared" si="0"/>
        <v>5357.2631578947367</v>
      </c>
      <c r="L20" s="75"/>
    </row>
    <row r="21" spans="1:12" ht="15" customHeight="1">
      <c r="A21" s="65">
        <f>과거인구현황!A22</f>
        <v>2004</v>
      </c>
      <c r="B21" s="66">
        <f>+VLOOKUP(A21,과거인구현황!$A$6:$W$26,22,FALSE)</f>
        <v>4840</v>
      </c>
      <c r="C21" s="67">
        <f t="shared" si="1"/>
        <v>16</v>
      </c>
      <c r="D21" s="53"/>
      <c r="E21" s="53"/>
      <c r="F21" s="69"/>
      <c r="G21" s="53"/>
      <c r="H21" s="69"/>
      <c r="I21" s="70">
        <f t="shared" si="0"/>
        <v>5070.9473684210525</v>
      </c>
      <c r="L21" s="75"/>
    </row>
    <row r="22" spans="1:12" ht="15" customHeight="1">
      <c r="A22" s="65">
        <f>과거인구현황!A23</f>
        <v>2005</v>
      </c>
      <c r="B22" s="66">
        <f>+VLOOKUP(A22,과거인구현황!$A$6:$W$26,22,FALSE)</f>
        <v>4706</v>
      </c>
      <c r="C22" s="67">
        <f t="shared" si="1"/>
        <v>17</v>
      </c>
      <c r="D22" s="53"/>
      <c r="E22" s="53"/>
      <c r="F22" s="69"/>
      <c r="G22" s="53"/>
      <c r="H22" s="69"/>
      <c r="I22" s="70">
        <f t="shared" si="0"/>
        <v>4784.6315789473683</v>
      </c>
      <c r="L22" s="75"/>
    </row>
    <row r="23" spans="1:12" ht="15" customHeight="1">
      <c r="A23" s="65">
        <f>과거인구현황!A24</f>
        <v>2006</v>
      </c>
      <c r="B23" s="66">
        <f>+VLOOKUP(A23,과거인구현황!$A$6:$W$26,22,FALSE)</f>
        <v>4467</v>
      </c>
      <c r="C23" s="67">
        <f t="shared" si="1"/>
        <v>18</v>
      </c>
      <c r="D23" s="53"/>
      <c r="E23" s="53"/>
      <c r="F23" s="69"/>
      <c r="G23" s="53"/>
      <c r="H23" s="69"/>
      <c r="I23" s="70">
        <f t="shared" si="0"/>
        <v>4498.3157894736842</v>
      </c>
      <c r="L23" s="75"/>
    </row>
    <row r="24" spans="1:12" ht="15" customHeight="1" thickBot="1">
      <c r="A24" s="97">
        <f>과거인구현황!A25</f>
        <v>2007</v>
      </c>
      <c r="B24" s="185">
        <f>+VLOOKUP(A24,과거인구현황!$A$6:$W$26,22,FALSE)</f>
        <v>4212</v>
      </c>
      <c r="C24" s="99">
        <f t="shared" si="1"/>
        <v>19</v>
      </c>
      <c r="D24" s="101"/>
      <c r="E24" s="101"/>
      <c r="F24" s="100"/>
      <c r="G24" s="101"/>
      <c r="H24" s="100"/>
      <c r="I24" s="102">
        <f t="shared" si="0"/>
        <v>4212</v>
      </c>
      <c r="L24" s="75"/>
    </row>
    <row r="25" spans="1:12" ht="15" customHeight="1" thickTop="1">
      <c r="A25" s="255">
        <v>2008</v>
      </c>
      <c r="B25" s="81">
        <f t="shared" ref="B25:B42" si="2">ROUND($E$5*C25+$E$6,0)</f>
        <v>3926</v>
      </c>
      <c r="C25" s="77">
        <f t="shared" si="1"/>
        <v>20</v>
      </c>
      <c r="D25" s="256"/>
      <c r="E25" s="256"/>
      <c r="F25" s="78"/>
      <c r="G25" s="256"/>
      <c r="H25" s="78"/>
      <c r="I25" s="79">
        <f t="shared" si="0"/>
        <v>3925.6842105263158</v>
      </c>
      <c r="L25" s="75"/>
    </row>
    <row r="26" spans="1:12" ht="15" customHeight="1">
      <c r="A26" s="80">
        <v>2009</v>
      </c>
      <c r="B26" s="81">
        <f t="shared" si="2"/>
        <v>3639</v>
      </c>
      <c r="C26" s="67">
        <f>C25+1</f>
        <v>21</v>
      </c>
      <c r="D26" s="69"/>
      <c r="E26" s="69"/>
      <c r="F26" s="69"/>
      <c r="G26" s="69"/>
      <c r="H26" s="69"/>
      <c r="I26" s="70">
        <f t="shared" si="0"/>
        <v>3639.3684210526317</v>
      </c>
    </row>
    <row r="27" spans="1:12" ht="15" customHeight="1">
      <c r="A27" s="80">
        <v>2010</v>
      </c>
      <c r="B27" s="81">
        <f t="shared" si="2"/>
        <v>3353</v>
      </c>
      <c r="C27" s="82">
        <f t="shared" si="1"/>
        <v>22</v>
      </c>
      <c r="D27" s="69"/>
      <c r="E27" s="69"/>
      <c r="F27" s="69"/>
      <c r="G27" s="69"/>
      <c r="H27" s="69"/>
      <c r="I27" s="70">
        <f t="shared" si="0"/>
        <v>3353.0526315789475</v>
      </c>
    </row>
    <row r="28" spans="1:12" ht="15" customHeight="1">
      <c r="A28" s="80">
        <v>2011</v>
      </c>
      <c r="B28" s="81">
        <f t="shared" si="2"/>
        <v>3067</v>
      </c>
      <c r="C28" s="82">
        <f t="shared" si="1"/>
        <v>23</v>
      </c>
      <c r="D28" s="69"/>
      <c r="E28" s="69"/>
      <c r="F28" s="69"/>
      <c r="G28" s="69"/>
      <c r="H28" s="69"/>
      <c r="I28" s="70">
        <f t="shared" si="0"/>
        <v>3066.7368421052633</v>
      </c>
    </row>
    <row r="29" spans="1:12" ht="15" customHeight="1">
      <c r="A29" s="80">
        <v>2012</v>
      </c>
      <c r="B29" s="81">
        <f t="shared" si="2"/>
        <v>2780</v>
      </c>
      <c r="C29" s="82">
        <f t="shared" si="1"/>
        <v>24</v>
      </c>
      <c r="D29" s="69"/>
      <c r="E29" s="69"/>
      <c r="F29" s="69"/>
      <c r="G29" s="69"/>
      <c r="H29" s="69"/>
      <c r="I29" s="70">
        <f t="shared" si="0"/>
        <v>2780.4210526315783</v>
      </c>
    </row>
    <row r="30" spans="1:12" ht="15" customHeight="1">
      <c r="A30" s="80">
        <v>2013</v>
      </c>
      <c r="B30" s="81">
        <f t="shared" si="2"/>
        <v>2494</v>
      </c>
      <c r="C30" s="82">
        <f t="shared" si="1"/>
        <v>25</v>
      </c>
      <c r="D30" s="69"/>
      <c r="E30" s="69"/>
      <c r="F30" s="69"/>
      <c r="G30" s="69"/>
      <c r="H30" s="69"/>
      <c r="I30" s="70">
        <f t="shared" si="0"/>
        <v>2494.1052631578941</v>
      </c>
    </row>
    <row r="31" spans="1:12" ht="15" customHeight="1">
      <c r="A31" s="80">
        <v>2014</v>
      </c>
      <c r="B31" s="81">
        <f t="shared" si="2"/>
        <v>2208</v>
      </c>
      <c r="C31" s="82">
        <f t="shared" si="1"/>
        <v>26</v>
      </c>
      <c r="D31" s="69"/>
      <c r="E31" s="69"/>
      <c r="F31" s="69"/>
      <c r="G31" s="69"/>
      <c r="H31" s="69"/>
      <c r="I31" s="70">
        <f t="shared" si="0"/>
        <v>2207.78947368421</v>
      </c>
    </row>
    <row r="32" spans="1:12" ht="15" customHeight="1">
      <c r="A32" s="80">
        <v>2015</v>
      </c>
      <c r="B32" s="81">
        <f t="shared" si="2"/>
        <v>1921</v>
      </c>
      <c r="C32" s="82">
        <f t="shared" si="1"/>
        <v>27</v>
      </c>
      <c r="D32" s="69"/>
      <c r="E32" s="69"/>
      <c r="F32" s="69"/>
      <c r="G32" s="69"/>
      <c r="H32" s="69"/>
      <c r="I32" s="70">
        <f t="shared" si="0"/>
        <v>1921.4736842105258</v>
      </c>
    </row>
    <row r="33" spans="1:9" ht="15" customHeight="1">
      <c r="A33" s="80">
        <v>2016</v>
      </c>
      <c r="B33" s="81">
        <f t="shared" si="2"/>
        <v>1635</v>
      </c>
      <c r="C33" s="82">
        <f t="shared" si="1"/>
        <v>28</v>
      </c>
      <c r="D33" s="69"/>
      <c r="E33" s="69"/>
      <c r="F33" s="69"/>
      <c r="G33" s="69"/>
      <c r="H33" s="69"/>
      <c r="I33" s="70">
        <f t="shared" si="0"/>
        <v>1635.1578947368416</v>
      </c>
    </row>
    <row r="34" spans="1:9" ht="15" customHeight="1">
      <c r="A34" s="80">
        <v>2017</v>
      </c>
      <c r="B34" s="81">
        <f t="shared" si="2"/>
        <v>1349</v>
      </c>
      <c r="C34" s="82">
        <f t="shared" si="1"/>
        <v>29</v>
      </c>
      <c r="D34" s="69"/>
      <c r="E34" s="69"/>
      <c r="F34" s="69"/>
      <c r="G34" s="69"/>
      <c r="H34" s="69"/>
      <c r="I34" s="70">
        <f t="shared" si="0"/>
        <v>1348.8421052631584</v>
      </c>
    </row>
    <row r="35" spans="1:9" ht="15" customHeight="1">
      <c r="A35" s="80">
        <v>2018</v>
      </c>
      <c r="B35" s="81">
        <f t="shared" si="2"/>
        <v>1063</v>
      </c>
      <c r="C35" s="82">
        <f t="shared" si="1"/>
        <v>30</v>
      </c>
      <c r="D35" s="69"/>
      <c r="E35" s="69"/>
      <c r="F35" s="69"/>
      <c r="G35" s="69"/>
      <c r="H35" s="69"/>
      <c r="I35" s="70">
        <f t="shared" si="0"/>
        <v>1062.5263157894733</v>
      </c>
    </row>
    <row r="36" spans="1:9" ht="15" customHeight="1">
      <c r="A36" s="80">
        <v>2019</v>
      </c>
      <c r="B36" s="81">
        <f t="shared" si="2"/>
        <v>776</v>
      </c>
      <c r="C36" s="82">
        <f t="shared" si="1"/>
        <v>31</v>
      </c>
      <c r="D36" s="69"/>
      <c r="E36" s="69"/>
      <c r="F36" s="69"/>
      <c r="G36" s="69"/>
      <c r="H36" s="69"/>
      <c r="I36" s="70">
        <f t="shared" si="0"/>
        <v>776.21052631579005</v>
      </c>
    </row>
    <row r="37" spans="1:9" ht="15" customHeight="1">
      <c r="A37" s="80">
        <v>2020</v>
      </c>
      <c r="B37" s="81">
        <f t="shared" si="2"/>
        <v>490</v>
      </c>
      <c r="C37" s="82">
        <f t="shared" si="1"/>
        <v>32</v>
      </c>
      <c r="D37" s="69"/>
      <c r="E37" s="69"/>
      <c r="F37" s="69"/>
      <c r="G37" s="69"/>
      <c r="H37" s="69"/>
      <c r="I37" s="70">
        <f t="shared" si="0"/>
        <v>489.89473684210498</v>
      </c>
    </row>
    <row r="38" spans="1:9" ht="15" customHeight="1">
      <c r="A38" s="80">
        <v>2021</v>
      </c>
      <c r="B38" s="81">
        <f t="shared" si="2"/>
        <v>204</v>
      </c>
      <c r="C38" s="82">
        <f t="shared" si="1"/>
        <v>33</v>
      </c>
      <c r="D38" s="69"/>
      <c r="E38" s="69"/>
      <c r="F38" s="69"/>
      <c r="G38" s="69"/>
      <c r="H38" s="69"/>
      <c r="I38" s="70">
        <f t="shared" si="0"/>
        <v>203.5789473684199</v>
      </c>
    </row>
    <row r="39" spans="1:9" ht="15" customHeight="1">
      <c r="A39" s="80">
        <v>2022</v>
      </c>
      <c r="B39" s="81">
        <f t="shared" si="2"/>
        <v>-83</v>
      </c>
      <c r="C39" s="82">
        <f t="shared" si="1"/>
        <v>34</v>
      </c>
      <c r="D39" s="69"/>
      <c r="E39" s="69"/>
      <c r="F39" s="69"/>
      <c r="G39" s="69"/>
      <c r="H39" s="69"/>
      <c r="I39" s="70">
        <f t="shared" si="0"/>
        <v>-82.736842105263349</v>
      </c>
    </row>
    <row r="40" spans="1:9" ht="15" customHeight="1">
      <c r="A40" s="80">
        <v>2023</v>
      </c>
      <c r="B40" s="81">
        <f t="shared" si="2"/>
        <v>-369</v>
      </c>
      <c r="C40" s="82">
        <f t="shared" si="1"/>
        <v>35</v>
      </c>
      <c r="D40" s="69"/>
      <c r="E40" s="69"/>
      <c r="F40" s="69"/>
      <c r="G40" s="69"/>
      <c r="H40" s="69"/>
      <c r="I40" s="70">
        <f t="shared" si="0"/>
        <v>-369.05263157894842</v>
      </c>
    </row>
    <row r="41" spans="1:9" ht="15" customHeight="1">
      <c r="A41" s="80">
        <v>2024</v>
      </c>
      <c r="B41" s="81">
        <f t="shared" si="2"/>
        <v>-655</v>
      </c>
      <c r="C41" s="67">
        <f t="shared" si="1"/>
        <v>36</v>
      </c>
      <c r="D41" s="83"/>
      <c r="E41" s="69"/>
      <c r="F41" s="69"/>
      <c r="G41" s="69"/>
      <c r="H41" s="84"/>
      <c r="I41" s="70">
        <f t="shared" si="0"/>
        <v>-655.36842105263167</v>
      </c>
    </row>
    <row r="42" spans="1:9" ht="15" customHeight="1">
      <c r="A42" s="85">
        <v>2025</v>
      </c>
      <c r="B42" s="86">
        <f t="shared" si="2"/>
        <v>-942</v>
      </c>
      <c r="C42" s="87">
        <f t="shared" si="1"/>
        <v>37</v>
      </c>
      <c r="D42" s="88"/>
      <c r="E42" s="89"/>
      <c r="F42" s="89"/>
      <c r="G42" s="89"/>
      <c r="H42" s="90"/>
      <c r="I42" s="91">
        <f t="shared" si="0"/>
        <v>-941.68421052631675</v>
      </c>
    </row>
    <row r="43" spans="1:9" ht="15" customHeight="1">
      <c r="A43" s="56" t="s">
        <v>78</v>
      </c>
      <c r="B43" s="92"/>
      <c r="I43" s="89"/>
    </row>
    <row r="44" spans="1:9" ht="15" customHeight="1">
      <c r="A44" s="58" t="s">
        <v>32</v>
      </c>
      <c r="B44" s="59" t="s">
        <v>40</v>
      </c>
      <c r="C44" s="59" t="s">
        <v>33</v>
      </c>
      <c r="D44" s="60"/>
      <c r="E44" s="60"/>
      <c r="F44" s="61"/>
      <c r="G44" s="62"/>
      <c r="H44" s="63" t="s">
        <v>104</v>
      </c>
      <c r="I44" s="64">
        <f>RSQ(I45:I65,B45:B65)</f>
        <v>0.97423522575997445</v>
      </c>
    </row>
    <row r="45" spans="1:9" ht="15" customHeight="1">
      <c r="A45" s="65">
        <f t="shared" ref="A45:B60" si="3">A5</f>
        <v>1988</v>
      </c>
      <c r="B45" s="93">
        <f t="shared" si="3"/>
        <v>9652</v>
      </c>
      <c r="C45" s="67">
        <v>0</v>
      </c>
      <c r="D45" s="53" t="s">
        <v>75</v>
      </c>
      <c r="E45" s="68">
        <f>INDEX(LINEST(B45:B64,C45:C64),1)</f>
        <v>-266.85639097744354</v>
      </c>
      <c r="F45" s="69"/>
      <c r="G45" s="53"/>
      <c r="H45" s="69"/>
      <c r="I45" s="94">
        <f t="shared" ref="I45:I82" si="4">$E$45*C45+$E$46</f>
        <v>8995.1857142857134</v>
      </c>
    </row>
    <row r="46" spans="1:9" ht="15" customHeight="1">
      <c r="A46" s="65">
        <f t="shared" si="3"/>
        <v>1989</v>
      </c>
      <c r="B46" s="93">
        <f t="shared" si="3"/>
        <v>9336</v>
      </c>
      <c r="C46" s="67">
        <f t="shared" ref="C46:C82" si="5">C45+1</f>
        <v>1</v>
      </c>
      <c r="D46" s="53" t="s">
        <v>76</v>
      </c>
      <c r="E46" s="72">
        <f>INDEX(LINEST(B45:B64,C45:C64),2)</f>
        <v>8995.1857142857134</v>
      </c>
      <c r="F46" s="69"/>
      <c r="G46" s="53"/>
      <c r="H46" s="69"/>
      <c r="I46" s="70">
        <f t="shared" si="4"/>
        <v>8728.3293233082695</v>
      </c>
    </row>
    <row r="47" spans="1:9" ht="15" customHeight="1">
      <c r="A47" s="65">
        <f t="shared" si="3"/>
        <v>1990</v>
      </c>
      <c r="B47" s="93">
        <f t="shared" si="3"/>
        <v>8152</v>
      </c>
      <c r="C47" s="67">
        <f t="shared" si="5"/>
        <v>2</v>
      </c>
      <c r="D47" s="53" t="s">
        <v>77</v>
      </c>
      <c r="E47" s="73">
        <f>I44</f>
        <v>0.97423522575997445</v>
      </c>
      <c r="F47" s="69"/>
      <c r="G47" s="53"/>
      <c r="H47" s="69"/>
      <c r="I47" s="70">
        <f t="shared" si="4"/>
        <v>8461.4729323308256</v>
      </c>
    </row>
    <row r="48" spans="1:9" ht="15" customHeight="1">
      <c r="A48" s="65">
        <f t="shared" si="3"/>
        <v>1991</v>
      </c>
      <c r="B48" s="93">
        <f t="shared" si="3"/>
        <v>8172</v>
      </c>
      <c r="C48" s="67">
        <f t="shared" si="5"/>
        <v>3</v>
      </c>
      <c r="D48" s="53"/>
      <c r="E48" s="53"/>
      <c r="F48" s="69"/>
      <c r="G48" s="53"/>
      <c r="H48" s="69"/>
      <c r="I48" s="70">
        <f t="shared" si="4"/>
        <v>8194.6165413533836</v>
      </c>
    </row>
    <row r="49" spans="1:9" ht="15" customHeight="1">
      <c r="A49" s="65">
        <f t="shared" si="3"/>
        <v>1992</v>
      </c>
      <c r="B49" s="93">
        <f t="shared" si="3"/>
        <v>7723</v>
      </c>
      <c r="C49" s="67">
        <f t="shared" si="5"/>
        <v>4</v>
      </c>
      <c r="D49" s="53"/>
      <c r="E49" s="53"/>
      <c r="F49" s="69"/>
      <c r="G49" s="95"/>
      <c r="H49" s="69"/>
      <c r="I49" s="70">
        <f t="shared" si="4"/>
        <v>7927.7601503759397</v>
      </c>
    </row>
    <row r="50" spans="1:9" ht="15" customHeight="1">
      <c r="A50" s="65">
        <f t="shared" si="3"/>
        <v>1993</v>
      </c>
      <c r="B50" s="93">
        <f t="shared" si="3"/>
        <v>7425</v>
      </c>
      <c r="C50" s="67">
        <f t="shared" si="5"/>
        <v>5</v>
      </c>
      <c r="D50" s="53"/>
      <c r="E50" s="53"/>
      <c r="F50" s="69"/>
      <c r="G50" s="53"/>
      <c r="H50" s="69"/>
      <c r="I50" s="70">
        <f t="shared" si="4"/>
        <v>7660.9037593984958</v>
      </c>
    </row>
    <row r="51" spans="1:9" ht="15" customHeight="1">
      <c r="A51" s="65">
        <f t="shared" si="3"/>
        <v>1994</v>
      </c>
      <c r="B51" s="93">
        <f t="shared" si="3"/>
        <v>7296</v>
      </c>
      <c r="C51" s="67">
        <f t="shared" si="5"/>
        <v>6</v>
      </c>
      <c r="D51" s="53" t="s">
        <v>73</v>
      </c>
      <c r="E51" s="53"/>
      <c r="F51" s="69"/>
      <c r="G51" s="53"/>
      <c r="H51" s="69"/>
      <c r="I51" s="70">
        <f t="shared" si="4"/>
        <v>7394.0473684210519</v>
      </c>
    </row>
    <row r="52" spans="1:9" ht="15" customHeight="1">
      <c r="A52" s="65">
        <f t="shared" si="3"/>
        <v>1995</v>
      </c>
      <c r="B52" s="93">
        <f t="shared" si="3"/>
        <v>6993</v>
      </c>
      <c r="C52" s="67">
        <f t="shared" si="5"/>
        <v>7</v>
      </c>
      <c r="D52" s="53"/>
      <c r="E52" s="53"/>
      <c r="F52" s="69"/>
      <c r="G52" s="53"/>
      <c r="H52" s="69"/>
      <c r="I52" s="70">
        <f t="shared" si="4"/>
        <v>7127.1909774436081</v>
      </c>
    </row>
    <row r="53" spans="1:9" ht="15" customHeight="1">
      <c r="A53" s="65">
        <f t="shared" si="3"/>
        <v>1996</v>
      </c>
      <c r="B53" s="93">
        <f t="shared" si="3"/>
        <v>6633</v>
      </c>
      <c r="C53" s="67">
        <f t="shared" si="5"/>
        <v>8</v>
      </c>
      <c r="D53" s="53"/>
      <c r="E53" s="53"/>
      <c r="F53" s="69"/>
      <c r="G53" s="53"/>
      <c r="H53" s="69"/>
      <c r="I53" s="70">
        <f t="shared" si="4"/>
        <v>6860.3345864661651</v>
      </c>
    </row>
    <row r="54" spans="1:9" ht="15" customHeight="1">
      <c r="A54" s="65">
        <f t="shared" si="3"/>
        <v>1997</v>
      </c>
      <c r="B54" s="93">
        <f t="shared" si="3"/>
        <v>6394</v>
      </c>
      <c r="C54" s="67">
        <f t="shared" si="5"/>
        <v>9</v>
      </c>
      <c r="D54" s="69"/>
      <c r="E54" s="69"/>
      <c r="F54" s="69"/>
      <c r="G54" s="53"/>
      <c r="H54" s="53"/>
      <c r="I54" s="70">
        <f t="shared" si="4"/>
        <v>6593.4781954887221</v>
      </c>
    </row>
    <row r="55" spans="1:9" ht="15" customHeight="1">
      <c r="A55" s="65">
        <f t="shared" si="3"/>
        <v>1998</v>
      </c>
      <c r="B55" s="93">
        <f t="shared" si="3"/>
        <v>6192</v>
      </c>
      <c r="C55" s="67">
        <f t="shared" si="5"/>
        <v>10</v>
      </c>
      <c r="D55" s="69"/>
      <c r="E55" s="69"/>
      <c r="F55" s="69"/>
      <c r="G55" s="53"/>
      <c r="H55" s="53"/>
      <c r="I55" s="70">
        <f t="shared" si="4"/>
        <v>6326.6218045112782</v>
      </c>
    </row>
    <row r="56" spans="1:9" ht="15" customHeight="1">
      <c r="A56" s="65">
        <f t="shared" si="3"/>
        <v>1999</v>
      </c>
      <c r="B56" s="93">
        <f t="shared" si="3"/>
        <v>5927</v>
      </c>
      <c r="C56" s="67">
        <f t="shared" si="5"/>
        <v>11</v>
      </c>
      <c r="D56" s="69"/>
      <c r="E56" s="69"/>
      <c r="F56" s="69"/>
      <c r="G56" s="53"/>
      <c r="H56" s="53"/>
      <c r="I56" s="70">
        <f t="shared" si="4"/>
        <v>6059.7654135338344</v>
      </c>
    </row>
    <row r="57" spans="1:9" ht="15" customHeight="1">
      <c r="A57" s="65">
        <f t="shared" si="3"/>
        <v>2000</v>
      </c>
      <c r="B57" s="93">
        <f t="shared" si="3"/>
        <v>5619</v>
      </c>
      <c r="C57" s="67">
        <f t="shared" si="5"/>
        <v>12</v>
      </c>
      <c r="D57" s="69"/>
      <c r="E57" s="69"/>
      <c r="F57" s="69"/>
      <c r="G57" s="53"/>
      <c r="H57" s="53"/>
      <c r="I57" s="70">
        <f t="shared" si="4"/>
        <v>5792.9090225563905</v>
      </c>
    </row>
    <row r="58" spans="1:9" ht="15" customHeight="1">
      <c r="A58" s="65">
        <f t="shared" si="3"/>
        <v>2001</v>
      </c>
      <c r="B58" s="93">
        <f t="shared" si="3"/>
        <v>5393</v>
      </c>
      <c r="C58" s="67">
        <f t="shared" si="5"/>
        <v>13</v>
      </c>
      <c r="D58" s="69"/>
      <c r="E58" s="96"/>
      <c r="F58" s="69"/>
      <c r="G58" s="53"/>
      <c r="H58" s="53"/>
      <c r="I58" s="70">
        <f t="shared" si="4"/>
        <v>5526.0526315789475</v>
      </c>
    </row>
    <row r="59" spans="1:9" ht="15" customHeight="1">
      <c r="A59" s="65">
        <f t="shared" si="3"/>
        <v>2002</v>
      </c>
      <c r="B59" s="93">
        <f t="shared" si="3"/>
        <v>5125</v>
      </c>
      <c r="C59" s="67">
        <f t="shared" si="5"/>
        <v>14</v>
      </c>
      <c r="D59" s="69"/>
      <c r="E59" s="69"/>
      <c r="F59" s="69"/>
      <c r="G59" s="53"/>
      <c r="H59" s="53"/>
      <c r="I59" s="70">
        <f t="shared" si="4"/>
        <v>5259.1962406015036</v>
      </c>
    </row>
    <row r="60" spans="1:9" ht="15" customHeight="1">
      <c r="A60" s="65">
        <f t="shared" si="3"/>
        <v>2003</v>
      </c>
      <c r="B60" s="93">
        <f t="shared" si="3"/>
        <v>4944</v>
      </c>
      <c r="C60" s="67">
        <f t="shared" si="5"/>
        <v>15</v>
      </c>
      <c r="D60" s="69"/>
      <c r="E60" s="69"/>
      <c r="F60" s="69"/>
      <c r="G60" s="53"/>
      <c r="H60" s="53"/>
      <c r="I60" s="70">
        <f t="shared" si="4"/>
        <v>4992.3398496240607</v>
      </c>
    </row>
    <row r="61" spans="1:9" ht="15" customHeight="1">
      <c r="A61" s="65">
        <f t="shared" ref="A61:B65" si="6">A21</f>
        <v>2004</v>
      </c>
      <c r="B61" s="93">
        <f t="shared" si="6"/>
        <v>4840</v>
      </c>
      <c r="C61" s="67">
        <f t="shared" si="5"/>
        <v>16</v>
      </c>
      <c r="D61" s="69"/>
      <c r="E61" s="69"/>
      <c r="F61" s="69"/>
      <c r="G61" s="53"/>
      <c r="H61" s="53"/>
      <c r="I61" s="70">
        <f t="shared" si="4"/>
        <v>4725.4834586466168</v>
      </c>
    </row>
    <row r="62" spans="1:9" ht="15" customHeight="1">
      <c r="A62" s="65">
        <f t="shared" si="6"/>
        <v>2005</v>
      </c>
      <c r="B62" s="93">
        <f t="shared" si="6"/>
        <v>4706</v>
      </c>
      <c r="C62" s="67">
        <f t="shared" si="5"/>
        <v>17</v>
      </c>
      <c r="D62" s="69"/>
      <c r="E62" s="69"/>
      <c r="F62" s="69"/>
      <c r="G62" s="53"/>
      <c r="H62" s="53"/>
      <c r="I62" s="70">
        <f t="shared" si="4"/>
        <v>4458.6270676691729</v>
      </c>
    </row>
    <row r="63" spans="1:9" ht="15" customHeight="1">
      <c r="A63" s="65">
        <f t="shared" si="6"/>
        <v>2006</v>
      </c>
      <c r="B63" s="93">
        <f t="shared" si="6"/>
        <v>4467</v>
      </c>
      <c r="C63" s="67">
        <f t="shared" si="5"/>
        <v>18</v>
      </c>
      <c r="D63" s="69"/>
      <c r="E63" s="69"/>
      <c r="F63" s="69"/>
      <c r="G63" s="53"/>
      <c r="H63" s="53"/>
      <c r="I63" s="70">
        <f t="shared" si="4"/>
        <v>4191.7706766917299</v>
      </c>
    </row>
    <row r="64" spans="1:9" ht="15" customHeight="1" thickBot="1">
      <c r="A64" s="97">
        <f t="shared" si="6"/>
        <v>2007</v>
      </c>
      <c r="B64" s="98">
        <f t="shared" si="6"/>
        <v>4212</v>
      </c>
      <c r="C64" s="99">
        <f t="shared" si="5"/>
        <v>19</v>
      </c>
      <c r="D64" s="100"/>
      <c r="E64" s="100"/>
      <c r="F64" s="100"/>
      <c r="G64" s="101"/>
      <c r="H64" s="101"/>
      <c r="I64" s="102">
        <f t="shared" si="4"/>
        <v>3924.9142857142861</v>
      </c>
    </row>
    <row r="65" spans="1:9" ht="15" customHeight="1" thickTop="1">
      <c r="A65" s="255">
        <f t="shared" si="6"/>
        <v>2008</v>
      </c>
      <c r="B65" s="81">
        <f t="shared" ref="B65:B82" si="7">ROUND(E$45*C65+E$46,0)</f>
        <v>3658</v>
      </c>
      <c r="C65" s="77">
        <f t="shared" si="5"/>
        <v>20</v>
      </c>
      <c r="D65" s="78"/>
      <c r="E65" s="78"/>
      <c r="F65" s="78"/>
      <c r="G65" s="256"/>
      <c r="H65" s="256"/>
      <c r="I65" s="79">
        <f t="shared" si="4"/>
        <v>3658.0578947368431</v>
      </c>
    </row>
    <row r="66" spans="1:9" ht="15" customHeight="1">
      <c r="A66" s="80">
        <v>2009</v>
      </c>
      <c r="B66" s="81">
        <f t="shared" si="7"/>
        <v>3391</v>
      </c>
      <c r="C66" s="82">
        <f t="shared" si="5"/>
        <v>21</v>
      </c>
      <c r="D66" s="69"/>
      <c r="E66" s="69"/>
      <c r="F66" s="69"/>
      <c r="G66" s="69"/>
      <c r="H66" s="69"/>
      <c r="I66" s="70">
        <f t="shared" si="4"/>
        <v>3391.2015037593992</v>
      </c>
    </row>
    <row r="67" spans="1:9" ht="15" customHeight="1">
      <c r="A67" s="80">
        <v>2010</v>
      </c>
      <c r="B67" s="81">
        <f t="shared" si="7"/>
        <v>3124</v>
      </c>
      <c r="C67" s="82">
        <f t="shared" si="5"/>
        <v>22</v>
      </c>
      <c r="D67" s="69"/>
      <c r="E67" s="69"/>
      <c r="F67" s="69"/>
      <c r="G67" s="69"/>
      <c r="H67" s="69"/>
      <c r="I67" s="70">
        <f t="shared" si="4"/>
        <v>3124.3451127819553</v>
      </c>
    </row>
    <row r="68" spans="1:9" ht="15" customHeight="1">
      <c r="A68" s="80">
        <v>2011</v>
      </c>
      <c r="B68" s="81">
        <f t="shared" si="7"/>
        <v>2857</v>
      </c>
      <c r="C68" s="82">
        <f t="shared" si="5"/>
        <v>23</v>
      </c>
      <c r="D68" s="69"/>
      <c r="E68" s="69"/>
      <c r="F68" s="69"/>
      <c r="G68" s="69"/>
      <c r="H68" s="69"/>
      <c r="I68" s="70">
        <f t="shared" si="4"/>
        <v>2857.4887218045124</v>
      </c>
    </row>
    <row r="69" spans="1:9" ht="15" customHeight="1">
      <c r="A69" s="80">
        <v>2012</v>
      </c>
      <c r="B69" s="81">
        <f t="shared" si="7"/>
        <v>2591</v>
      </c>
      <c r="C69" s="82">
        <f t="shared" si="5"/>
        <v>24</v>
      </c>
      <c r="D69" s="69"/>
      <c r="E69" s="69"/>
      <c r="F69" s="69"/>
      <c r="G69" s="69"/>
      <c r="H69" s="69"/>
      <c r="I69" s="70">
        <f t="shared" si="4"/>
        <v>2590.6323308270685</v>
      </c>
    </row>
    <row r="70" spans="1:9" ht="15" customHeight="1">
      <c r="A70" s="80">
        <v>2013</v>
      </c>
      <c r="B70" s="81">
        <f t="shared" si="7"/>
        <v>2324</v>
      </c>
      <c r="C70" s="82">
        <f t="shared" si="5"/>
        <v>25</v>
      </c>
      <c r="D70" s="69"/>
      <c r="E70" s="69"/>
      <c r="F70" s="69"/>
      <c r="G70" s="69"/>
      <c r="H70" s="69"/>
      <c r="I70" s="70">
        <f t="shared" si="4"/>
        <v>2323.7759398496246</v>
      </c>
    </row>
    <row r="71" spans="1:9" ht="15" customHeight="1">
      <c r="A71" s="80">
        <v>2014</v>
      </c>
      <c r="B71" s="81">
        <f t="shared" si="7"/>
        <v>2057</v>
      </c>
      <c r="C71" s="82">
        <f t="shared" si="5"/>
        <v>26</v>
      </c>
      <c r="D71" s="69"/>
      <c r="E71" s="69"/>
      <c r="F71" s="69"/>
      <c r="G71" s="69"/>
      <c r="H71" s="69"/>
      <c r="I71" s="70">
        <f t="shared" si="4"/>
        <v>2056.9195488721816</v>
      </c>
    </row>
    <row r="72" spans="1:9" ht="15" customHeight="1">
      <c r="A72" s="80">
        <v>2015</v>
      </c>
      <c r="B72" s="81">
        <f t="shared" si="7"/>
        <v>1790</v>
      </c>
      <c r="C72" s="82">
        <f t="shared" si="5"/>
        <v>27</v>
      </c>
      <c r="D72" s="69"/>
      <c r="E72" s="69"/>
      <c r="F72" s="69"/>
      <c r="G72" s="69"/>
      <c r="H72" s="69"/>
      <c r="I72" s="70">
        <f t="shared" si="4"/>
        <v>1790.0631578947377</v>
      </c>
    </row>
    <row r="73" spans="1:9" ht="15" customHeight="1">
      <c r="A73" s="80">
        <v>2016</v>
      </c>
      <c r="B73" s="81">
        <f t="shared" si="7"/>
        <v>1523</v>
      </c>
      <c r="C73" s="82">
        <f t="shared" si="5"/>
        <v>28</v>
      </c>
      <c r="D73" s="69"/>
      <c r="E73" s="69"/>
      <c r="F73" s="69"/>
      <c r="G73" s="69"/>
      <c r="H73" s="69"/>
      <c r="I73" s="70">
        <f t="shared" si="4"/>
        <v>1523.2067669172939</v>
      </c>
    </row>
    <row r="74" spans="1:9" ht="15" customHeight="1">
      <c r="A74" s="80">
        <v>2017</v>
      </c>
      <c r="B74" s="81">
        <f t="shared" si="7"/>
        <v>1256</v>
      </c>
      <c r="C74" s="82">
        <f t="shared" si="5"/>
        <v>29</v>
      </c>
      <c r="D74" s="69"/>
      <c r="E74" s="69"/>
      <c r="F74" s="69"/>
      <c r="G74" s="69"/>
      <c r="H74" s="69"/>
      <c r="I74" s="70">
        <f t="shared" si="4"/>
        <v>1256.3503759398509</v>
      </c>
    </row>
    <row r="75" spans="1:9" ht="15" customHeight="1">
      <c r="A75" s="80">
        <v>2018</v>
      </c>
      <c r="B75" s="81">
        <f t="shared" si="7"/>
        <v>989</v>
      </c>
      <c r="C75" s="82">
        <f t="shared" si="5"/>
        <v>30</v>
      </c>
      <c r="D75" s="69"/>
      <c r="E75" s="69"/>
      <c r="F75" s="69"/>
      <c r="G75" s="69"/>
      <c r="H75" s="69"/>
      <c r="I75" s="70">
        <f t="shared" si="4"/>
        <v>989.49398496240701</v>
      </c>
    </row>
    <row r="76" spans="1:9" ht="15" customHeight="1">
      <c r="A76" s="80">
        <v>2019</v>
      </c>
      <c r="B76" s="81">
        <f t="shared" si="7"/>
        <v>723</v>
      </c>
      <c r="C76" s="82">
        <f t="shared" si="5"/>
        <v>31</v>
      </c>
      <c r="D76" s="69"/>
      <c r="E76" s="69"/>
      <c r="F76" s="69"/>
      <c r="G76" s="69"/>
      <c r="H76" s="69"/>
      <c r="I76" s="70">
        <f t="shared" si="4"/>
        <v>722.63759398496404</v>
      </c>
    </row>
    <row r="77" spans="1:9" ht="15" customHeight="1">
      <c r="A77" s="80">
        <v>2020</v>
      </c>
      <c r="B77" s="81">
        <f t="shared" si="7"/>
        <v>456</v>
      </c>
      <c r="C77" s="82">
        <f t="shared" si="5"/>
        <v>32</v>
      </c>
      <c r="D77" s="69"/>
      <c r="E77" s="69"/>
      <c r="F77" s="69"/>
      <c r="G77" s="69"/>
      <c r="H77" s="69"/>
      <c r="I77" s="70">
        <f t="shared" si="4"/>
        <v>455.78120300752016</v>
      </c>
    </row>
    <row r="78" spans="1:9" ht="15" customHeight="1">
      <c r="A78" s="80">
        <v>2021</v>
      </c>
      <c r="B78" s="81">
        <f t="shared" si="7"/>
        <v>189</v>
      </c>
      <c r="C78" s="82">
        <f t="shared" si="5"/>
        <v>33</v>
      </c>
      <c r="D78" s="69"/>
      <c r="E78" s="69"/>
      <c r="F78" s="69"/>
      <c r="G78" s="69"/>
      <c r="H78" s="69"/>
      <c r="I78" s="70">
        <f t="shared" si="4"/>
        <v>188.92481203007628</v>
      </c>
    </row>
    <row r="79" spans="1:9" ht="15" customHeight="1">
      <c r="A79" s="80">
        <v>2022</v>
      </c>
      <c r="B79" s="81">
        <f t="shared" si="7"/>
        <v>-78</v>
      </c>
      <c r="C79" s="82">
        <f t="shared" si="5"/>
        <v>34</v>
      </c>
      <c r="D79" s="69"/>
      <c r="E79" s="69"/>
      <c r="F79" s="69"/>
      <c r="G79" s="69"/>
      <c r="H79" s="69"/>
      <c r="I79" s="70">
        <f t="shared" si="4"/>
        <v>-77.931578947367598</v>
      </c>
    </row>
    <row r="80" spans="1:9" ht="15" customHeight="1">
      <c r="A80" s="80">
        <v>2023</v>
      </c>
      <c r="B80" s="81">
        <f t="shared" si="7"/>
        <v>-345</v>
      </c>
      <c r="C80" s="82">
        <f t="shared" si="5"/>
        <v>35</v>
      </c>
      <c r="D80" s="69"/>
      <c r="E80" s="69"/>
      <c r="F80" s="69"/>
      <c r="G80" s="69"/>
      <c r="H80" s="69"/>
      <c r="I80" s="70">
        <f t="shared" si="4"/>
        <v>-344.78796992480966</v>
      </c>
    </row>
    <row r="81" spans="1:11" ht="15" customHeight="1">
      <c r="A81" s="80">
        <v>2024</v>
      </c>
      <c r="B81" s="81">
        <f t="shared" si="7"/>
        <v>-612</v>
      </c>
      <c r="C81" s="67">
        <f t="shared" si="5"/>
        <v>36</v>
      </c>
      <c r="D81" s="69"/>
      <c r="E81" s="69"/>
      <c r="F81" s="69"/>
      <c r="G81" s="69"/>
      <c r="H81" s="69"/>
      <c r="I81" s="70">
        <f t="shared" si="4"/>
        <v>-611.64436090225354</v>
      </c>
    </row>
    <row r="82" spans="1:11" ht="15" customHeight="1">
      <c r="A82" s="85">
        <v>2025</v>
      </c>
      <c r="B82" s="86">
        <f t="shared" si="7"/>
        <v>-879</v>
      </c>
      <c r="C82" s="87">
        <f t="shared" si="5"/>
        <v>37</v>
      </c>
      <c r="D82" s="89"/>
      <c r="E82" s="89"/>
      <c r="F82" s="89"/>
      <c r="G82" s="89"/>
      <c r="H82" s="89"/>
      <c r="I82" s="91">
        <f t="shared" si="4"/>
        <v>-878.50075187969742</v>
      </c>
    </row>
    <row r="83" spans="1:11" ht="15" customHeight="1">
      <c r="A83" s="56" t="s">
        <v>79</v>
      </c>
      <c r="B83" s="57"/>
    </row>
    <row r="84" spans="1:11" ht="15" customHeight="1">
      <c r="A84" s="58" t="s">
        <v>32</v>
      </c>
      <c r="B84" s="59" t="s">
        <v>40</v>
      </c>
      <c r="C84" s="59" t="s">
        <v>34</v>
      </c>
      <c r="D84" s="59" t="s">
        <v>33</v>
      </c>
      <c r="E84" s="103"/>
      <c r="F84" s="60"/>
      <c r="G84" s="61"/>
      <c r="H84" s="63" t="s">
        <v>104</v>
      </c>
      <c r="I84" s="64">
        <f>RSQ(I85:I105,B85:B105)</f>
        <v>0.99053989281869925</v>
      </c>
    </row>
    <row r="85" spans="1:11" ht="15" customHeight="1">
      <c r="A85" s="65">
        <f t="shared" ref="A85:B100" si="8">A5</f>
        <v>1988</v>
      </c>
      <c r="B85" s="104">
        <f t="shared" si="8"/>
        <v>9652</v>
      </c>
      <c r="C85" s="105">
        <f t="shared" ref="C85:C122" si="9">LN(B85)</f>
        <v>9.1749204267449223</v>
      </c>
      <c r="D85" s="67">
        <v>0</v>
      </c>
      <c r="E85" s="106" t="s">
        <v>37</v>
      </c>
      <c r="F85" s="73">
        <f>ROUND((B104/B85)^(1/D104)-1,5)</f>
        <v>-4.2700000000000002E-2</v>
      </c>
      <c r="G85" s="107"/>
      <c r="H85" s="108"/>
      <c r="I85" s="109">
        <f t="shared" ref="I85:I122" si="10">ROUND($F$86*(1+$F$85)^(D85),1)</f>
        <v>9652</v>
      </c>
    </row>
    <row r="86" spans="1:11" ht="15" customHeight="1">
      <c r="A86" s="65">
        <f t="shared" si="8"/>
        <v>1989</v>
      </c>
      <c r="B86" s="104">
        <f t="shared" si="8"/>
        <v>9336</v>
      </c>
      <c r="C86" s="105">
        <f t="shared" si="9"/>
        <v>9.1416331739663921</v>
      </c>
      <c r="D86" s="67">
        <f t="shared" ref="D86:D122" si="11">D85+1</f>
        <v>1</v>
      </c>
      <c r="E86" s="106" t="s">
        <v>80</v>
      </c>
      <c r="F86" s="110">
        <f>B85</f>
        <v>9652</v>
      </c>
      <c r="G86" s="107"/>
      <c r="H86" s="108"/>
      <c r="I86" s="109">
        <f t="shared" si="10"/>
        <v>9239.9</v>
      </c>
      <c r="K86" s="111"/>
    </row>
    <row r="87" spans="1:11" ht="15" customHeight="1">
      <c r="A87" s="65">
        <f t="shared" si="8"/>
        <v>1990</v>
      </c>
      <c r="B87" s="104">
        <f t="shared" si="8"/>
        <v>8152</v>
      </c>
      <c r="C87" s="105">
        <f t="shared" si="9"/>
        <v>9.0060185749025603</v>
      </c>
      <c r="D87" s="67">
        <f t="shared" si="11"/>
        <v>2</v>
      </c>
      <c r="E87" s="106" t="s">
        <v>77</v>
      </c>
      <c r="F87" s="73">
        <f>I84</f>
        <v>0.99053989281869925</v>
      </c>
      <c r="G87" s="108"/>
      <c r="H87" s="108"/>
      <c r="I87" s="109">
        <f t="shared" si="10"/>
        <v>8845.2999999999993</v>
      </c>
    </row>
    <row r="88" spans="1:11" ht="15" customHeight="1">
      <c r="A88" s="65">
        <f t="shared" si="8"/>
        <v>1991</v>
      </c>
      <c r="B88" s="104">
        <f t="shared" si="8"/>
        <v>8172</v>
      </c>
      <c r="C88" s="105">
        <f t="shared" si="9"/>
        <v>9.0084689559375128</v>
      </c>
      <c r="D88" s="67">
        <f t="shared" si="11"/>
        <v>3</v>
      </c>
      <c r="E88" s="106"/>
      <c r="F88" s="73"/>
      <c r="G88" s="108"/>
      <c r="H88" s="108"/>
      <c r="I88" s="109">
        <f t="shared" si="10"/>
        <v>8467.6</v>
      </c>
    </row>
    <row r="89" spans="1:11" ht="15" customHeight="1">
      <c r="A89" s="65">
        <f t="shared" si="8"/>
        <v>1992</v>
      </c>
      <c r="B89" s="104">
        <f t="shared" si="8"/>
        <v>7723</v>
      </c>
      <c r="C89" s="105">
        <f t="shared" si="9"/>
        <v>8.9519581685692646</v>
      </c>
      <c r="D89" s="67">
        <f t="shared" si="11"/>
        <v>4</v>
      </c>
      <c r="E89" s="106" t="s">
        <v>81</v>
      </c>
      <c r="F89" s="72"/>
      <c r="G89" s="108"/>
      <c r="H89" s="108"/>
      <c r="I89" s="109">
        <f t="shared" si="10"/>
        <v>8106.1</v>
      </c>
    </row>
    <row r="90" spans="1:11" ht="15" customHeight="1">
      <c r="A90" s="65">
        <f t="shared" si="8"/>
        <v>1993</v>
      </c>
      <c r="B90" s="104">
        <f t="shared" si="8"/>
        <v>7425</v>
      </c>
      <c r="C90" s="105">
        <f t="shared" si="9"/>
        <v>8.9126079636709008</v>
      </c>
      <c r="D90" s="67">
        <f t="shared" si="11"/>
        <v>5</v>
      </c>
      <c r="E90" s="112"/>
      <c r="F90" s="113"/>
      <c r="G90" s="108"/>
      <c r="H90" s="108"/>
      <c r="I90" s="109">
        <f t="shared" si="10"/>
        <v>7759.9</v>
      </c>
    </row>
    <row r="91" spans="1:11" ht="15" customHeight="1">
      <c r="A91" s="65">
        <f t="shared" si="8"/>
        <v>1994</v>
      </c>
      <c r="B91" s="104">
        <f t="shared" si="8"/>
        <v>7296</v>
      </c>
      <c r="C91" s="105">
        <f t="shared" si="9"/>
        <v>8.8950815317541672</v>
      </c>
      <c r="D91" s="67">
        <f t="shared" si="11"/>
        <v>6</v>
      </c>
      <c r="E91" s="114"/>
      <c r="F91" s="113"/>
      <c r="G91" s="108"/>
      <c r="H91" s="108"/>
      <c r="I91" s="109">
        <f t="shared" si="10"/>
        <v>7428.6</v>
      </c>
    </row>
    <row r="92" spans="1:11" ht="15" customHeight="1">
      <c r="A92" s="65">
        <f t="shared" si="8"/>
        <v>1995</v>
      </c>
      <c r="B92" s="104">
        <f t="shared" si="8"/>
        <v>6993</v>
      </c>
      <c r="C92" s="105">
        <f t="shared" si="9"/>
        <v>8.8526649277038665</v>
      </c>
      <c r="D92" s="67">
        <f t="shared" si="11"/>
        <v>7</v>
      </c>
      <c r="E92" s="114"/>
      <c r="F92" s="113"/>
      <c r="G92" s="108"/>
      <c r="H92" s="108"/>
      <c r="I92" s="109">
        <f t="shared" si="10"/>
        <v>7111.4</v>
      </c>
    </row>
    <row r="93" spans="1:11" ht="15" customHeight="1">
      <c r="A93" s="65">
        <f t="shared" si="8"/>
        <v>1996</v>
      </c>
      <c r="B93" s="104">
        <f t="shared" si="8"/>
        <v>6633</v>
      </c>
      <c r="C93" s="105">
        <f t="shared" si="9"/>
        <v>8.7998124695255555</v>
      </c>
      <c r="D93" s="67">
        <f t="shared" si="11"/>
        <v>8</v>
      </c>
      <c r="E93" s="108"/>
      <c r="F93" s="108"/>
      <c r="G93" s="115"/>
      <c r="H93" s="108"/>
      <c r="I93" s="109">
        <f t="shared" si="10"/>
        <v>6807.7</v>
      </c>
    </row>
    <row r="94" spans="1:11" ht="15" customHeight="1">
      <c r="A94" s="65">
        <f t="shared" si="8"/>
        <v>1997</v>
      </c>
      <c r="B94" s="104">
        <f t="shared" si="8"/>
        <v>6394</v>
      </c>
      <c r="C94" s="105">
        <f t="shared" si="9"/>
        <v>8.7631153296197866</v>
      </c>
      <c r="D94" s="67">
        <f t="shared" si="11"/>
        <v>9</v>
      </c>
      <c r="E94" s="108"/>
      <c r="F94" s="108"/>
      <c r="G94" s="115"/>
      <c r="H94" s="108"/>
      <c r="I94" s="109">
        <f t="shared" si="10"/>
        <v>6517</v>
      </c>
    </row>
    <row r="95" spans="1:11" ht="15" customHeight="1">
      <c r="A95" s="65">
        <f t="shared" si="8"/>
        <v>1998</v>
      </c>
      <c r="B95" s="104">
        <f t="shared" si="8"/>
        <v>6192</v>
      </c>
      <c r="C95" s="105">
        <f t="shared" si="9"/>
        <v>8.7310134152695635</v>
      </c>
      <c r="D95" s="67">
        <f t="shared" si="11"/>
        <v>10</v>
      </c>
      <c r="E95" s="108"/>
      <c r="F95" s="108"/>
      <c r="G95" s="115"/>
      <c r="H95" s="108"/>
      <c r="I95" s="109">
        <f t="shared" si="10"/>
        <v>6238.8</v>
      </c>
    </row>
    <row r="96" spans="1:11" ht="15" customHeight="1">
      <c r="A96" s="65">
        <f t="shared" si="8"/>
        <v>1999</v>
      </c>
      <c r="B96" s="104">
        <f t="shared" si="8"/>
        <v>5927</v>
      </c>
      <c r="C96" s="105">
        <f t="shared" si="9"/>
        <v>8.6872734617878375</v>
      </c>
      <c r="D96" s="67">
        <f t="shared" si="11"/>
        <v>11</v>
      </c>
      <c r="E96" s="108"/>
      <c r="F96" s="108"/>
      <c r="G96" s="115"/>
      <c r="H96" s="108"/>
      <c r="I96" s="109">
        <f t="shared" si="10"/>
        <v>5972.4</v>
      </c>
    </row>
    <row r="97" spans="1:9" ht="15" customHeight="1">
      <c r="A97" s="65">
        <f t="shared" si="8"/>
        <v>2000</v>
      </c>
      <c r="B97" s="104">
        <f t="shared" si="8"/>
        <v>5619</v>
      </c>
      <c r="C97" s="105">
        <f t="shared" si="9"/>
        <v>8.6339089911121984</v>
      </c>
      <c r="D97" s="67">
        <f t="shared" si="11"/>
        <v>12</v>
      </c>
      <c r="E97" s="108"/>
      <c r="F97" s="108"/>
      <c r="G97" s="115"/>
      <c r="H97" s="108"/>
      <c r="I97" s="109">
        <f t="shared" si="10"/>
        <v>5717.3</v>
      </c>
    </row>
    <row r="98" spans="1:9" ht="15" customHeight="1">
      <c r="A98" s="65">
        <f t="shared" si="8"/>
        <v>2001</v>
      </c>
      <c r="B98" s="104">
        <f t="shared" si="8"/>
        <v>5393</v>
      </c>
      <c r="C98" s="105">
        <f t="shared" si="9"/>
        <v>8.5928570953372265</v>
      </c>
      <c r="D98" s="67">
        <f t="shared" si="11"/>
        <v>13</v>
      </c>
      <c r="E98" s="108"/>
      <c r="F98" s="108"/>
      <c r="G98" s="115"/>
      <c r="H98" s="108"/>
      <c r="I98" s="109">
        <f t="shared" si="10"/>
        <v>5473.2</v>
      </c>
    </row>
    <row r="99" spans="1:9" ht="15" customHeight="1">
      <c r="A99" s="65">
        <f t="shared" si="8"/>
        <v>2002</v>
      </c>
      <c r="B99" s="104">
        <f t="shared" si="8"/>
        <v>5125</v>
      </c>
      <c r="C99" s="105">
        <f t="shared" si="9"/>
        <v>8.5418858040066095</v>
      </c>
      <c r="D99" s="67">
        <f t="shared" si="11"/>
        <v>14</v>
      </c>
      <c r="E99" s="108"/>
      <c r="F99" s="108"/>
      <c r="G99" s="115"/>
      <c r="H99" s="108"/>
      <c r="I99" s="109">
        <f t="shared" si="10"/>
        <v>5239.5</v>
      </c>
    </row>
    <row r="100" spans="1:9" ht="15" customHeight="1">
      <c r="A100" s="65">
        <f t="shared" si="8"/>
        <v>2003</v>
      </c>
      <c r="B100" s="104">
        <f t="shared" si="8"/>
        <v>4944</v>
      </c>
      <c r="C100" s="105">
        <f t="shared" si="9"/>
        <v>8.5059299991375266</v>
      </c>
      <c r="D100" s="67">
        <f t="shared" si="11"/>
        <v>15</v>
      </c>
      <c r="E100" s="108"/>
      <c r="F100" s="108"/>
      <c r="G100" s="115"/>
      <c r="H100" s="108"/>
      <c r="I100" s="109">
        <f t="shared" si="10"/>
        <v>5015.8</v>
      </c>
    </row>
    <row r="101" spans="1:9" ht="15" customHeight="1">
      <c r="A101" s="65">
        <f t="shared" ref="A101:B105" si="12">A21</f>
        <v>2004</v>
      </c>
      <c r="B101" s="104">
        <f t="shared" si="12"/>
        <v>4840</v>
      </c>
      <c r="C101" s="105">
        <f t="shared" si="9"/>
        <v>8.4846699997106771</v>
      </c>
      <c r="D101" s="67">
        <f t="shared" si="11"/>
        <v>16</v>
      </c>
      <c r="E101" s="108"/>
      <c r="F101" s="108"/>
      <c r="G101" s="115"/>
      <c r="H101" s="108"/>
      <c r="I101" s="109">
        <f t="shared" si="10"/>
        <v>4801.6000000000004</v>
      </c>
    </row>
    <row r="102" spans="1:9" ht="15" customHeight="1">
      <c r="A102" s="65">
        <f t="shared" si="12"/>
        <v>2005</v>
      </c>
      <c r="B102" s="104">
        <f t="shared" si="12"/>
        <v>4706</v>
      </c>
      <c r="C102" s="105">
        <f t="shared" si="9"/>
        <v>8.4565935692873087</v>
      </c>
      <c r="D102" s="67">
        <f t="shared" si="11"/>
        <v>17</v>
      </c>
      <c r="E102" s="108"/>
      <c r="F102" s="108"/>
      <c r="G102" s="115"/>
      <c r="H102" s="108"/>
      <c r="I102" s="109">
        <f t="shared" si="10"/>
        <v>4596.6000000000004</v>
      </c>
    </row>
    <row r="103" spans="1:9" ht="15" customHeight="1">
      <c r="A103" s="65">
        <f t="shared" si="12"/>
        <v>2006</v>
      </c>
      <c r="B103" s="104">
        <f t="shared" si="12"/>
        <v>4467</v>
      </c>
      <c r="C103" s="105">
        <f t="shared" si="9"/>
        <v>8.4044723213521184</v>
      </c>
      <c r="D103" s="67">
        <f t="shared" si="11"/>
        <v>18</v>
      </c>
      <c r="E103" s="108"/>
      <c r="F103" s="108"/>
      <c r="G103" s="115"/>
      <c r="H103" s="108"/>
      <c r="I103" s="109">
        <f t="shared" si="10"/>
        <v>4400.3</v>
      </c>
    </row>
    <row r="104" spans="1:9" ht="15" customHeight="1" thickBot="1">
      <c r="A104" s="65">
        <f t="shared" si="12"/>
        <v>2007</v>
      </c>
      <c r="B104" s="104">
        <f t="shared" si="12"/>
        <v>4212</v>
      </c>
      <c r="C104" s="105">
        <f t="shared" si="9"/>
        <v>8.3456928732538653</v>
      </c>
      <c r="D104" s="67">
        <f t="shared" si="11"/>
        <v>19</v>
      </c>
      <c r="E104" s="108"/>
      <c r="F104" s="108"/>
      <c r="G104" s="115"/>
      <c r="H104" s="108"/>
      <c r="I104" s="109">
        <f t="shared" si="10"/>
        <v>4212.3999999999996</v>
      </c>
    </row>
    <row r="105" spans="1:9" ht="15" customHeight="1" thickTop="1">
      <c r="A105" s="255">
        <f t="shared" si="12"/>
        <v>2008</v>
      </c>
      <c r="B105" s="76">
        <f t="shared" ref="B105:B122" si="13">ROUND(F$86*(1+F$85)^D105,0)</f>
        <v>4033</v>
      </c>
      <c r="C105" s="121">
        <f t="shared" si="9"/>
        <v>8.3022657948733674</v>
      </c>
      <c r="D105" s="77">
        <f t="shared" si="11"/>
        <v>20</v>
      </c>
      <c r="E105" s="259"/>
      <c r="F105" s="259"/>
      <c r="G105" s="260"/>
      <c r="H105" s="259"/>
      <c r="I105" s="123">
        <f t="shared" si="10"/>
        <v>4032.5</v>
      </c>
    </row>
    <row r="106" spans="1:9" ht="15" customHeight="1">
      <c r="A106" s="80">
        <v>2009</v>
      </c>
      <c r="B106" s="81">
        <f t="shared" si="13"/>
        <v>3860</v>
      </c>
      <c r="C106" s="105">
        <f t="shared" si="9"/>
        <v>8.258422462458876</v>
      </c>
      <c r="D106" s="67">
        <f t="shared" si="11"/>
        <v>21</v>
      </c>
      <c r="E106" s="83"/>
      <c r="F106" s="69"/>
      <c r="G106" s="69"/>
      <c r="H106" s="69"/>
      <c r="I106" s="109">
        <f t="shared" si="10"/>
        <v>3860.3</v>
      </c>
    </row>
    <row r="107" spans="1:9" ht="15" customHeight="1">
      <c r="A107" s="80">
        <v>2010</v>
      </c>
      <c r="B107" s="81">
        <f t="shared" si="13"/>
        <v>3696</v>
      </c>
      <c r="C107" s="105">
        <f t="shared" si="9"/>
        <v>8.2150064327615748</v>
      </c>
      <c r="D107" s="67">
        <f t="shared" si="11"/>
        <v>22</v>
      </c>
      <c r="E107" s="83"/>
      <c r="F107" s="69"/>
      <c r="G107" s="69"/>
      <c r="H107" s="69"/>
      <c r="I107" s="109">
        <f t="shared" si="10"/>
        <v>3695.5</v>
      </c>
    </row>
    <row r="108" spans="1:9" ht="15" customHeight="1">
      <c r="A108" s="80">
        <v>2011</v>
      </c>
      <c r="B108" s="81">
        <f t="shared" si="13"/>
        <v>3538</v>
      </c>
      <c r="C108" s="105">
        <f t="shared" si="9"/>
        <v>8.1713168747197304</v>
      </c>
      <c r="D108" s="67">
        <f t="shared" si="11"/>
        <v>23</v>
      </c>
      <c r="E108" s="83"/>
      <c r="F108" s="69"/>
      <c r="G108" s="69"/>
      <c r="H108" s="69"/>
      <c r="I108" s="109">
        <f t="shared" si="10"/>
        <v>3537.7</v>
      </c>
    </row>
    <row r="109" spans="1:9" ht="15" customHeight="1">
      <c r="A109" s="80">
        <v>2012</v>
      </c>
      <c r="B109" s="81">
        <f t="shared" si="13"/>
        <v>3387</v>
      </c>
      <c r="C109" s="105">
        <f t="shared" si="9"/>
        <v>8.1276998528177717</v>
      </c>
      <c r="D109" s="67">
        <f t="shared" si="11"/>
        <v>24</v>
      </c>
      <c r="E109" s="83"/>
      <c r="F109" s="69"/>
      <c r="G109" s="69"/>
      <c r="H109" s="69"/>
      <c r="I109" s="109">
        <f t="shared" si="10"/>
        <v>3386.7</v>
      </c>
    </row>
    <row r="110" spans="1:9" ht="15" customHeight="1">
      <c r="A110" s="80">
        <v>2013</v>
      </c>
      <c r="B110" s="81">
        <f t="shared" si="13"/>
        <v>3242</v>
      </c>
      <c r="C110" s="105">
        <f t="shared" si="9"/>
        <v>8.0839457022956207</v>
      </c>
      <c r="D110" s="67">
        <f t="shared" si="11"/>
        <v>25</v>
      </c>
      <c r="E110" s="83"/>
      <c r="F110" s="69"/>
      <c r="G110" s="69"/>
      <c r="H110" s="69"/>
      <c r="I110" s="109">
        <f t="shared" si="10"/>
        <v>3242</v>
      </c>
    </row>
    <row r="111" spans="1:9" ht="15" customHeight="1">
      <c r="A111" s="80">
        <v>2014</v>
      </c>
      <c r="B111" s="81">
        <f t="shared" si="13"/>
        <v>3104</v>
      </c>
      <c r="C111" s="105">
        <f t="shared" si="9"/>
        <v>8.0404468813031098</v>
      </c>
      <c r="D111" s="67">
        <f t="shared" si="11"/>
        <v>26</v>
      </c>
      <c r="E111" s="83"/>
      <c r="F111" s="69"/>
      <c r="G111" s="69"/>
      <c r="H111" s="69"/>
      <c r="I111" s="109">
        <f t="shared" si="10"/>
        <v>3103.6</v>
      </c>
    </row>
    <row r="112" spans="1:9" ht="15" customHeight="1">
      <c r="A112" s="80">
        <v>2015</v>
      </c>
      <c r="B112" s="81">
        <f t="shared" si="13"/>
        <v>2971</v>
      </c>
      <c r="C112" s="105">
        <f t="shared" si="9"/>
        <v>7.9966538754626075</v>
      </c>
      <c r="D112" s="67">
        <f t="shared" si="11"/>
        <v>27</v>
      </c>
      <c r="E112" s="83"/>
      <c r="F112" s="69"/>
      <c r="G112" s="69"/>
      <c r="H112" s="69"/>
      <c r="I112" s="109">
        <f t="shared" si="10"/>
        <v>2971.1</v>
      </c>
    </row>
    <row r="113" spans="1:9" ht="15" customHeight="1">
      <c r="A113" s="80">
        <v>2016</v>
      </c>
      <c r="B113" s="81">
        <f t="shared" si="13"/>
        <v>2844</v>
      </c>
      <c r="C113" s="105">
        <f t="shared" si="9"/>
        <v>7.9529667909231314</v>
      </c>
      <c r="D113" s="67">
        <f t="shared" si="11"/>
        <v>28</v>
      </c>
      <c r="E113" s="83"/>
      <c r="F113" s="69"/>
      <c r="G113" s="69"/>
      <c r="H113" s="69"/>
      <c r="I113" s="109">
        <f t="shared" si="10"/>
        <v>2844.2</v>
      </c>
    </row>
    <row r="114" spans="1:9" ht="15" customHeight="1">
      <c r="A114" s="80">
        <v>2017</v>
      </c>
      <c r="B114" s="81">
        <f t="shared" si="13"/>
        <v>2723</v>
      </c>
      <c r="C114" s="105">
        <f t="shared" si="9"/>
        <v>7.9094894926737593</v>
      </c>
      <c r="D114" s="67">
        <f t="shared" si="11"/>
        <v>29</v>
      </c>
      <c r="E114" s="83"/>
      <c r="F114" s="69"/>
      <c r="G114" s="69"/>
      <c r="H114" s="69"/>
      <c r="I114" s="109">
        <f t="shared" si="10"/>
        <v>2722.8</v>
      </c>
    </row>
    <row r="115" spans="1:9" ht="15" customHeight="1">
      <c r="A115" s="80">
        <v>2018</v>
      </c>
      <c r="B115" s="81">
        <f t="shared" si="13"/>
        <v>2607</v>
      </c>
      <c r="C115" s="105">
        <f t="shared" si="9"/>
        <v>7.8659554139335022</v>
      </c>
      <c r="D115" s="67">
        <f t="shared" si="11"/>
        <v>30</v>
      </c>
      <c r="E115" s="83"/>
      <c r="F115" s="69"/>
      <c r="G115" s="69"/>
      <c r="H115" s="69"/>
      <c r="I115" s="109">
        <f t="shared" si="10"/>
        <v>2606.5</v>
      </c>
    </row>
    <row r="116" spans="1:9" ht="15" customHeight="1">
      <c r="A116" s="80">
        <v>2019</v>
      </c>
      <c r="B116" s="81">
        <f t="shared" si="13"/>
        <v>2495</v>
      </c>
      <c r="C116" s="105">
        <f t="shared" si="9"/>
        <v>7.8220440081856193</v>
      </c>
      <c r="D116" s="67">
        <f t="shared" si="11"/>
        <v>31</v>
      </c>
      <c r="E116" s="83"/>
      <c r="F116" s="69"/>
      <c r="G116" s="69"/>
      <c r="H116" s="69"/>
      <c r="I116" s="109">
        <f t="shared" si="10"/>
        <v>2495.1999999999998</v>
      </c>
    </row>
    <row r="117" spans="1:9" ht="15" customHeight="1">
      <c r="A117" s="80">
        <v>2020</v>
      </c>
      <c r="B117" s="81">
        <f t="shared" si="13"/>
        <v>2389</v>
      </c>
      <c r="C117" s="105">
        <f t="shared" si="9"/>
        <v>7.7786301473258099</v>
      </c>
      <c r="D117" s="67">
        <f t="shared" si="11"/>
        <v>32</v>
      </c>
      <c r="E117" s="83"/>
      <c r="F117" s="69"/>
      <c r="G117" s="69"/>
      <c r="H117" s="69"/>
      <c r="I117" s="109">
        <f t="shared" si="10"/>
        <v>2388.6999999999998</v>
      </c>
    </row>
    <row r="118" spans="1:9" ht="15" customHeight="1">
      <c r="A118" s="80">
        <v>2021</v>
      </c>
      <c r="B118" s="81">
        <f t="shared" si="13"/>
        <v>2287</v>
      </c>
      <c r="C118" s="105">
        <f t="shared" si="9"/>
        <v>7.7349961940227807</v>
      </c>
      <c r="D118" s="67">
        <f t="shared" si="11"/>
        <v>33</v>
      </c>
      <c r="E118" s="83"/>
      <c r="F118" s="69"/>
      <c r="G118" s="69"/>
      <c r="H118" s="69"/>
      <c r="I118" s="109">
        <f t="shared" si="10"/>
        <v>2286.6999999999998</v>
      </c>
    </row>
    <row r="119" spans="1:9" ht="15" customHeight="1">
      <c r="A119" s="80">
        <v>2022</v>
      </c>
      <c r="B119" s="81">
        <f t="shared" si="13"/>
        <v>2189</v>
      </c>
      <c r="C119" s="105">
        <f t="shared" si="9"/>
        <v>7.6912000975228629</v>
      </c>
      <c r="D119" s="67">
        <f t="shared" si="11"/>
        <v>34</v>
      </c>
      <c r="E119" s="83"/>
      <c r="F119" s="69"/>
      <c r="G119" s="69"/>
      <c r="H119" s="69"/>
      <c r="I119" s="109">
        <f t="shared" si="10"/>
        <v>2189</v>
      </c>
    </row>
    <row r="120" spans="1:9" ht="15" customHeight="1">
      <c r="A120" s="80">
        <v>2023</v>
      </c>
      <c r="B120" s="81">
        <f t="shared" si="13"/>
        <v>2096</v>
      </c>
      <c r="C120" s="105">
        <f t="shared" si="9"/>
        <v>7.6477860454409328</v>
      </c>
      <c r="D120" s="67">
        <f t="shared" si="11"/>
        <v>35</v>
      </c>
      <c r="E120" s="83"/>
      <c r="F120" s="69"/>
      <c r="G120" s="69"/>
      <c r="H120" s="69"/>
      <c r="I120" s="109">
        <f t="shared" si="10"/>
        <v>2095.6</v>
      </c>
    </row>
    <row r="121" spans="1:9" ht="15" customHeight="1">
      <c r="A121" s="80">
        <v>2024</v>
      </c>
      <c r="B121" s="81">
        <f t="shared" si="13"/>
        <v>2006</v>
      </c>
      <c r="C121" s="105">
        <f t="shared" si="9"/>
        <v>7.6038979685218813</v>
      </c>
      <c r="D121" s="67">
        <f t="shared" si="11"/>
        <v>36</v>
      </c>
      <c r="E121" s="69"/>
      <c r="F121" s="69"/>
      <c r="G121" s="69"/>
      <c r="H121" s="69"/>
      <c r="I121" s="109">
        <f t="shared" si="10"/>
        <v>2006.1</v>
      </c>
    </row>
    <row r="122" spans="1:9" ht="15" customHeight="1">
      <c r="A122" s="85">
        <v>2025</v>
      </c>
      <c r="B122" s="86">
        <f t="shared" si="13"/>
        <v>1920</v>
      </c>
      <c r="C122" s="124">
        <f t="shared" si="9"/>
        <v>7.5600804650218274</v>
      </c>
      <c r="D122" s="87">
        <f t="shared" si="11"/>
        <v>37</v>
      </c>
      <c r="E122" s="89"/>
      <c r="F122" s="89"/>
      <c r="G122" s="89"/>
      <c r="H122" s="89"/>
      <c r="I122" s="125">
        <f t="shared" si="10"/>
        <v>1920.4</v>
      </c>
    </row>
    <row r="123" spans="1:9" ht="15" customHeight="1">
      <c r="A123" s="56" t="s">
        <v>82</v>
      </c>
      <c r="B123" s="57"/>
    </row>
    <row r="124" spans="1:9" ht="15" customHeight="1">
      <c r="A124" s="58" t="s">
        <v>32</v>
      </c>
      <c r="B124" s="59" t="s">
        <v>40</v>
      </c>
      <c r="C124" s="59" t="s">
        <v>83</v>
      </c>
      <c r="D124" s="59" t="s">
        <v>33</v>
      </c>
      <c r="E124" s="59" t="s">
        <v>35</v>
      </c>
      <c r="F124" s="103"/>
      <c r="G124" s="60"/>
      <c r="H124" s="63" t="s">
        <v>104</v>
      </c>
      <c r="I124" s="64" t="e">
        <f>RSQ(I125:I144,B125:B144)</f>
        <v>#VALUE!</v>
      </c>
    </row>
    <row r="125" spans="1:9" ht="15" customHeight="1">
      <c r="A125" s="65">
        <f t="shared" ref="A125:B140" si="14">A5</f>
        <v>1988</v>
      </c>
      <c r="B125" s="104">
        <f t="shared" si="14"/>
        <v>9652</v>
      </c>
      <c r="C125" s="126"/>
      <c r="D125" s="67">
        <v>0</v>
      </c>
      <c r="E125" s="67"/>
      <c r="F125" s="106" t="s">
        <v>75</v>
      </c>
      <c r="G125" s="73" t="e">
        <f>INDEX(LINEST(C126:C144,E126:E144),1)</f>
        <v>#VALUE!</v>
      </c>
      <c r="H125" s="127"/>
      <c r="I125" s="128" t="e">
        <f t="shared" ref="I125:I162" si="15">$B$125+$G$129*D125^$G$125</f>
        <v>#VALUE!</v>
      </c>
    </row>
    <row r="126" spans="1:9" ht="15" customHeight="1">
      <c r="A126" s="65">
        <f t="shared" si="14"/>
        <v>1989</v>
      </c>
      <c r="B126" s="104">
        <f t="shared" si="14"/>
        <v>9336</v>
      </c>
      <c r="C126" s="126" t="e">
        <f t="shared" ref="C126:C144" si="16">LN(-B$125+B126)</f>
        <v>#NUM!</v>
      </c>
      <c r="D126" s="67">
        <f t="shared" ref="D126:D162" si="17">D125+1</f>
        <v>1</v>
      </c>
      <c r="E126" s="67">
        <f t="shared" ref="E126:E145" si="18">LN(D126)</f>
        <v>0</v>
      </c>
      <c r="F126" s="106" t="s">
        <v>76</v>
      </c>
      <c r="G126" s="73" t="e">
        <f>INDEX(LINEST(C126:C144,E126:E144),2)</f>
        <v>#VALUE!</v>
      </c>
      <c r="H126" s="129" t="s">
        <v>84</v>
      </c>
      <c r="I126" s="128" t="e">
        <f t="shared" si="15"/>
        <v>#VALUE!</v>
      </c>
    </row>
    <row r="127" spans="1:9" ht="15" customHeight="1">
      <c r="A127" s="65">
        <f t="shared" si="14"/>
        <v>1990</v>
      </c>
      <c r="B127" s="104">
        <f t="shared" si="14"/>
        <v>8152</v>
      </c>
      <c r="C127" s="126" t="e">
        <f t="shared" si="16"/>
        <v>#NUM!</v>
      </c>
      <c r="D127" s="67">
        <f t="shared" si="17"/>
        <v>2</v>
      </c>
      <c r="E127" s="67">
        <f t="shared" si="18"/>
        <v>0.69314718055994529</v>
      </c>
      <c r="F127" s="69"/>
      <c r="G127" s="130"/>
      <c r="H127" s="127"/>
      <c r="I127" s="128" t="e">
        <f t="shared" si="15"/>
        <v>#VALUE!</v>
      </c>
    </row>
    <row r="128" spans="1:9" ht="15" customHeight="1">
      <c r="A128" s="65">
        <f t="shared" si="14"/>
        <v>1991</v>
      </c>
      <c r="B128" s="104">
        <f t="shared" si="14"/>
        <v>8172</v>
      </c>
      <c r="C128" s="126" t="e">
        <f t="shared" si="16"/>
        <v>#NUM!</v>
      </c>
      <c r="D128" s="67">
        <f t="shared" si="17"/>
        <v>3</v>
      </c>
      <c r="E128" s="67">
        <f t="shared" si="18"/>
        <v>1.0986122886681098</v>
      </c>
      <c r="F128" s="106" t="s">
        <v>77</v>
      </c>
      <c r="G128" s="73" t="e">
        <f>I124</f>
        <v>#VALUE!</v>
      </c>
      <c r="H128" s="127"/>
      <c r="I128" s="128" t="e">
        <f t="shared" si="15"/>
        <v>#VALUE!</v>
      </c>
    </row>
    <row r="129" spans="1:9" ht="15" customHeight="1">
      <c r="A129" s="65">
        <f t="shared" si="14"/>
        <v>1992</v>
      </c>
      <c r="B129" s="104">
        <f t="shared" si="14"/>
        <v>7723</v>
      </c>
      <c r="C129" s="126" t="e">
        <f t="shared" si="16"/>
        <v>#NUM!</v>
      </c>
      <c r="D129" s="67">
        <f t="shared" si="17"/>
        <v>4</v>
      </c>
      <c r="E129" s="67">
        <f t="shared" si="18"/>
        <v>1.3862943611198906</v>
      </c>
      <c r="F129" s="106" t="s">
        <v>38</v>
      </c>
      <c r="G129" s="131" t="e">
        <f>EXP(G126)</f>
        <v>#VALUE!</v>
      </c>
      <c r="H129" s="127"/>
      <c r="I129" s="128" t="e">
        <f t="shared" si="15"/>
        <v>#VALUE!</v>
      </c>
    </row>
    <row r="130" spans="1:9" ht="15" customHeight="1">
      <c r="A130" s="65">
        <f t="shared" si="14"/>
        <v>1993</v>
      </c>
      <c r="B130" s="104">
        <f t="shared" si="14"/>
        <v>7425</v>
      </c>
      <c r="C130" s="126" t="e">
        <f t="shared" si="16"/>
        <v>#NUM!</v>
      </c>
      <c r="D130" s="67">
        <f t="shared" si="17"/>
        <v>5</v>
      </c>
      <c r="E130" s="67">
        <f t="shared" si="18"/>
        <v>1.6094379124341003</v>
      </c>
      <c r="F130" s="106"/>
      <c r="G130" s="53"/>
      <c r="H130" s="127"/>
      <c r="I130" s="128" t="e">
        <f t="shared" si="15"/>
        <v>#VALUE!</v>
      </c>
    </row>
    <row r="131" spans="1:9" ht="15" customHeight="1">
      <c r="A131" s="65">
        <f t="shared" si="14"/>
        <v>1994</v>
      </c>
      <c r="B131" s="104">
        <f t="shared" si="14"/>
        <v>7296</v>
      </c>
      <c r="C131" s="126" t="e">
        <f t="shared" si="16"/>
        <v>#NUM!</v>
      </c>
      <c r="D131" s="67">
        <f t="shared" si="17"/>
        <v>6</v>
      </c>
      <c r="E131" s="67">
        <f t="shared" si="18"/>
        <v>1.791759469228055</v>
      </c>
      <c r="F131" s="106"/>
      <c r="G131" s="53"/>
      <c r="H131" s="127"/>
      <c r="I131" s="128" t="e">
        <f t="shared" si="15"/>
        <v>#VALUE!</v>
      </c>
    </row>
    <row r="132" spans="1:9" ht="15" customHeight="1">
      <c r="A132" s="65">
        <f t="shared" si="14"/>
        <v>1995</v>
      </c>
      <c r="B132" s="104">
        <f t="shared" si="14"/>
        <v>6993</v>
      </c>
      <c r="C132" s="126" t="e">
        <f t="shared" si="16"/>
        <v>#NUM!</v>
      </c>
      <c r="D132" s="67">
        <f t="shared" si="17"/>
        <v>7</v>
      </c>
      <c r="E132" s="67">
        <f t="shared" si="18"/>
        <v>1.9459101490553132</v>
      </c>
      <c r="F132" s="132" t="s">
        <v>85</v>
      </c>
      <c r="G132" s="53"/>
      <c r="H132" s="127"/>
      <c r="I132" s="128" t="e">
        <f t="shared" si="15"/>
        <v>#VALUE!</v>
      </c>
    </row>
    <row r="133" spans="1:9" ht="15" customHeight="1">
      <c r="A133" s="65">
        <f t="shared" si="14"/>
        <v>1996</v>
      </c>
      <c r="B133" s="104">
        <f t="shared" si="14"/>
        <v>6633</v>
      </c>
      <c r="C133" s="126" t="e">
        <f t="shared" si="16"/>
        <v>#NUM!</v>
      </c>
      <c r="D133" s="67">
        <f t="shared" si="17"/>
        <v>8</v>
      </c>
      <c r="E133" s="67">
        <f t="shared" si="18"/>
        <v>2.0794415416798357</v>
      </c>
      <c r="F133" s="132" t="s">
        <v>86</v>
      </c>
      <c r="G133" s="53"/>
      <c r="H133" s="127"/>
      <c r="I133" s="128" t="e">
        <f t="shared" si="15"/>
        <v>#VALUE!</v>
      </c>
    </row>
    <row r="134" spans="1:9" ht="15" customHeight="1">
      <c r="A134" s="65">
        <f t="shared" si="14"/>
        <v>1997</v>
      </c>
      <c r="B134" s="104">
        <f t="shared" si="14"/>
        <v>6394</v>
      </c>
      <c r="C134" s="126" t="e">
        <f t="shared" si="16"/>
        <v>#NUM!</v>
      </c>
      <c r="D134" s="67">
        <f t="shared" si="17"/>
        <v>9</v>
      </c>
      <c r="E134" s="67">
        <f t="shared" si="18"/>
        <v>2.1972245773362196</v>
      </c>
      <c r="F134" s="132"/>
      <c r="G134" s="53"/>
      <c r="H134" s="127"/>
      <c r="I134" s="128" t="e">
        <f t="shared" si="15"/>
        <v>#VALUE!</v>
      </c>
    </row>
    <row r="135" spans="1:9" ht="15" customHeight="1">
      <c r="A135" s="65">
        <f t="shared" si="14"/>
        <v>1998</v>
      </c>
      <c r="B135" s="104">
        <f t="shared" si="14"/>
        <v>6192</v>
      </c>
      <c r="C135" s="126" t="e">
        <f t="shared" si="16"/>
        <v>#NUM!</v>
      </c>
      <c r="D135" s="67">
        <f t="shared" si="17"/>
        <v>10</v>
      </c>
      <c r="E135" s="67">
        <f t="shared" si="18"/>
        <v>2.3025850929940459</v>
      </c>
      <c r="F135" s="132"/>
      <c r="G135" s="53"/>
      <c r="H135" s="127"/>
      <c r="I135" s="128" t="e">
        <f t="shared" si="15"/>
        <v>#VALUE!</v>
      </c>
    </row>
    <row r="136" spans="1:9" ht="15" customHeight="1">
      <c r="A136" s="65">
        <f t="shared" si="14"/>
        <v>1999</v>
      </c>
      <c r="B136" s="104">
        <f t="shared" si="14"/>
        <v>5927</v>
      </c>
      <c r="C136" s="126" t="e">
        <f t="shared" si="16"/>
        <v>#NUM!</v>
      </c>
      <c r="D136" s="67">
        <f t="shared" si="17"/>
        <v>11</v>
      </c>
      <c r="E136" s="67">
        <f t="shared" si="18"/>
        <v>2.3978952727983707</v>
      </c>
      <c r="F136" s="132"/>
      <c r="G136" s="53"/>
      <c r="H136" s="127"/>
      <c r="I136" s="128" t="e">
        <f t="shared" si="15"/>
        <v>#VALUE!</v>
      </c>
    </row>
    <row r="137" spans="1:9" ht="15" customHeight="1">
      <c r="A137" s="65">
        <f t="shared" si="14"/>
        <v>2000</v>
      </c>
      <c r="B137" s="104">
        <f t="shared" si="14"/>
        <v>5619</v>
      </c>
      <c r="C137" s="126" t="e">
        <f t="shared" si="16"/>
        <v>#NUM!</v>
      </c>
      <c r="D137" s="67">
        <f t="shared" si="17"/>
        <v>12</v>
      </c>
      <c r="E137" s="67">
        <f t="shared" si="18"/>
        <v>2.4849066497880004</v>
      </c>
      <c r="F137" s="132"/>
      <c r="G137" s="53"/>
      <c r="H137" s="127"/>
      <c r="I137" s="128" t="e">
        <f t="shared" si="15"/>
        <v>#VALUE!</v>
      </c>
    </row>
    <row r="138" spans="1:9" ht="15" customHeight="1">
      <c r="A138" s="65">
        <f t="shared" si="14"/>
        <v>2001</v>
      </c>
      <c r="B138" s="104">
        <f t="shared" si="14"/>
        <v>5393</v>
      </c>
      <c r="C138" s="126" t="e">
        <f t="shared" si="16"/>
        <v>#NUM!</v>
      </c>
      <c r="D138" s="67">
        <f t="shared" si="17"/>
        <v>13</v>
      </c>
      <c r="E138" s="67">
        <f t="shared" si="18"/>
        <v>2.5649493574615367</v>
      </c>
      <c r="F138" s="132"/>
      <c r="G138" s="53"/>
      <c r="H138" s="127"/>
      <c r="I138" s="128" t="e">
        <f t="shared" si="15"/>
        <v>#VALUE!</v>
      </c>
    </row>
    <row r="139" spans="1:9" ht="15" customHeight="1">
      <c r="A139" s="65">
        <f t="shared" si="14"/>
        <v>2002</v>
      </c>
      <c r="B139" s="104">
        <f t="shared" si="14"/>
        <v>5125</v>
      </c>
      <c r="C139" s="126" t="e">
        <f t="shared" si="16"/>
        <v>#NUM!</v>
      </c>
      <c r="D139" s="67">
        <f t="shared" si="17"/>
        <v>14</v>
      </c>
      <c r="E139" s="67">
        <f t="shared" si="18"/>
        <v>2.6390573296152584</v>
      </c>
      <c r="F139" s="132"/>
      <c r="G139" s="53"/>
      <c r="H139" s="127"/>
      <c r="I139" s="128" t="e">
        <f t="shared" si="15"/>
        <v>#VALUE!</v>
      </c>
    </row>
    <row r="140" spans="1:9" ht="15" customHeight="1">
      <c r="A140" s="65">
        <f t="shared" si="14"/>
        <v>2003</v>
      </c>
      <c r="B140" s="104">
        <f t="shared" si="14"/>
        <v>4944</v>
      </c>
      <c r="C140" s="126" t="e">
        <f t="shared" si="16"/>
        <v>#NUM!</v>
      </c>
      <c r="D140" s="67">
        <f t="shared" si="17"/>
        <v>15</v>
      </c>
      <c r="E140" s="67">
        <f t="shared" si="18"/>
        <v>2.7080502011022101</v>
      </c>
      <c r="F140" s="132"/>
      <c r="G140" s="53"/>
      <c r="H140" s="127"/>
      <c r="I140" s="128" t="e">
        <f t="shared" si="15"/>
        <v>#VALUE!</v>
      </c>
    </row>
    <row r="141" spans="1:9" ht="15" customHeight="1">
      <c r="A141" s="65">
        <f t="shared" ref="A141:B145" si="19">A21</f>
        <v>2004</v>
      </c>
      <c r="B141" s="104">
        <f t="shared" si="19"/>
        <v>4840</v>
      </c>
      <c r="C141" s="126" t="e">
        <f t="shared" si="16"/>
        <v>#NUM!</v>
      </c>
      <c r="D141" s="67">
        <f t="shared" si="17"/>
        <v>16</v>
      </c>
      <c r="E141" s="67">
        <f t="shared" si="18"/>
        <v>2.7725887222397811</v>
      </c>
      <c r="F141" s="132"/>
      <c r="G141" s="53"/>
      <c r="H141" s="127"/>
      <c r="I141" s="128" t="e">
        <f t="shared" si="15"/>
        <v>#VALUE!</v>
      </c>
    </row>
    <row r="142" spans="1:9" ht="15" customHeight="1">
      <c r="A142" s="65">
        <f t="shared" si="19"/>
        <v>2005</v>
      </c>
      <c r="B142" s="104">
        <f t="shared" si="19"/>
        <v>4706</v>
      </c>
      <c r="C142" s="126" t="e">
        <f t="shared" si="16"/>
        <v>#NUM!</v>
      </c>
      <c r="D142" s="67">
        <f t="shared" si="17"/>
        <v>17</v>
      </c>
      <c r="E142" s="67">
        <f t="shared" si="18"/>
        <v>2.8332133440562162</v>
      </c>
      <c r="F142" s="132"/>
      <c r="G142" s="53"/>
      <c r="H142" s="127"/>
      <c r="I142" s="128" t="e">
        <f t="shared" si="15"/>
        <v>#VALUE!</v>
      </c>
    </row>
    <row r="143" spans="1:9" ht="15" customHeight="1">
      <c r="A143" s="65">
        <f t="shared" si="19"/>
        <v>2006</v>
      </c>
      <c r="B143" s="104">
        <f t="shared" si="19"/>
        <v>4467</v>
      </c>
      <c r="C143" s="126" t="e">
        <f t="shared" si="16"/>
        <v>#NUM!</v>
      </c>
      <c r="D143" s="67">
        <f t="shared" si="17"/>
        <v>18</v>
      </c>
      <c r="E143" s="67">
        <f t="shared" si="18"/>
        <v>2.8903717578961645</v>
      </c>
      <c r="F143" s="132"/>
      <c r="G143" s="53"/>
      <c r="H143" s="127"/>
      <c r="I143" s="128" t="e">
        <f t="shared" si="15"/>
        <v>#VALUE!</v>
      </c>
    </row>
    <row r="144" spans="1:9" ht="15" customHeight="1" thickBot="1">
      <c r="A144" s="97">
        <f t="shared" si="19"/>
        <v>2007</v>
      </c>
      <c r="B144" s="116">
        <f t="shared" si="19"/>
        <v>4212</v>
      </c>
      <c r="C144" s="141" t="e">
        <f t="shared" si="16"/>
        <v>#NUM!</v>
      </c>
      <c r="D144" s="99">
        <f t="shared" si="17"/>
        <v>19</v>
      </c>
      <c r="E144" s="99">
        <f t="shared" si="18"/>
        <v>2.9444389791664403</v>
      </c>
      <c r="F144" s="182"/>
      <c r="G144" s="101"/>
      <c r="H144" s="143"/>
      <c r="I144" s="144" t="e">
        <f t="shared" si="15"/>
        <v>#VALUE!</v>
      </c>
    </row>
    <row r="145" spans="1:9" ht="15" customHeight="1" thickTop="1">
      <c r="A145" s="255">
        <f t="shared" si="19"/>
        <v>2008</v>
      </c>
      <c r="B145" s="81" t="e">
        <f>ROUND(LOOKUP(0,D$125:D$144,B$125:B$144)+G$129*D144^G$125,0)</f>
        <v>#VALUE!</v>
      </c>
      <c r="C145" s="257"/>
      <c r="D145" s="77">
        <f t="shared" si="17"/>
        <v>20</v>
      </c>
      <c r="E145" s="77">
        <f t="shared" si="18"/>
        <v>2.9957322735539909</v>
      </c>
      <c r="F145" s="122"/>
      <c r="G145" s="78"/>
      <c r="H145" s="258"/>
      <c r="I145" s="133" t="e">
        <f t="shared" si="15"/>
        <v>#VALUE!</v>
      </c>
    </row>
    <row r="146" spans="1:9" ht="15" customHeight="1">
      <c r="A146" s="80">
        <v>2009</v>
      </c>
      <c r="B146" s="81" t="e">
        <f>ROUND(LOOKUP(0,D$125:D$144,B$125:B$144)+G$129*D145^G$125,0)</f>
        <v>#VALUE!</v>
      </c>
      <c r="C146" s="134"/>
      <c r="D146" s="67">
        <f t="shared" si="17"/>
        <v>21</v>
      </c>
      <c r="E146" s="67"/>
      <c r="F146" s="83"/>
      <c r="G146" s="69"/>
      <c r="H146" s="84"/>
      <c r="I146" s="128" t="e">
        <f t="shared" si="15"/>
        <v>#VALUE!</v>
      </c>
    </row>
    <row r="147" spans="1:9" ht="15" customHeight="1">
      <c r="A147" s="80">
        <v>2010</v>
      </c>
      <c r="B147" s="81" t="e">
        <f t="shared" ref="B147:B162" si="20">ROUND(LOOKUP(0,D$125:D$144,B$125:B$144)+G$129*D146^G$125,0)</f>
        <v>#VALUE!</v>
      </c>
      <c r="C147" s="134"/>
      <c r="D147" s="67">
        <f t="shared" si="17"/>
        <v>22</v>
      </c>
      <c r="E147" s="67"/>
      <c r="F147" s="83"/>
      <c r="G147" s="69"/>
      <c r="H147" s="84"/>
      <c r="I147" s="128" t="e">
        <f t="shared" si="15"/>
        <v>#VALUE!</v>
      </c>
    </row>
    <row r="148" spans="1:9" ht="15" customHeight="1">
      <c r="A148" s="80">
        <v>2011</v>
      </c>
      <c r="B148" s="81" t="e">
        <f t="shared" si="20"/>
        <v>#VALUE!</v>
      </c>
      <c r="C148" s="134"/>
      <c r="D148" s="67">
        <f t="shared" si="17"/>
        <v>23</v>
      </c>
      <c r="E148" s="67"/>
      <c r="F148" s="83"/>
      <c r="G148" s="69"/>
      <c r="H148" s="84"/>
      <c r="I148" s="128" t="e">
        <f t="shared" si="15"/>
        <v>#VALUE!</v>
      </c>
    </row>
    <row r="149" spans="1:9" ht="15" customHeight="1">
      <c r="A149" s="80">
        <v>2012</v>
      </c>
      <c r="B149" s="81" t="e">
        <f t="shared" si="20"/>
        <v>#VALUE!</v>
      </c>
      <c r="C149" s="134"/>
      <c r="D149" s="67">
        <f t="shared" si="17"/>
        <v>24</v>
      </c>
      <c r="E149" s="67"/>
      <c r="F149" s="83"/>
      <c r="G149" s="69"/>
      <c r="H149" s="84"/>
      <c r="I149" s="128" t="e">
        <f t="shared" si="15"/>
        <v>#VALUE!</v>
      </c>
    </row>
    <row r="150" spans="1:9" ht="15" customHeight="1">
      <c r="A150" s="80">
        <v>2013</v>
      </c>
      <c r="B150" s="81" t="e">
        <f t="shared" si="20"/>
        <v>#VALUE!</v>
      </c>
      <c r="C150" s="134"/>
      <c r="D150" s="67">
        <f t="shared" si="17"/>
        <v>25</v>
      </c>
      <c r="E150" s="67"/>
      <c r="F150" s="83"/>
      <c r="G150" s="69"/>
      <c r="H150" s="84"/>
      <c r="I150" s="128" t="e">
        <f t="shared" si="15"/>
        <v>#VALUE!</v>
      </c>
    </row>
    <row r="151" spans="1:9" ht="15" customHeight="1">
      <c r="A151" s="80">
        <v>2014</v>
      </c>
      <c r="B151" s="81" t="e">
        <f t="shared" si="20"/>
        <v>#VALUE!</v>
      </c>
      <c r="C151" s="134"/>
      <c r="D151" s="67">
        <f t="shared" si="17"/>
        <v>26</v>
      </c>
      <c r="E151" s="67"/>
      <c r="F151" s="83"/>
      <c r="G151" s="69"/>
      <c r="H151" s="84"/>
      <c r="I151" s="128" t="e">
        <f t="shared" si="15"/>
        <v>#VALUE!</v>
      </c>
    </row>
    <row r="152" spans="1:9" ht="15" customHeight="1">
      <c r="A152" s="80">
        <v>2015</v>
      </c>
      <c r="B152" s="81" t="e">
        <f t="shared" si="20"/>
        <v>#VALUE!</v>
      </c>
      <c r="C152" s="134"/>
      <c r="D152" s="67">
        <f t="shared" si="17"/>
        <v>27</v>
      </c>
      <c r="E152" s="67"/>
      <c r="F152" s="83"/>
      <c r="G152" s="69"/>
      <c r="H152" s="84"/>
      <c r="I152" s="128" t="e">
        <f t="shared" si="15"/>
        <v>#VALUE!</v>
      </c>
    </row>
    <row r="153" spans="1:9" ht="15" customHeight="1">
      <c r="A153" s="80">
        <v>2016</v>
      </c>
      <c r="B153" s="81" t="e">
        <f t="shared" si="20"/>
        <v>#VALUE!</v>
      </c>
      <c r="C153" s="134"/>
      <c r="D153" s="67">
        <f t="shared" si="17"/>
        <v>28</v>
      </c>
      <c r="E153" s="67"/>
      <c r="F153" s="83"/>
      <c r="G153" s="69"/>
      <c r="H153" s="84"/>
      <c r="I153" s="128" t="e">
        <f t="shared" si="15"/>
        <v>#VALUE!</v>
      </c>
    </row>
    <row r="154" spans="1:9" ht="15" customHeight="1">
      <c r="A154" s="80">
        <v>2017</v>
      </c>
      <c r="B154" s="81" t="e">
        <f t="shared" si="20"/>
        <v>#VALUE!</v>
      </c>
      <c r="C154" s="134"/>
      <c r="D154" s="67">
        <f t="shared" si="17"/>
        <v>29</v>
      </c>
      <c r="E154" s="67"/>
      <c r="F154" s="83"/>
      <c r="G154" s="69"/>
      <c r="H154" s="84"/>
      <c r="I154" s="128" t="e">
        <f t="shared" si="15"/>
        <v>#VALUE!</v>
      </c>
    </row>
    <row r="155" spans="1:9" ht="15" customHeight="1">
      <c r="A155" s="80">
        <v>2018</v>
      </c>
      <c r="B155" s="81" t="e">
        <f t="shared" si="20"/>
        <v>#VALUE!</v>
      </c>
      <c r="C155" s="134"/>
      <c r="D155" s="67">
        <f t="shared" si="17"/>
        <v>30</v>
      </c>
      <c r="E155" s="67"/>
      <c r="F155" s="83"/>
      <c r="G155" s="69"/>
      <c r="H155" s="84"/>
      <c r="I155" s="128" t="e">
        <f t="shared" si="15"/>
        <v>#VALUE!</v>
      </c>
    </row>
    <row r="156" spans="1:9" ht="15" customHeight="1">
      <c r="A156" s="80">
        <v>2019</v>
      </c>
      <c r="B156" s="81" t="e">
        <f t="shared" si="20"/>
        <v>#VALUE!</v>
      </c>
      <c r="C156" s="134"/>
      <c r="D156" s="67">
        <f t="shared" si="17"/>
        <v>31</v>
      </c>
      <c r="E156" s="67"/>
      <c r="F156" s="83"/>
      <c r="G156" s="69"/>
      <c r="H156" s="84"/>
      <c r="I156" s="128" t="e">
        <f t="shared" si="15"/>
        <v>#VALUE!</v>
      </c>
    </row>
    <row r="157" spans="1:9" ht="15" customHeight="1">
      <c r="A157" s="80">
        <v>2020</v>
      </c>
      <c r="B157" s="81" t="e">
        <f t="shared" si="20"/>
        <v>#VALUE!</v>
      </c>
      <c r="C157" s="134"/>
      <c r="D157" s="67">
        <f t="shared" si="17"/>
        <v>32</v>
      </c>
      <c r="E157" s="67"/>
      <c r="F157" s="83"/>
      <c r="G157" s="69"/>
      <c r="H157" s="84"/>
      <c r="I157" s="128" t="e">
        <f t="shared" si="15"/>
        <v>#VALUE!</v>
      </c>
    </row>
    <row r="158" spans="1:9" ht="15" customHeight="1">
      <c r="A158" s="80">
        <v>2021</v>
      </c>
      <c r="B158" s="81" t="e">
        <f t="shared" si="20"/>
        <v>#VALUE!</v>
      </c>
      <c r="C158" s="134"/>
      <c r="D158" s="67">
        <f t="shared" si="17"/>
        <v>33</v>
      </c>
      <c r="E158" s="67"/>
      <c r="F158" s="83"/>
      <c r="G158" s="69"/>
      <c r="H158" s="84"/>
      <c r="I158" s="128" t="e">
        <f t="shared" si="15"/>
        <v>#VALUE!</v>
      </c>
    </row>
    <row r="159" spans="1:9" ht="15" customHeight="1">
      <c r="A159" s="80">
        <v>2022</v>
      </c>
      <c r="B159" s="81" t="e">
        <f t="shared" si="20"/>
        <v>#VALUE!</v>
      </c>
      <c r="C159" s="134"/>
      <c r="D159" s="67">
        <f t="shared" si="17"/>
        <v>34</v>
      </c>
      <c r="E159" s="67"/>
      <c r="F159" s="83"/>
      <c r="G159" s="69"/>
      <c r="H159" s="84"/>
      <c r="I159" s="128" t="e">
        <f t="shared" si="15"/>
        <v>#VALUE!</v>
      </c>
    </row>
    <row r="160" spans="1:9" ht="15" customHeight="1">
      <c r="A160" s="80">
        <v>2023</v>
      </c>
      <c r="B160" s="81" t="e">
        <f t="shared" si="20"/>
        <v>#VALUE!</v>
      </c>
      <c r="C160" s="134"/>
      <c r="D160" s="67">
        <f t="shared" si="17"/>
        <v>35</v>
      </c>
      <c r="E160" s="67"/>
      <c r="F160" s="83"/>
      <c r="G160" s="69"/>
      <c r="H160" s="84"/>
      <c r="I160" s="128" t="e">
        <f t="shared" si="15"/>
        <v>#VALUE!</v>
      </c>
    </row>
    <row r="161" spans="1:9" ht="15" customHeight="1">
      <c r="A161" s="80">
        <v>2024</v>
      </c>
      <c r="B161" s="81" t="e">
        <f t="shared" si="20"/>
        <v>#VALUE!</v>
      </c>
      <c r="C161" s="135"/>
      <c r="D161" s="67">
        <f t="shared" si="17"/>
        <v>36</v>
      </c>
      <c r="E161" s="67"/>
      <c r="F161" s="69"/>
      <c r="G161" s="69"/>
      <c r="H161" s="69"/>
      <c r="I161" s="136" t="e">
        <f t="shared" si="15"/>
        <v>#VALUE!</v>
      </c>
    </row>
    <row r="162" spans="1:9" ht="15" customHeight="1">
      <c r="A162" s="85">
        <v>2025</v>
      </c>
      <c r="B162" s="81" t="e">
        <f t="shared" si="20"/>
        <v>#VALUE!</v>
      </c>
      <c r="C162" s="137"/>
      <c r="D162" s="87">
        <f t="shared" si="17"/>
        <v>37</v>
      </c>
      <c r="E162" s="87"/>
      <c r="F162" s="89"/>
      <c r="G162" s="89"/>
      <c r="H162" s="89"/>
      <c r="I162" s="138" t="e">
        <f t="shared" si="15"/>
        <v>#VALUE!</v>
      </c>
    </row>
    <row r="163" spans="1:9" ht="15" customHeight="1">
      <c r="A163" s="56" t="s">
        <v>87</v>
      </c>
      <c r="B163" s="57"/>
    </row>
    <row r="164" spans="1:9" ht="15" customHeight="1">
      <c r="A164" s="58" t="s">
        <v>32</v>
      </c>
      <c r="B164" s="59" t="s">
        <v>40</v>
      </c>
      <c r="C164" s="59" t="s">
        <v>36</v>
      </c>
      <c r="D164" s="59" t="s">
        <v>33</v>
      </c>
      <c r="E164" s="103"/>
      <c r="F164" s="60"/>
      <c r="G164" s="61"/>
      <c r="H164" s="63" t="s">
        <v>104</v>
      </c>
      <c r="I164" s="64">
        <f>RSQ(I165:I185,B165:B185)</f>
        <v>0.98356521037187084</v>
      </c>
    </row>
    <row r="165" spans="1:9" ht="15" customHeight="1">
      <c r="A165" s="65">
        <f t="shared" ref="A165:A185" si="21">A5</f>
        <v>1988</v>
      </c>
      <c r="B165" s="104">
        <f t="shared" ref="B165:B184" si="22">+B5</f>
        <v>9652</v>
      </c>
      <c r="C165" s="126">
        <f t="shared" ref="C165:C184" si="23">LN(F$168/B165-1)</f>
        <v>0</v>
      </c>
      <c r="D165" s="67">
        <v>0</v>
      </c>
      <c r="E165" s="106" t="s">
        <v>75</v>
      </c>
      <c r="F165" s="139">
        <f>INDEX(LINEST(C165:C184,D165:D184),1)</f>
        <v>6.2821805974673461E-2</v>
      </c>
      <c r="G165" s="140" t="s">
        <v>88</v>
      </c>
      <c r="H165" s="127"/>
      <c r="I165" s="128">
        <f t="shared" ref="I165:I202" si="24">$F$168/(1+EXP($F$166+$F$165*D165))</f>
        <v>9114.4618308541139</v>
      </c>
    </row>
    <row r="166" spans="1:9" ht="15" customHeight="1">
      <c r="A166" s="65">
        <f t="shared" si="21"/>
        <v>1989</v>
      </c>
      <c r="B166" s="104">
        <f t="shared" si="22"/>
        <v>9336</v>
      </c>
      <c r="C166" s="126">
        <f t="shared" si="23"/>
        <v>6.5502067060842301E-2</v>
      </c>
      <c r="D166" s="67">
        <f t="shared" ref="D166:D202" si="25">D165+1</f>
        <v>1</v>
      </c>
      <c r="E166" s="106" t="s">
        <v>76</v>
      </c>
      <c r="F166" s="139">
        <f>INDEX(LINEST(C165:C184,D165:D184),2)</f>
        <v>0.11149915999633775</v>
      </c>
      <c r="G166" s="69"/>
      <c r="H166" s="127"/>
      <c r="I166" s="128">
        <f t="shared" si="24"/>
        <v>8812.8509338803378</v>
      </c>
    </row>
    <row r="167" spans="1:9" ht="15" customHeight="1">
      <c r="A167" s="65">
        <f t="shared" si="21"/>
        <v>1990</v>
      </c>
      <c r="B167" s="104">
        <f t="shared" si="22"/>
        <v>8152</v>
      </c>
      <c r="C167" s="126">
        <f t="shared" si="23"/>
        <v>0.31335555809774435</v>
      </c>
      <c r="D167" s="67">
        <f t="shared" si="25"/>
        <v>2</v>
      </c>
      <c r="E167" s="106" t="s">
        <v>77</v>
      </c>
      <c r="F167" s="73">
        <f>I164</f>
        <v>0.98356521037187084</v>
      </c>
      <c r="G167" s="69"/>
      <c r="H167" s="127"/>
      <c r="I167" s="128">
        <f t="shared" si="24"/>
        <v>8512.8823367421173</v>
      </c>
    </row>
    <row r="168" spans="1:9" ht="15" customHeight="1">
      <c r="A168" s="65">
        <f t="shared" si="21"/>
        <v>1991</v>
      </c>
      <c r="B168" s="104">
        <f t="shared" si="22"/>
        <v>8172</v>
      </c>
      <c r="C168" s="126">
        <f t="shared" si="23"/>
        <v>0.30911016670826874</v>
      </c>
      <c r="D168" s="67">
        <f t="shared" si="25"/>
        <v>3</v>
      </c>
      <c r="E168" s="106" t="s">
        <v>39</v>
      </c>
      <c r="F168" s="110">
        <f>MAX(B165:B184)*2</f>
        <v>19304</v>
      </c>
      <c r="G168" s="69"/>
      <c r="H168" s="127"/>
      <c r="I168" s="128">
        <f t="shared" si="24"/>
        <v>8215.128813525851</v>
      </c>
    </row>
    <row r="169" spans="1:9" ht="15" customHeight="1">
      <c r="A169" s="65">
        <f t="shared" si="21"/>
        <v>1992</v>
      </c>
      <c r="B169" s="104">
        <f t="shared" si="22"/>
        <v>7723</v>
      </c>
      <c r="C169" s="126">
        <f t="shared" si="23"/>
        <v>0.40516293461511393</v>
      </c>
      <c r="D169" s="67">
        <f t="shared" si="25"/>
        <v>4</v>
      </c>
      <c r="E169" s="106"/>
      <c r="F169" s="53"/>
      <c r="G169" s="69"/>
      <c r="H169" s="127"/>
      <c r="I169" s="128">
        <f t="shared" si="24"/>
        <v>7920.1460550800111</v>
      </c>
    </row>
    <row r="170" spans="1:9" ht="15" customHeight="1">
      <c r="A170" s="65">
        <f t="shared" si="21"/>
        <v>1993</v>
      </c>
      <c r="B170" s="104">
        <f t="shared" si="22"/>
        <v>7425</v>
      </c>
      <c r="C170" s="126">
        <f t="shared" si="23"/>
        <v>0.46991945061863927</v>
      </c>
      <c r="D170" s="67">
        <f t="shared" si="25"/>
        <v>5</v>
      </c>
      <c r="E170" s="106"/>
      <c r="F170" s="53"/>
      <c r="G170" s="69"/>
      <c r="H170" s="127"/>
      <c r="I170" s="128">
        <f t="shared" si="24"/>
        <v>7628.4686520914465</v>
      </c>
    </row>
    <row r="171" spans="1:9" ht="15" customHeight="1">
      <c r="A171" s="65">
        <f t="shared" si="21"/>
        <v>1994</v>
      </c>
      <c r="B171" s="104">
        <f t="shared" si="22"/>
        <v>7296</v>
      </c>
      <c r="C171" s="126">
        <f t="shared" si="23"/>
        <v>0.49824684155913068</v>
      </c>
      <c r="D171" s="67">
        <f t="shared" si="25"/>
        <v>6</v>
      </c>
      <c r="E171" s="132" t="s">
        <v>89</v>
      </c>
      <c r="F171" s="53"/>
      <c r="G171" s="69"/>
      <c r="H171" s="127"/>
      <c r="I171" s="128">
        <f t="shared" si="24"/>
        <v>7340.6064147010211</v>
      </c>
    </row>
    <row r="172" spans="1:9" ht="15" customHeight="1">
      <c r="A172" s="65">
        <f t="shared" si="21"/>
        <v>1995</v>
      </c>
      <c r="B172" s="104">
        <f t="shared" si="22"/>
        <v>6993</v>
      </c>
      <c r="C172" s="126">
        <f t="shared" si="23"/>
        <v>0.56558352294374814</v>
      </c>
      <c r="D172" s="67">
        <f t="shared" si="25"/>
        <v>7</v>
      </c>
      <c r="E172" s="132" t="s">
        <v>90</v>
      </c>
      <c r="F172" s="53"/>
      <c r="G172" s="69"/>
      <c r="H172" s="127"/>
      <c r="I172" s="128">
        <f t="shared" si="24"/>
        <v>7057.0410788870049</v>
      </c>
    </row>
    <row r="173" spans="1:9" ht="15" customHeight="1">
      <c r="A173" s="65">
        <f t="shared" si="21"/>
        <v>1996</v>
      </c>
      <c r="B173" s="104">
        <f t="shared" si="22"/>
        <v>6633</v>
      </c>
      <c r="C173" s="126">
        <f t="shared" si="23"/>
        <v>0.64725872727335232</v>
      </c>
      <c r="D173" s="67">
        <f t="shared" si="25"/>
        <v>8</v>
      </c>
      <c r="E173" s="132"/>
      <c r="F173" s="53"/>
      <c r="G173" s="69"/>
      <c r="H173" s="127"/>
      <c r="I173" s="128">
        <f t="shared" si="24"/>
        <v>6778.2234397166876</v>
      </c>
    </row>
    <row r="174" spans="1:9" ht="15" customHeight="1">
      <c r="A174" s="65">
        <f t="shared" si="21"/>
        <v>1997</v>
      </c>
      <c r="B174" s="104">
        <f t="shared" si="22"/>
        <v>6394</v>
      </c>
      <c r="C174" s="126">
        <f t="shared" si="23"/>
        <v>0.70264215422090148</v>
      </c>
      <c r="D174" s="67">
        <f t="shared" si="25"/>
        <v>9</v>
      </c>
      <c r="E174" s="132"/>
      <c r="F174" s="53"/>
      <c r="G174" s="69"/>
      <c r="H174" s="127"/>
      <c r="I174" s="128">
        <f t="shared" si="24"/>
        <v>6504.5709407728973</v>
      </c>
    </row>
    <row r="175" spans="1:9" ht="15" customHeight="1">
      <c r="A175" s="65">
        <f t="shared" si="21"/>
        <v>1998</v>
      </c>
      <c r="B175" s="104">
        <f t="shared" si="22"/>
        <v>6192</v>
      </c>
      <c r="C175" s="126">
        <f t="shared" si="23"/>
        <v>0.75026970515410252</v>
      </c>
      <c r="D175" s="67">
        <f t="shared" si="25"/>
        <v>10</v>
      </c>
      <c r="E175" s="132"/>
      <c r="F175" s="53"/>
      <c r="G175" s="69"/>
      <c r="H175" s="127"/>
      <c r="I175" s="128">
        <f t="shared" si="24"/>
        <v>6236.4657380046256</v>
      </c>
    </row>
    <row r="176" spans="1:9" ht="15" customHeight="1">
      <c r="A176" s="65">
        <f t="shared" si="21"/>
        <v>1999</v>
      </c>
      <c r="B176" s="104">
        <f t="shared" si="22"/>
        <v>5927</v>
      </c>
      <c r="C176" s="126">
        <f t="shared" si="23"/>
        <v>0.81401863150774822</v>
      </c>
      <c r="D176" s="67">
        <f t="shared" si="25"/>
        <v>11</v>
      </c>
      <c r="E176" s="132"/>
      <c r="F176" s="53"/>
      <c r="G176" s="69"/>
      <c r="H176" s="127"/>
      <c r="I176" s="128">
        <f t="shared" si="24"/>
        <v>5974.2532453187132</v>
      </c>
    </row>
    <row r="177" spans="1:9" ht="15" customHeight="1">
      <c r="A177" s="65">
        <f t="shared" si="21"/>
        <v>2000</v>
      </c>
      <c r="B177" s="104">
        <f t="shared" si="22"/>
        <v>5619</v>
      </c>
      <c r="C177" s="126">
        <f t="shared" si="23"/>
        <v>0.89014663036258135</v>
      </c>
      <c r="D177" s="67">
        <f t="shared" si="25"/>
        <v>12</v>
      </c>
      <c r="E177" s="132"/>
      <c r="F177" s="53"/>
      <c r="G177" s="69"/>
      <c r="H177" s="127"/>
      <c r="I177" s="128">
        <f t="shared" si="24"/>
        <v>5718.2411587801234</v>
      </c>
    </row>
    <row r="178" spans="1:9" ht="15" customHeight="1">
      <c r="A178" s="65">
        <f t="shared" si="21"/>
        <v>2001</v>
      </c>
      <c r="B178" s="104">
        <f t="shared" si="22"/>
        <v>5393</v>
      </c>
      <c r="C178" s="126">
        <f t="shared" si="23"/>
        <v>0.94757807772234348</v>
      </c>
      <c r="D178" s="67">
        <f t="shared" si="25"/>
        <v>13</v>
      </c>
      <c r="E178" s="132"/>
      <c r="F178" s="53"/>
      <c r="G178" s="69"/>
      <c r="H178" s="127"/>
      <c r="I178" s="128">
        <f t="shared" si="24"/>
        <v>5468.6989466327523</v>
      </c>
    </row>
    <row r="179" spans="1:9" ht="15" customHeight="1">
      <c r="A179" s="65">
        <f t="shared" si="21"/>
        <v>2002</v>
      </c>
      <c r="B179" s="104">
        <f t="shared" si="22"/>
        <v>5125</v>
      </c>
      <c r="C179" s="126">
        <f t="shared" si="23"/>
        <v>1.0176314717309489</v>
      </c>
      <c r="D179" s="67">
        <f t="shared" si="25"/>
        <v>14</v>
      </c>
      <c r="E179" s="132"/>
      <c r="F179" s="53"/>
      <c r="G179" s="69"/>
      <c r="H179" s="127"/>
      <c r="I179" s="128">
        <f t="shared" si="24"/>
        <v>5225.8577837449693</v>
      </c>
    </row>
    <row r="180" spans="1:9" ht="15" customHeight="1">
      <c r="A180" s="65">
        <f t="shared" si="21"/>
        <v>2003</v>
      </c>
      <c r="B180" s="104">
        <f t="shared" si="22"/>
        <v>4944</v>
      </c>
      <c r="C180" s="126">
        <f t="shared" si="23"/>
        <v>1.0662718434646885</v>
      </c>
      <c r="D180" s="67">
        <f t="shared" si="25"/>
        <v>15</v>
      </c>
      <c r="E180" s="132"/>
      <c r="F180" s="53"/>
      <c r="G180" s="69"/>
      <c r="H180" s="127"/>
      <c r="I180" s="128">
        <f t="shared" si="24"/>
        <v>4989.9109017136725</v>
      </c>
    </row>
    <row r="181" spans="1:9" ht="15" customHeight="1">
      <c r="A181" s="65">
        <f t="shared" si="21"/>
        <v>2004</v>
      </c>
      <c r="B181" s="104">
        <f t="shared" si="22"/>
        <v>4840</v>
      </c>
      <c r="C181" s="126">
        <f t="shared" si="23"/>
        <v>1.0947480829212803</v>
      </c>
      <c r="D181" s="67">
        <f t="shared" si="25"/>
        <v>16</v>
      </c>
      <c r="E181" s="106"/>
      <c r="F181" s="53"/>
      <c r="G181" s="69"/>
      <c r="H181" s="127"/>
      <c r="I181" s="128">
        <f t="shared" si="24"/>
        <v>4761.0143198510686</v>
      </c>
    </row>
    <row r="182" spans="1:9" ht="15" customHeight="1">
      <c r="A182" s="65">
        <f t="shared" si="21"/>
        <v>2005</v>
      </c>
      <c r="B182" s="104">
        <f t="shared" si="22"/>
        <v>4706</v>
      </c>
      <c r="C182" s="126">
        <f t="shared" si="23"/>
        <v>1.1320462427242699</v>
      </c>
      <c r="D182" s="67">
        <f t="shared" si="25"/>
        <v>17</v>
      </c>
      <c r="E182" s="83"/>
      <c r="F182" s="69"/>
      <c r="G182" s="69"/>
      <c r="H182" s="127"/>
      <c r="I182" s="128">
        <f t="shared" si="24"/>
        <v>4539.2879176875922</v>
      </c>
    </row>
    <row r="183" spans="1:9" ht="15" customHeight="1">
      <c r="A183" s="65">
        <f t="shared" si="21"/>
        <v>2006</v>
      </c>
      <c r="B183" s="104">
        <f t="shared" si="22"/>
        <v>4467</v>
      </c>
      <c r="C183" s="126">
        <f t="shared" si="23"/>
        <v>1.2004070185986748</v>
      </c>
      <c r="D183" s="67">
        <f t="shared" si="25"/>
        <v>18</v>
      </c>
      <c r="E183" s="83"/>
      <c r="F183" s="69"/>
      <c r="G183" s="69"/>
      <c r="H183" s="127"/>
      <c r="I183" s="128">
        <f t="shared" si="24"/>
        <v>4324.8168064503816</v>
      </c>
    </row>
    <row r="184" spans="1:9" ht="15" customHeight="1" thickBot="1">
      <c r="A184" s="97">
        <f t="shared" si="21"/>
        <v>2007</v>
      </c>
      <c r="B184" s="116">
        <f t="shared" si="22"/>
        <v>4212</v>
      </c>
      <c r="C184" s="141">
        <f t="shared" si="23"/>
        <v>1.2762272078303349</v>
      </c>
      <c r="D184" s="99">
        <f t="shared" si="25"/>
        <v>19</v>
      </c>
      <c r="E184" s="142"/>
      <c r="F184" s="100"/>
      <c r="G184" s="100"/>
      <c r="H184" s="143"/>
      <c r="I184" s="144">
        <f t="shared" si="24"/>
        <v>4117.6529551644453</v>
      </c>
    </row>
    <row r="185" spans="1:9" ht="15" customHeight="1" thickTop="1">
      <c r="A185" s="255">
        <f t="shared" si="21"/>
        <v>2008</v>
      </c>
      <c r="B185" s="81">
        <f t="shared" ref="B185:B202" si="26">ROUND(F$168/(1+EXP(F$166+F$165*D185)),0)</f>
        <v>3918</v>
      </c>
      <c r="C185" s="257"/>
      <c r="D185" s="77">
        <f t="shared" si="25"/>
        <v>20</v>
      </c>
      <c r="E185" s="122"/>
      <c r="F185" s="78"/>
      <c r="G185" s="78"/>
      <c r="H185" s="258"/>
      <c r="I185" s="133">
        <f t="shared" si="24"/>
        <v>3917.8170264742807</v>
      </c>
    </row>
    <row r="186" spans="1:9" ht="15" customHeight="1">
      <c r="A186" s="80">
        <v>2009</v>
      </c>
      <c r="B186" s="81">
        <f t="shared" si="26"/>
        <v>3725</v>
      </c>
      <c r="C186" s="134"/>
      <c r="D186" s="67">
        <f t="shared" si="25"/>
        <v>21</v>
      </c>
      <c r="E186" s="83"/>
      <c r="F186" s="69"/>
      <c r="G186" s="69"/>
      <c r="H186" s="84"/>
      <c r="I186" s="128">
        <f t="shared" si="24"/>
        <v>3725.3003778650577</v>
      </c>
    </row>
    <row r="187" spans="1:9" ht="15" customHeight="1">
      <c r="A187" s="80">
        <v>2010</v>
      </c>
      <c r="B187" s="81">
        <f t="shared" si="26"/>
        <v>3540</v>
      </c>
      <c r="C187" s="134"/>
      <c r="D187" s="67">
        <f t="shared" si="25"/>
        <v>22</v>
      </c>
      <c r="E187" s="83"/>
      <c r="F187" s="69"/>
      <c r="G187" s="69"/>
      <c r="H187" s="84"/>
      <c r="I187" s="128">
        <f t="shared" si="24"/>
        <v>3540.0671855188166</v>
      </c>
    </row>
    <row r="188" spans="1:9" ht="15" customHeight="1">
      <c r="A188" s="80">
        <v>2011</v>
      </c>
      <c r="B188" s="81">
        <f t="shared" si="26"/>
        <v>3362</v>
      </c>
      <c r="C188" s="134"/>
      <c r="D188" s="67">
        <f t="shared" si="25"/>
        <v>23</v>
      </c>
      <c r="E188" s="83"/>
      <c r="F188" s="69"/>
      <c r="G188" s="69"/>
      <c r="H188" s="84"/>
      <c r="I188" s="128">
        <f t="shared" si="24"/>
        <v>3362.0566504037993</v>
      </c>
    </row>
    <row r="189" spans="1:9" ht="15" customHeight="1">
      <c r="A189" s="80">
        <v>2012</v>
      </c>
      <c r="B189" s="81">
        <f t="shared" si="26"/>
        <v>3191</v>
      </c>
      <c r="C189" s="134"/>
      <c r="D189" s="67">
        <f t="shared" si="25"/>
        <v>24</v>
      </c>
      <c r="E189" s="83"/>
      <c r="F189" s="69"/>
      <c r="G189" s="69"/>
      <c r="H189" s="84"/>
      <c r="I189" s="128">
        <f t="shared" si="24"/>
        <v>3191.1852491909244</v>
      </c>
    </row>
    <row r="190" spans="1:9" ht="15" customHeight="1">
      <c r="A190" s="80">
        <v>2013</v>
      </c>
      <c r="B190" s="81">
        <f t="shared" si="26"/>
        <v>3027</v>
      </c>
      <c r="C190" s="134"/>
      <c r="D190" s="67">
        <f t="shared" si="25"/>
        <v>25</v>
      </c>
      <c r="E190" s="83"/>
      <c r="F190" s="69"/>
      <c r="G190" s="69"/>
      <c r="H190" s="84"/>
      <c r="I190" s="128">
        <f t="shared" si="24"/>
        <v>3027.3489960510319</v>
      </c>
    </row>
    <row r="191" spans="1:9" ht="15" customHeight="1">
      <c r="A191" s="80">
        <v>2014</v>
      </c>
      <c r="B191" s="81">
        <f t="shared" si="26"/>
        <v>2870</v>
      </c>
      <c r="C191" s="134"/>
      <c r="D191" s="67">
        <f t="shared" si="25"/>
        <v>26</v>
      </c>
      <c r="E191" s="83"/>
      <c r="F191" s="69"/>
      <c r="G191" s="69"/>
      <c r="H191" s="84"/>
      <c r="I191" s="128">
        <f t="shared" si="24"/>
        <v>2870.4256851501232</v>
      </c>
    </row>
    <row r="192" spans="1:9" ht="15" customHeight="1">
      <c r="A192" s="80">
        <v>2015</v>
      </c>
      <c r="B192" s="81">
        <f t="shared" si="26"/>
        <v>2720</v>
      </c>
      <c r="C192" s="134"/>
      <c r="D192" s="67">
        <f t="shared" si="25"/>
        <v>27</v>
      </c>
      <c r="E192" s="83"/>
      <c r="F192" s="69"/>
      <c r="G192" s="69"/>
      <c r="H192" s="84"/>
      <c r="I192" s="128">
        <f t="shared" si="24"/>
        <v>2720.2770875822789</v>
      </c>
    </row>
    <row r="193" spans="1:10" ht="15" customHeight="1">
      <c r="A193" s="80">
        <v>2016</v>
      </c>
      <c r="B193" s="81">
        <f t="shared" si="26"/>
        <v>2577</v>
      </c>
      <c r="C193" s="134"/>
      <c r="D193" s="67">
        <f t="shared" si="25"/>
        <v>28</v>
      </c>
      <c r="E193" s="83"/>
      <c r="F193" s="69"/>
      <c r="G193" s="69"/>
      <c r="H193" s="84"/>
      <c r="I193" s="128">
        <f t="shared" si="24"/>
        <v>2576.7510804336821</v>
      </c>
    </row>
    <row r="194" spans="1:10" ht="15" customHeight="1">
      <c r="A194" s="80">
        <v>2017</v>
      </c>
      <c r="B194" s="81">
        <f t="shared" si="26"/>
        <v>2440</v>
      </c>
      <c r="C194" s="134"/>
      <c r="D194" s="67">
        <f t="shared" si="25"/>
        <v>29</v>
      </c>
      <c r="E194" s="83"/>
      <c r="F194" s="69"/>
      <c r="G194" s="69"/>
      <c r="H194" s="84"/>
      <c r="I194" s="128">
        <f t="shared" si="24"/>
        <v>2439.6836895484062</v>
      </c>
    </row>
    <row r="195" spans="1:10" ht="15" customHeight="1">
      <c r="A195" s="80">
        <v>2018</v>
      </c>
      <c r="B195" s="81">
        <f t="shared" si="26"/>
        <v>2309</v>
      </c>
      <c r="C195" s="134"/>
      <c r="D195" s="67">
        <f t="shared" si="25"/>
        <v>30</v>
      </c>
      <c r="E195" s="83"/>
      <c r="F195" s="69"/>
      <c r="G195" s="69"/>
      <c r="H195" s="84"/>
      <c r="I195" s="128">
        <f t="shared" si="24"/>
        <v>2308.9010312795667</v>
      </c>
    </row>
    <row r="196" spans="1:10" ht="15" customHeight="1">
      <c r="A196" s="80">
        <v>2019</v>
      </c>
      <c r="B196" s="81">
        <f t="shared" si="26"/>
        <v>2184</v>
      </c>
      <c r="C196" s="134"/>
      <c r="D196" s="67">
        <f t="shared" si="25"/>
        <v>31</v>
      </c>
      <c r="E196" s="83"/>
      <c r="F196" s="69"/>
      <c r="G196" s="69"/>
      <c r="H196" s="84"/>
      <c r="I196" s="128">
        <f t="shared" si="24"/>
        <v>2184.22114199009</v>
      </c>
    </row>
    <row r="197" spans="1:10" ht="15" customHeight="1">
      <c r="A197" s="80">
        <v>2020</v>
      </c>
      <c r="B197" s="81">
        <f t="shared" si="26"/>
        <v>2065</v>
      </c>
      <c r="C197" s="134"/>
      <c r="D197" s="67">
        <f t="shared" si="25"/>
        <v>32</v>
      </c>
      <c r="E197" s="83"/>
      <c r="F197" s="69"/>
      <c r="G197" s="69"/>
      <c r="H197" s="84"/>
      <c r="I197" s="128">
        <f t="shared" si="24"/>
        <v>2065.4556872664753</v>
      </c>
    </row>
    <row r="198" spans="1:10" ht="15" customHeight="1">
      <c r="A198" s="80">
        <v>2021</v>
      </c>
      <c r="B198" s="81">
        <f t="shared" si="26"/>
        <v>1952</v>
      </c>
      <c r="C198" s="134"/>
      <c r="D198" s="67">
        <f t="shared" si="25"/>
        <v>33</v>
      </c>
      <c r="E198" s="83"/>
      <c r="F198" s="69"/>
      <c r="G198" s="69"/>
      <c r="H198" s="84"/>
      <c r="I198" s="128">
        <f t="shared" si="24"/>
        <v>1952.4115456940306</v>
      </c>
    </row>
    <row r="199" spans="1:10" ht="15" customHeight="1">
      <c r="A199" s="80">
        <v>2022</v>
      </c>
      <c r="B199" s="81">
        <f t="shared" si="26"/>
        <v>1845</v>
      </c>
      <c r="C199" s="134"/>
      <c r="D199" s="67">
        <f t="shared" si="25"/>
        <v>34</v>
      </c>
      <c r="E199" s="83"/>
      <c r="F199" s="69"/>
      <c r="G199" s="69"/>
      <c r="H199" s="84"/>
      <c r="I199" s="128">
        <f t="shared" si="24"/>
        <v>1844.8922645955711</v>
      </c>
    </row>
    <row r="200" spans="1:10" ht="15" customHeight="1">
      <c r="A200" s="80">
        <v>2023</v>
      </c>
      <c r="B200" s="81">
        <f t="shared" si="26"/>
        <v>1743</v>
      </c>
      <c r="C200" s="134"/>
      <c r="D200" s="67">
        <f t="shared" si="25"/>
        <v>35</v>
      </c>
      <c r="E200" s="83"/>
      <c r="F200" s="69"/>
      <c r="G200" s="69"/>
      <c r="H200" s="84"/>
      <c r="I200" s="128">
        <f t="shared" si="24"/>
        <v>1742.6993873526274</v>
      </c>
    </row>
    <row r="201" spans="1:10" ht="15" customHeight="1">
      <c r="A201" s="80">
        <v>2024</v>
      </c>
      <c r="B201" s="81">
        <f t="shared" si="26"/>
        <v>1646</v>
      </c>
      <c r="C201" s="135"/>
      <c r="D201" s="67">
        <f t="shared" si="25"/>
        <v>36</v>
      </c>
      <c r="E201" s="69"/>
      <c r="F201" s="69"/>
      <c r="G201" s="69"/>
      <c r="H201" s="69"/>
      <c r="I201" s="136">
        <f t="shared" si="24"/>
        <v>1645.6336538139717</v>
      </c>
    </row>
    <row r="202" spans="1:10" ht="15" customHeight="1">
      <c r="A202" s="85">
        <v>2025</v>
      </c>
      <c r="B202" s="86">
        <f t="shared" si="26"/>
        <v>1553</v>
      </c>
      <c r="C202" s="137"/>
      <c r="D202" s="87">
        <f t="shared" si="25"/>
        <v>37</v>
      </c>
      <c r="E202" s="89"/>
      <c r="F202" s="89"/>
      <c r="G202" s="89"/>
      <c r="H202" s="89"/>
      <c r="I202" s="138">
        <f t="shared" si="24"/>
        <v>1553.4960768644401</v>
      </c>
    </row>
    <row r="203" spans="1:10" ht="15" customHeight="1">
      <c r="A203" s="56" t="s">
        <v>105</v>
      </c>
      <c r="B203" s="57"/>
    </row>
    <row r="204" spans="1:10" ht="15" customHeight="1">
      <c r="A204" s="56"/>
      <c r="B204" s="57"/>
    </row>
    <row r="205" spans="1:10" ht="24">
      <c r="A205" s="145" t="s">
        <v>32</v>
      </c>
      <c r="B205" s="146" t="s">
        <v>91</v>
      </c>
      <c r="C205" s="147" t="s">
        <v>72</v>
      </c>
      <c r="D205" s="147" t="s">
        <v>92</v>
      </c>
      <c r="E205" s="147" t="s">
        <v>93</v>
      </c>
      <c r="F205" s="147" t="s">
        <v>94</v>
      </c>
      <c r="G205" s="147" t="s">
        <v>95</v>
      </c>
      <c r="H205" s="148" t="s">
        <v>96</v>
      </c>
      <c r="I205" s="149" t="s">
        <v>106</v>
      </c>
      <c r="J205" s="150" t="s">
        <v>107</v>
      </c>
    </row>
    <row r="206" spans="1:10" ht="20.100000000000001" customHeight="1">
      <c r="A206" s="65">
        <v>2008</v>
      </c>
      <c r="B206" s="151">
        <f t="shared" ref="B206:B223" si="27">B25</f>
        <v>3926</v>
      </c>
      <c r="C206" s="152">
        <f t="shared" ref="C206:C223" si="28">B65</f>
        <v>3658</v>
      </c>
      <c r="D206" s="152">
        <f t="shared" ref="D206:D223" si="29">B105</f>
        <v>4033</v>
      </c>
      <c r="E206" s="152"/>
      <c r="F206" s="152">
        <f t="shared" ref="F206:F223" si="30">B185</f>
        <v>3918</v>
      </c>
      <c r="G206" s="152">
        <f t="shared" ref="G206:G223" si="31">ROUND(AVERAGE(B206:F206),1)</f>
        <v>3883.8</v>
      </c>
      <c r="H206" s="152">
        <f t="shared" ref="H206:H223" si="32">ROUND((SUM(B206:F206)-MAX(B206:F206)-MIN(B206:F206))/(COUNT(B206:F206)-2),1)</f>
        <v>3922</v>
      </c>
      <c r="I206" s="153">
        <f t="shared" ref="I206:I223" si="33">ROUND(SUMIF(B$224:H$224,"○",B206:H206),0)</f>
        <v>3884</v>
      </c>
      <c r="J206" s="261"/>
    </row>
    <row r="207" spans="1:10" ht="20.100000000000001" customHeight="1">
      <c r="A207" s="80">
        <v>2009</v>
      </c>
      <c r="B207" s="151">
        <f t="shared" si="27"/>
        <v>3639</v>
      </c>
      <c r="C207" s="152">
        <f t="shared" si="28"/>
        <v>3391</v>
      </c>
      <c r="D207" s="152">
        <f t="shared" si="29"/>
        <v>3860</v>
      </c>
      <c r="E207" s="152"/>
      <c r="F207" s="152">
        <f t="shared" si="30"/>
        <v>3725</v>
      </c>
      <c r="G207" s="152">
        <f t="shared" si="31"/>
        <v>3653.8</v>
      </c>
      <c r="H207" s="152">
        <f t="shared" si="32"/>
        <v>3682</v>
      </c>
      <c r="I207" s="153">
        <f t="shared" si="33"/>
        <v>3654</v>
      </c>
      <c r="J207" s="154"/>
    </row>
    <row r="208" spans="1:10" ht="20.100000000000001" customHeight="1">
      <c r="A208" s="80">
        <v>2010</v>
      </c>
      <c r="B208" s="151">
        <f t="shared" si="27"/>
        <v>3353</v>
      </c>
      <c r="C208" s="152">
        <f t="shared" si="28"/>
        <v>3124</v>
      </c>
      <c r="D208" s="152">
        <f t="shared" si="29"/>
        <v>3696</v>
      </c>
      <c r="E208" s="152"/>
      <c r="F208" s="152">
        <f t="shared" si="30"/>
        <v>3540</v>
      </c>
      <c r="G208" s="152">
        <f t="shared" si="31"/>
        <v>3428.3</v>
      </c>
      <c r="H208" s="152">
        <f t="shared" si="32"/>
        <v>3446.5</v>
      </c>
      <c r="I208" s="153">
        <f t="shared" si="33"/>
        <v>3428</v>
      </c>
      <c r="J208" s="154"/>
    </row>
    <row r="209" spans="1:49" ht="20.100000000000001" customHeight="1">
      <c r="A209" s="80">
        <v>2011</v>
      </c>
      <c r="B209" s="151">
        <f t="shared" si="27"/>
        <v>3067</v>
      </c>
      <c r="C209" s="152">
        <f t="shared" si="28"/>
        <v>2857</v>
      </c>
      <c r="D209" s="152">
        <f t="shared" si="29"/>
        <v>3538</v>
      </c>
      <c r="E209" s="152"/>
      <c r="F209" s="152">
        <f t="shared" si="30"/>
        <v>3362</v>
      </c>
      <c r="G209" s="152">
        <f t="shared" si="31"/>
        <v>3206</v>
      </c>
      <c r="H209" s="152">
        <f t="shared" si="32"/>
        <v>3214.5</v>
      </c>
      <c r="I209" s="153">
        <f t="shared" si="33"/>
        <v>3206</v>
      </c>
      <c r="J209" s="154"/>
    </row>
    <row r="210" spans="1:49" ht="20.100000000000001" customHeight="1">
      <c r="A210" s="80">
        <v>2012</v>
      </c>
      <c r="B210" s="151">
        <f t="shared" si="27"/>
        <v>2780</v>
      </c>
      <c r="C210" s="152">
        <f t="shared" si="28"/>
        <v>2591</v>
      </c>
      <c r="D210" s="152">
        <f t="shared" si="29"/>
        <v>3387</v>
      </c>
      <c r="E210" s="152"/>
      <c r="F210" s="152">
        <f t="shared" si="30"/>
        <v>3191</v>
      </c>
      <c r="G210" s="152">
        <f t="shared" si="31"/>
        <v>2987.3</v>
      </c>
      <c r="H210" s="152">
        <f t="shared" si="32"/>
        <v>2985.5</v>
      </c>
      <c r="I210" s="153">
        <f t="shared" si="33"/>
        <v>2987</v>
      </c>
      <c r="J210" s="154"/>
    </row>
    <row r="211" spans="1:49" ht="20.100000000000001" customHeight="1">
      <c r="A211" s="80">
        <v>2013</v>
      </c>
      <c r="B211" s="151">
        <f t="shared" si="27"/>
        <v>2494</v>
      </c>
      <c r="C211" s="152">
        <f t="shared" si="28"/>
        <v>2324</v>
      </c>
      <c r="D211" s="152">
        <f t="shared" si="29"/>
        <v>3242</v>
      </c>
      <c r="E211" s="152"/>
      <c r="F211" s="152">
        <f t="shared" si="30"/>
        <v>3027</v>
      </c>
      <c r="G211" s="152">
        <f t="shared" si="31"/>
        <v>2771.8</v>
      </c>
      <c r="H211" s="152">
        <f t="shared" si="32"/>
        <v>2760.5</v>
      </c>
      <c r="I211" s="153">
        <f t="shared" si="33"/>
        <v>2772</v>
      </c>
      <c r="J211" s="154"/>
    </row>
    <row r="212" spans="1:49" ht="20.100000000000001" customHeight="1">
      <c r="A212" s="80">
        <v>2014</v>
      </c>
      <c r="B212" s="151">
        <f t="shared" si="27"/>
        <v>2208</v>
      </c>
      <c r="C212" s="152">
        <f t="shared" si="28"/>
        <v>2057</v>
      </c>
      <c r="D212" s="152">
        <f t="shared" si="29"/>
        <v>3104</v>
      </c>
      <c r="E212" s="152"/>
      <c r="F212" s="152">
        <f t="shared" si="30"/>
        <v>2870</v>
      </c>
      <c r="G212" s="152">
        <f t="shared" si="31"/>
        <v>2559.8000000000002</v>
      </c>
      <c r="H212" s="152">
        <f t="shared" si="32"/>
        <v>2539</v>
      </c>
      <c r="I212" s="153">
        <f t="shared" si="33"/>
        <v>2560</v>
      </c>
      <c r="J212" s="154"/>
    </row>
    <row r="213" spans="1:49" ht="20.100000000000001" customHeight="1">
      <c r="A213" s="80">
        <v>2015</v>
      </c>
      <c r="B213" s="151">
        <f t="shared" si="27"/>
        <v>1921</v>
      </c>
      <c r="C213" s="152">
        <f t="shared" si="28"/>
        <v>1790</v>
      </c>
      <c r="D213" s="152">
        <f t="shared" si="29"/>
        <v>2971</v>
      </c>
      <c r="E213" s="152"/>
      <c r="F213" s="152">
        <f t="shared" si="30"/>
        <v>2720</v>
      </c>
      <c r="G213" s="152">
        <f t="shared" si="31"/>
        <v>2350.5</v>
      </c>
      <c r="H213" s="152">
        <f t="shared" si="32"/>
        <v>2320.5</v>
      </c>
      <c r="I213" s="153">
        <f t="shared" si="33"/>
        <v>2351</v>
      </c>
      <c r="J213" s="154"/>
    </row>
    <row r="214" spans="1:49" ht="20.100000000000001" customHeight="1">
      <c r="A214" s="80">
        <v>2016</v>
      </c>
      <c r="B214" s="151">
        <f t="shared" si="27"/>
        <v>1635</v>
      </c>
      <c r="C214" s="152">
        <f t="shared" si="28"/>
        <v>1523</v>
      </c>
      <c r="D214" s="152">
        <f t="shared" si="29"/>
        <v>2844</v>
      </c>
      <c r="E214" s="152"/>
      <c r="F214" s="152">
        <f t="shared" si="30"/>
        <v>2577</v>
      </c>
      <c r="G214" s="152">
        <f t="shared" si="31"/>
        <v>2144.8000000000002</v>
      </c>
      <c r="H214" s="152">
        <f t="shared" si="32"/>
        <v>2106</v>
      </c>
      <c r="I214" s="153">
        <f t="shared" si="33"/>
        <v>2145</v>
      </c>
      <c r="J214" s="154"/>
    </row>
    <row r="215" spans="1:49" ht="20.100000000000001" customHeight="1">
      <c r="A215" s="80">
        <v>2017</v>
      </c>
      <c r="B215" s="151">
        <f t="shared" si="27"/>
        <v>1349</v>
      </c>
      <c r="C215" s="152">
        <f t="shared" si="28"/>
        <v>1256</v>
      </c>
      <c r="D215" s="152">
        <f t="shared" si="29"/>
        <v>2723</v>
      </c>
      <c r="E215" s="152"/>
      <c r="F215" s="152">
        <f t="shared" si="30"/>
        <v>2440</v>
      </c>
      <c r="G215" s="152">
        <f t="shared" si="31"/>
        <v>1942</v>
      </c>
      <c r="H215" s="152">
        <f t="shared" si="32"/>
        <v>1894.5</v>
      </c>
      <c r="I215" s="153">
        <f t="shared" si="33"/>
        <v>1942</v>
      </c>
      <c r="J215" s="154"/>
    </row>
    <row r="216" spans="1:49" ht="20.100000000000001" customHeight="1">
      <c r="A216" s="80">
        <v>2018</v>
      </c>
      <c r="B216" s="151">
        <f t="shared" si="27"/>
        <v>1063</v>
      </c>
      <c r="C216" s="152">
        <f t="shared" si="28"/>
        <v>989</v>
      </c>
      <c r="D216" s="152">
        <f t="shared" si="29"/>
        <v>2607</v>
      </c>
      <c r="E216" s="152"/>
      <c r="F216" s="152">
        <f t="shared" si="30"/>
        <v>2309</v>
      </c>
      <c r="G216" s="152">
        <f t="shared" si="31"/>
        <v>1742</v>
      </c>
      <c r="H216" s="152">
        <f t="shared" si="32"/>
        <v>1686</v>
      </c>
      <c r="I216" s="153">
        <f t="shared" si="33"/>
        <v>1742</v>
      </c>
      <c r="J216" s="154"/>
    </row>
    <row r="217" spans="1:49" ht="20.100000000000001" customHeight="1">
      <c r="A217" s="80">
        <v>2019</v>
      </c>
      <c r="B217" s="151">
        <f t="shared" si="27"/>
        <v>776</v>
      </c>
      <c r="C217" s="152">
        <f t="shared" si="28"/>
        <v>723</v>
      </c>
      <c r="D217" s="152">
        <f t="shared" si="29"/>
        <v>2495</v>
      </c>
      <c r="E217" s="152"/>
      <c r="F217" s="152">
        <f t="shared" si="30"/>
        <v>2184</v>
      </c>
      <c r="G217" s="152">
        <f t="shared" si="31"/>
        <v>1544.5</v>
      </c>
      <c r="H217" s="152">
        <f t="shared" si="32"/>
        <v>1480</v>
      </c>
      <c r="I217" s="153">
        <f t="shared" si="33"/>
        <v>1545</v>
      </c>
      <c r="J217" s="154"/>
    </row>
    <row r="218" spans="1:49" ht="20.100000000000001" customHeight="1">
      <c r="A218" s="80">
        <v>2020</v>
      </c>
      <c r="B218" s="151">
        <f t="shared" si="27"/>
        <v>490</v>
      </c>
      <c r="C218" s="152">
        <f t="shared" si="28"/>
        <v>456</v>
      </c>
      <c r="D218" s="152">
        <f t="shared" si="29"/>
        <v>2389</v>
      </c>
      <c r="E218" s="152"/>
      <c r="F218" s="152">
        <f t="shared" si="30"/>
        <v>2065</v>
      </c>
      <c r="G218" s="152">
        <f t="shared" si="31"/>
        <v>1350</v>
      </c>
      <c r="H218" s="152">
        <f t="shared" si="32"/>
        <v>1277.5</v>
      </c>
      <c r="I218" s="153">
        <f t="shared" si="33"/>
        <v>1350</v>
      </c>
      <c r="J218" s="154"/>
    </row>
    <row r="219" spans="1:49" ht="20.100000000000001" customHeight="1">
      <c r="A219" s="80">
        <v>2021</v>
      </c>
      <c r="B219" s="151">
        <f t="shared" si="27"/>
        <v>204</v>
      </c>
      <c r="C219" s="152">
        <f t="shared" si="28"/>
        <v>189</v>
      </c>
      <c r="D219" s="152">
        <f t="shared" si="29"/>
        <v>2287</v>
      </c>
      <c r="E219" s="152"/>
      <c r="F219" s="152">
        <f t="shared" si="30"/>
        <v>1952</v>
      </c>
      <c r="G219" s="152">
        <f t="shared" si="31"/>
        <v>1158</v>
      </c>
      <c r="H219" s="152">
        <f t="shared" si="32"/>
        <v>1078</v>
      </c>
      <c r="I219" s="153">
        <f t="shared" si="33"/>
        <v>1158</v>
      </c>
      <c r="J219" s="154"/>
    </row>
    <row r="220" spans="1:49" ht="20.100000000000001" customHeight="1">
      <c r="A220" s="80">
        <v>2022</v>
      </c>
      <c r="B220" s="151">
        <f t="shared" si="27"/>
        <v>-83</v>
      </c>
      <c r="C220" s="152">
        <f t="shared" si="28"/>
        <v>-78</v>
      </c>
      <c r="D220" s="152">
        <f t="shared" si="29"/>
        <v>2189</v>
      </c>
      <c r="E220" s="152"/>
      <c r="F220" s="152">
        <f t="shared" si="30"/>
        <v>1845</v>
      </c>
      <c r="G220" s="152">
        <f t="shared" si="31"/>
        <v>968.3</v>
      </c>
      <c r="H220" s="152">
        <f t="shared" si="32"/>
        <v>883.5</v>
      </c>
      <c r="I220" s="153">
        <f t="shared" si="33"/>
        <v>968</v>
      </c>
      <c r="J220" s="154"/>
      <c r="L220" s="55">
        <v>806200</v>
      </c>
    </row>
    <row r="221" spans="1:49" ht="20.100000000000001" customHeight="1">
      <c r="A221" s="80">
        <v>2023</v>
      </c>
      <c r="B221" s="151">
        <f t="shared" si="27"/>
        <v>-369</v>
      </c>
      <c r="C221" s="152">
        <f t="shared" si="28"/>
        <v>-345</v>
      </c>
      <c r="D221" s="152">
        <f t="shared" si="29"/>
        <v>2096</v>
      </c>
      <c r="E221" s="152"/>
      <c r="F221" s="152">
        <f t="shared" si="30"/>
        <v>1743</v>
      </c>
      <c r="G221" s="152">
        <f t="shared" si="31"/>
        <v>781.3</v>
      </c>
      <c r="H221" s="152">
        <f t="shared" si="32"/>
        <v>699</v>
      </c>
      <c r="I221" s="153">
        <f t="shared" si="33"/>
        <v>781</v>
      </c>
      <c r="J221" s="154"/>
      <c r="K221" s="55">
        <v>51000</v>
      </c>
      <c r="L221" s="75">
        <f>+K221+E221</f>
        <v>51000</v>
      </c>
    </row>
    <row r="222" spans="1:49" ht="20.100000000000001" customHeight="1">
      <c r="A222" s="80">
        <v>2024</v>
      </c>
      <c r="B222" s="151">
        <f t="shared" si="27"/>
        <v>-655</v>
      </c>
      <c r="C222" s="152">
        <f t="shared" si="28"/>
        <v>-612</v>
      </c>
      <c r="D222" s="152">
        <f t="shared" si="29"/>
        <v>2006</v>
      </c>
      <c r="E222" s="152"/>
      <c r="F222" s="152">
        <f t="shared" si="30"/>
        <v>1646</v>
      </c>
      <c r="G222" s="152">
        <f t="shared" si="31"/>
        <v>596.29999999999995</v>
      </c>
      <c r="H222" s="152">
        <f t="shared" si="32"/>
        <v>517</v>
      </c>
      <c r="I222" s="153">
        <f t="shared" si="33"/>
        <v>596</v>
      </c>
      <c r="J222" s="154"/>
      <c r="L222" s="75">
        <f>+L220-L221</f>
        <v>755200</v>
      </c>
    </row>
    <row r="223" spans="1:49" ht="20.100000000000001" customHeight="1">
      <c r="A223" s="80">
        <v>2025</v>
      </c>
      <c r="B223" s="151">
        <f t="shared" si="27"/>
        <v>-942</v>
      </c>
      <c r="C223" s="152">
        <f t="shared" si="28"/>
        <v>-879</v>
      </c>
      <c r="D223" s="152">
        <f t="shared" si="29"/>
        <v>1920</v>
      </c>
      <c r="E223" s="152"/>
      <c r="F223" s="152">
        <f t="shared" si="30"/>
        <v>1553</v>
      </c>
      <c r="G223" s="152">
        <f t="shared" si="31"/>
        <v>413</v>
      </c>
      <c r="H223" s="152">
        <f t="shared" si="32"/>
        <v>337</v>
      </c>
      <c r="I223" s="153">
        <f t="shared" si="33"/>
        <v>413</v>
      </c>
      <c r="J223" s="154"/>
      <c r="K223" s="161"/>
      <c r="L223" s="161">
        <f>B165</f>
        <v>9652</v>
      </c>
      <c r="M223" s="162">
        <f>B166</f>
        <v>9336</v>
      </c>
      <c r="N223" s="161">
        <f>B167</f>
        <v>8152</v>
      </c>
      <c r="O223" s="162">
        <f>B168</f>
        <v>8172</v>
      </c>
      <c r="P223" s="161">
        <f>B169</f>
        <v>7723</v>
      </c>
      <c r="Q223" s="162">
        <f>B170</f>
        <v>7425</v>
      </c>
      <c r="R223" s="162">
        <f>B171</f>
        <v>7296</v>
      </c>
      <c r="S223" s="162">
        <f>B172</f>
        <v>6993</v>
      </c>
      <c r="T223" s="162">
        <f>B173</f>
        <v>6633</v>
      </c>
      <c r="U223" s="162">
        <f>B174</f>
        <v>6394</v>
      </c>
      <c r="V223" s="162">
        <f>B175</f>
        <v>6192</v>
      </c>
      <c r="W223" s="162">
        <f>B176</f>
        <v>5927</v>
      </c>
      <c r="X223" s="162">
        <f>B177</f>
        <v>5619</v>
      </c>
      <c r="Y223" s="162">
        <f>B178</f>
        <v>5393</v>
      </c>
      <c r="Z223" s="162">
        <f>B179</f>
        <v>5125</v>
      </c>
      <c r="AA223" s="162">
        <f>B180</f>
        <v>4944</v>
      </c>
      <c r="AB223" s="162">
        <f>B181</f>
        <v>4840</v>
      </c>
      <c r="AC223" s="162">
        <f>B182</f>
        <v>4706</v>
      </c>
      <c r="AD223" s="162">
        <f>B183</f>
        <v>4467</v>
      </c>
      <c r="AE223" s="162">
        <f>B184</f>
        <v>4212</v>
      </c>
      <c r="AF223" s="162">
        <f>$B185</f>
        <v>3918</v>
      </c>
      <c r="AG223" s="162"/>
      <c r="AH223" s="161"/>
      <c r="AI223" s="161"/>
      <c r="AJ223" s="161"/>
      <c r="AK223" s="161"/>
      <c r="AL223" s="161"/>
      <c r="AM223" s="161"/>
      <c r="AN223" s="161"/>
      <c r="AO223" s="161"/>
      <c r="AP223" s="161"/>
      <c r="AQ223" s="161"/>
      <c r="AR223" s="161"/>
      <c r="AS223" s="161"/>
      <c r="AT223" s="161"/>
      <c r="AU223" s="161"/>
      <c r="AV223" s="161"/>
      <c r="AW223" s="161"/>
    </row>
    <row r="224" spans="1:49" ht="20.100000000000001" customHeight="1">
      <c r="A224" s="155" t="s">
        <v>97</v>
      </c>
      <c r="B224" s="156"/>
      <c r="C224" s="157"/>
      <c r="D224" s="157"/>
      <c r="E224" s="157"/>
      <c r="F224" s="156"/>
      <c r="G224" s="158" t="s">
        <v>243</v>
      </c>
      <c r="H224" s="157"/>
      <c r="I224" s="159"/>
      <c r="J224" s="160"/>
      <c r="K224" s="161"/>
      <c r="L224" s="161"/>
      <c r="M224" s="161"/>
      <c r="N224" s="161"/>
      <c r="O224" s="161"/>
      <c r="P224" s="161"/>
      <c r="Q224" s="161"/>
      <c r="R224" s="161"/>
      <c r="S224" s="161"/>
      <c r="T224" s="161"/>
      <c r="U224" s="161"/>
      <c r="V224" s="161"/>
      <c r="W224" s="161"/>
      <c r="X224" s="161"/>
      <c r="Y224" s="161"/>
      <c r="Z224" s="161"/>
      <c r="AA224" s="161"/>
      <c r="AB224" s="161"/>
      <c r="AC224" s="161"/>
      <c r="AD224" s="161"/>
      <c r="AE224" s="161"/>
      <c r="AF224" s="161"/>
      <c r="AG224" s="161"/>
      <c r="AH224" s="161"/>
      <c r="AI224" s="161"/>
      <c r="AJ224" s="161"/>
      <c r="AK224" s="161"/>
      <c r="AL224" s="161"/>
      <c r="AM224" s="161"/>
      <c r="AN224" s="161"/>
      <c r="AO224" s="161"/>
      <c r="AP224" s="161"/>
      <c r="AQ224" s="161"/>
      <c r="AR224" s="161"/>
      <c r="AS224" s="161"/>
      <c r="AT224" s="161"/>
      <c r="AU224" s="161"/>
      <c r="AV224" s="161"/>
      <c r="AW224" s="161"/>
    </row>
    <row r="225" spans="1:50" s="161" customFormat="1" ht="20.100000000000001" customHeight="1">
      <c r="A225" s="85"/>
      <c r="B225" s="163"/>
      <c r="C225" s="164"/>
      <c r="D225" s="164"/>
      <c r="E225" s="164"/>
      <c r="F225" s="164"/>
      <c r="G225" s="164"/>
      <c r="H225" s="164"/>
      <c r="I225" s="165"/>
      <c r="J225" s="166"/>
      <c r="K225" s="208">
        <f>MAX(B225:I225,F225)</f>
        <v>0</v>
      </c>
      <c r="L225" s="209">
        <f>A165</f>
        <v>1988</v>
      </c>
      <c r="M225" s="209">
        <f t="shared" ref="M225:AW225" si="34">+L225+1</f>
        <v>1989</v>
      </c>
      <c r="N225" s="209">
        <f t="shared" si="34"/>
        <v>1990</v>
      </c>
      <c r="O225" s="209">
        <f t="shared" si="34"/>
        <v>1991</v>
      </c>
      <c r="P225" s="209">
        <f t="shared" si="34"/>
        <v>1992</v>
      </c>
      <c r="Q225" s="209">
        <f t="shared" si="34"/>
        <v>1993</v>
      </c>
      <c r="R225" s="209">
        <f t="shared" si="34"/>
        <v>1994</v>
      </c>
      <c r="S225" s="209">
        <f t="shared" si="34"/>
        <v>1995</v>
      </c>
      <c r="T225" s="209">
        <f t="shared" si="34"/>
        <v>1996</v>
      </c>
      <c r="U225" s="209">
        <f t="shared" si="34"/>
        <v>1997</v>
      </c>
      <c r="V225" s="209">
        <f t="shared" si="34"/>
        <v>1998</v>
      </c>
      <c r="W225" s="209">
        <f t="shared" si="34"/>
        <v>1999</v>
      </c>
      <c r="X225" s="209">
        <f t="shared" si="34"/>
        <v>2000</v>
      </c>
      <c r="Y225" s="209">
        <f t="shared" si="34"/>
        <v>2001</v>
      </c>
      <c r="Z225" s="209">
        <f t="shared" si="34"/>
        <v>2002</v>
      </c>
      <c r="AA225" s="209">
        <f t="shared" si="34"/>
        <v>2003</v>
      </c>
      <c r="AB225" s="209">
        <f t="shared" si="34"/>
        <v>2004</v>
      </c>
      <c r="AC225" s="209">
        <f t="shared" si="34"/>
        <v>2005</v>
      </c>
      <c r="AD225" s="209">
        <f t="shared" si="34"/>
        <v>2006</v>
      </c>
      <c r="AE225" s="209">
        <f t="shared" si="34"/>
        <v>2007</v>
      </c>
      <c r="AF225" s="209">
        <f t="shared" si="34"/>
        <v>2008</v>
      </c>
      <c r="AG225" s="209">
        <f t="shared" si="34"/>
        <v>2009</v>
      </c>
      <c r="AH225" s="209">
        <f t="shared" si="34"/>
        <v>2010</v>
      </c>
      <c r="AI225" s="209">
        <f t="shared" si="34"/>
        <v>2011</v>
      </c>
      <c r="AJ225" s="209">
        <f t="shared" si="34"/>
        <v>2012</v>
      </c>
      <c r="AK225" s="209">
        <f t="shared" si="34"/>
        <v>2013</v>
      </c>
      <c r="AL225" s="209">
        <f t="shared" si="34"/>
        <v>2014</v>
      </c>
      <c r="AM225" s="209">
        <f t="shared" si="34"/>
        <v>2015</v>
      </c>
      <c r="AN225" s="209">
        <f t="shared" si="34"/>
        <v>2016</v>
      </c>
      <c r="AO225" s="209">
        <f t="shared" si="34"/>
        <v>2017</v>
      </c>
      <c r="AP225" s="209">
        <f t="shared" si="34"/>
        <v>2018</v>
      </c>
      <c r="AQ225" s="209">
        <f t="shared" si="34"/>
        <v>2019</v>
      </c>
      <c r="AR225" s="209">
        <f t="shared" si="34"/>
        <v>2020</v>
      </c>
      <c r="AS225" s="209">
        <f t="shared" si="34"/>
        <v>2021</v>
      </c>
      <c r="AT225" s="209">
        <f t="shared" si="34"/>
        <v>2022</v>
      </c>
      <c r="AU225" s="209">
        <f t="shared" si="34"/>
        <v>2023</v>
      </c>
      <c r="AV225" s="209">
        <f t="shared" si="34"/>
        <v>2024</v>
      </c>
      <c r="AW225" s="209">
        <f t="shared" si="34"/>
        <v>2025</v>
      </c>
    </row>
    <row r="226" spans="1:50" ht="20.100000000000001" customHeight="1">
      <c r="A226" s="167" t="s">
        <v>98</v>
      </c>
      <c r="B226" s="168">
        <f>I4</f>
        <v>0.97028781325821578</v>
      </c>
      <c r="C226" s="169">
        <f>I44</f>
        <v>0.97423522575997445</v>
      </c>
      <c r="D226" s="169">
        <f>I84</f>
        <v>0.99053989281869925</v>
      </c>
      <c r="E226" s="169"/>
      <c r="F226" s="169">
        <f>I164</f>
        <v>0.98356521037187084</v>
      </c>
      <c r="G226" s="170"/>
      <c r="H226" s="171"/>
      <c r="I226" s="172"/>
      <c r="J226" s="173"/>
      <c r="K226" s="209" t="s">
        <v>99</v>
      </c>
      <c r="L226" s="209"/>
      <c r="M226" s="209"/>
      <c r="N226" s="209"/>
      <c r="O226" s="209"/>
      <c r="P226" s="209"/>
      <c r="Q226" s="209"/>
      <c r="R226" s="209"/>
      <c r="S226" s="209"/>
      <c r="T226" s="209"/>
      <c r="U226" s="209"/>
      <c r="V226" s="209"/>
      <c r="W226" s="209"/>
      <c r="X226" s="209"/>
      <c r="Y226" s="209"/>
      <c r="Z226" s="209"/>
      <c r="AA226" s="209"/>
      <c r="AB226" s="209"/>
      <c r="AC226" s="209"/>
      <c r="AD226" s="209"/>
      <c r="AE226" s="210">
        <f>+AE223</f>
        <v>4212</v>
      </c>
      <c r="AF226" s="210">
        <f>+B25</f>
        <v>3926</v>
      </c>
      <c r="AG226" s="210">
        <f>B26</f>
        <v>3639</v>
      </c>
      <c r="AH226" s="210">
        <f>B27</f>
        <v>3353</v>
      </c>
      <c r="AI226" s="210">
        <f>B28</f>
        <v>3067</v>
      </c>
      <c r="AJ226" s="210">
        <f>B29</f>
        <v>2780</v>
      </c>
      <c r="AK226" s="210">
        <f>B30</f>
        <v>2494</v>
      </c>
      <c r="AL226" s="210">
        <f>B31</f>
        <v>2208</v>
      </c>
      <c r="AM226" s="210">
        <f>B32</f>
        <v>1921</v>
      </c>
      <c r="AN226" s="210">
        <f>B33</f>
        <v>1635</v>
      </c>
      <c r="AO226" s="210">
        <f>B34</f>
        <v>1349</v>
      </c>
      <c r="AP226" s="210">
        <f>B35</f>
        <v>1063</v>
      </c>
      <c r="AQ226" s="210">
        <f>B36</f>
        <v>776</v>
      </c>
      <c r="AR226" s="210">
        <f>B37</f>
        <v>490</v>
      </c>
      <c r="AS226" s="210">
        <f>B38</f>
        <v>204</v>
      </c>
      <c r="AT226" s="210">
        <f>B39</f>
        <v>-83</v>
      </c>
      <c r="AU226" s="210">
        <f>B40</f>
        <v>-369</v>
      </c>
      <c r="AV226" s="210">
        <f>B41</f>
        <v>-655</v>
      </c>
      <c r="AW226" s="210">
        <f>B42</f>
        <v>-942</v>
      </c>
      <c r="AX226" s="161"/>
    </row>
    <row r="227" spans="1:50" ht="20.100000000000001" customHeight="1">
      <c r="K227" s="209" t="s">
        <v>100</v>
      </c>
      <c r="L227" s="209"/>
      <c r="M227" s="209"/>
      <c r="N227" s="209"/>
      <c r="O227" s="209"/>
      <c r="P227" s="209"/>
      <c r="Q227" s="209"/>
      <c r="R227" s="209"/>
      <c r="S227" s="209"/>
      <c r="T227" s="209"/>
      <c r="U227" s="209"/>
      <c r="V227" s="209"/>
      <c r="W227" s="209"/>
      <c r="X227" s="209"/>
      <c r="Y227" s="209"/>
      <c r="Z227" s="209"/>
      <c r="AA227" s="209"/>
      <c r="AB227" s="209"/>
      <c r="AC227" s="209"/>
      <c r="AD227" s="209"/>
      <c r="AE227" s="210">
        <f>+AE226</f>
        <v>4212</v>
      </c>
      <c r="AF227" s="210">
        <f>+B65</f>
        <v>3658</v>
      </c>
      <c r="AG227" s="210">
        <f>B66</f>
        <v>3391</v>
      </c>
      <c r="AH227" s="210">
        <f>B67</f>
        <v>3124</v>
      </c>
      <c r="AI227" s="210">
        <f>B68</f>
        <v>2857</v>
      </c>
      <c r="AJ227" s="210">
        <f>B69</f>
        <v>2591</v>
      </c>
      <c r="AK227" s="210">
        <f>B70</f>
        <v>2324</v>
      </c>
      <c r="AL227" s="210">
        <f>B71</f>
        <v>2057</v>
      </c>
      <c r="AM227" s="210">
        <f>B72</f>
        <v>1790</v>
      </c>
      <c r="AN227" s="210">
        <f>B73</f>
        <v>1523</v>
      </c>
      <c r="AO227" s="210">
        <f>B74</f>
        <v>1256</v>
      </c>
      <c r="AP227" s="210">
        <f>B75</f>
        <v>989</v>
      </c>
      <c r="AQ227" s="210">
        <f>B76</f>
        <v>723</v>
      </c>
      <c r="AR227" s="210">
        <f>B77</f>
        <v>456</v>
      </c>
      <c r="AS227" s="210">
        <f>B78</f>
        <v>189</v>
      </c>
      <c r="AT227" s="210">
        <f>B79</f>
        <v>-78</v>
      </c>
      <c r="AU227" s="210">
        <f>B80</f>
        <v>-345</v>
      </c>
      <c r="AV227" s="210">
        <f>B81</f>
        <v>-612</v>
      </c>
      <c r="AW227" s="210">
        <f>B82</f>
        <v>-879</v>
      </c>
      <c r="AX227" s="161"/>
    </row>
    <row r="228" spans="1:50" ht="20.100000000000001" customHeight="1">
      <c r="K228" s="209" t="s">
        <v>101</v>
      </c>
      <c r="L228" s="209"/>
      <c r="M228" s="209"/>
      <c r="N228" s="209"/>
      <c r="O228" s="209"/>
      <c r="P228" s="209"/>
      <c r="Q228" s="209"/>
      <c r="R228" s="209"/>
      <c r="S228" s="209"/>
      <c r="T228" s="209"/>
      <c r="U228" s="209"/>
      <c r="V228" s="209"/>
      <c r="W228" s="209"/>
      <c r="X228" s="209"/>
      <c r="Y228" s="209"/>
      <c r="Z228" s="209"/>
      <c r="AA228" s="209"/>
      <c r="AB228" s="209"/>
      <c r="AC228" s="209"/>
      <c r="AD228" s="209"/>
      <c r="AE228" s="210">
        <f>+AE227</f>
        <v>4212</v>
      </c>
      <c r="AF228" s="210">
        <f>+B105</f>
        <v>4033</v>
      </c>
      <c r="AG228" s="210">
        <f>B106</f>
        <v>3860</v>
      </c>
      <c r="AH228" s="210">
        <f>B107</f>
        <v>3696</v>
      </c>
      <c r="AI228" s="210">
        <f>B108</f>
        <v>3538</v>
      </c>
      <c r="AJ228" s="210">
        <f>B109</f>
        <v>3387</v>
      </c>
      <c r="AK228" s="210">
        <f>B110</f>
        <v>3242</v>
      </c>
      <c r="AL228" s="210">
        <f>B111</f>
        <v>3104</v>
      </c>
      <c r="AM228" s="210">
        <f>B112</f>
        <v>2971</v>
      </c>
      <c r="AN228" s="210">
        <f>B113</f>
        <v>2844</v>
      </c>
      <c r="AO228" s="210">
        <f>B114</f>
        <v>2723</v>
      </c>
      <c r="AP228" s="210">
        <f>B115</f>
        <v>2607</v>
      </c>
      <c r="AQ228" s="210">
        <f>B116</f>
        <v>2495</v>
      </c>
      <c r="AR228" s="210">
        <f>B117</f>
        <v>2389</v>
      </c>
      <c r="AS228" s="210">
        <f>B118</f>
        <v>2287</v>
      </c>
      <c r="AT228" s="210">
        <f>B119</f>
        <v>2189</v>
      </c>
      <c r="AU228" s="210">
        <f>B120</f>
        <v>2096</v>
      </c>
      <c r="AV228" s="210">
        <f>B121</f>
        <v>2006</v>
      </c>
      <c r="AW228" s="210">
        <f>B122</f>
        <v>1920</v>
      </c>
      <c r="AX228" s="161"/>
    </row>
    <row r="229" spans="1:50" ht="20.100000000000001" customHeight="1">
      <c r="K229" s="209" t="s">
        <v>102</v>
      </c>
      <c r="L229" s="209"/>
      <c r="M229" s="209"/>
      <c r="N229" s="209"/>
      <c r="O229" s="209"/>
      <c r="P229" s="209"/>
      <c r="Q229" s="209"/>
      <c r="R229" s="209"/>
      <c r="S229" s="209"/>
      <c r="T229" s="209"/>
      <c r="U229" s="209"/>
      <c r="V229" s="209"/>
      <c r="W229" s="209"/>
      <c r="X229" s="209"/>
      <c r="Y229" s="209"/>
      <c r="Z229" s="209"/>
      <c r="AA229" s="209"/>
      <c r="AB229" s="209"/>
      <c r="AC229" s="209"/>
      <c r="AD229" s="209"/>
      <c r="AE229" s="210">
        <f>+AE228</f>
        <v>4212</v>
      </c>
      <c r="AF229" s="210" t="e">
        <f>+B145</f>
        <v>#VALUE!</v>
      </c>
      <c r="AG229" s="210" t="e">
        <f>+B146</f>
        <v>#VALUE!</v>
      </c>
      <c r="AH229" s="210" t="e">
        <f>+B147</f>
        <v>#VALUE!</v>
      </c>
      <c r="AI229" s="210" t="e">
        <f>+B148</f>
        <v>#VALUE!</v>
      </c>
      <c r="AJ229" s="210" t="e">
        <f>+B149</f>
        <v>#VALUE!</v>
      </c>
      <c r="AK229" s="210" t="e">
        <f>+B150</f>
        <v>#VALUE!</v>
      </c>
      <c r="AL229" s="210" t="e">
        <f>+B151</f>
        <v>#VALUE!</v>
      </c>
      <c r="AM229" s="210" t="e">
        <f>+B152</f>
        <v>#VALUE!</v>
      </c>
      <c r="AN229" s="210" t="e">
        <f>+B153</f>
        <v>#VALUE!</v>
      </c>
      <c r="AO229" s="210" t="e">
        <f>+B154</f>
        <v>#VALUE!</v>
      </c>
      <c r="AP229" s="210" t="e">
        <f>+B155</f>
        <v>#VALUE!</v>
      </c>
      <c r="AQ229" s="210" t="e">
        <f>+B156</f>
        <v>#VALUE!</v>
      </c>
      <c r="AR229" s="210" t="e">
        <f>+B157</f>
        <v>#VALUE!</v>
      </c>
      <c r="AS229" s="210" t="e">
        <f>+B158</f>
        <v>#VALUE!</v>
      </c>
      <c r="AT229" s="210" t="e">
        <f>+B159</f>
        <v>#VALUE!</v>
      </c>
      <c r="AU229" s="210" t="e">
        <f>+B160</f>
        <v>#VALUE!</v>
      </c>
      <c r="AV229" s="210" t="e">
        <f>+B161</f>
        <v>#VALUE!</v>
      </c>
      <c r="AW229" s="210" t="e">
        <f>+B162</f>
        <v>#VALUE!</v>
      </c>
      <c r="AX229" s="161"/>
    </row>
    <row r="230" spans="1:50" ht="20.100000000000001" customHeight="1">
      <c r="K230" s="209" t="s">
        <v>103</v>
      </c>
      <c r="L230" s="209"/>
      <c r="M230" s="209"/>
      <c r="N230" s="209"/>
      <c r="O230" s="209"/>
      <c r="P230" s="209"/>
      <c r="Q230" s="209"/>
      <c r="R230" s="209"/>
      <c r="S230" s="209"/>
      <c r="T230" s="209"/>
      <c r="U230" s="209"/>
      <c r="V230" s="209"/>
      <c r="W230" s="209"/>
      <c r="X230" s="209"/>
      <c r="Y230" s="209"/>
      <c r="Z230" s="209"/>
      <c r="AA230" s="209"/>
      <c r="AB230" s="209"/>
      <c r="AC230" s="209"/>
      <c r="AD230" s="209"/>
      <c r="AE230" s="210">
        <f>+AE229</f>
        <v>4212</v>
      </c>
      <c r="AF230" s="210">
        <f>+B185</f>
        <v>3918</v>
      </c>
      <c r="AG230" s="210">
        <f>B186</f>
        <v>3725</v>
      </c>
      <c r="AH230" s="210">
        <f>B187</f>
        <v>3540</v>
      </c>
      <c r="AI230" s="210">
        <f>B188</f>
        <v>3362</v>
      </c>
      <c r="AJ230" s="210">
        <f>B189</f>
        <v>3191</v>
      </c>
      <c r="AK230" s="210">
        <f>B190</f>
        <v>3027</v>
      </c>
      <c r="AL230" s="210">
        <f>B191</f>
        <v>2870</v>
      </c>
      <c r="AM230" s="210">
        <f>B192</f>
        <v>2720</v>
      </c>
      <c r="AN230" s="210">
        <f>B193</f>
        <v>2577</v>
      </c>
      <c r="AO230" s="210">
        <f>B194</f>
        <v>2440</v>
      </c>
      <c r="AP230" s="210">
        <f>B195</f>
        <v>2309</v>
      </c>
      <c r="AQ230" s="210">
        <f>B196</f>
        <v>2184</v>
      </c>
      <c r="AR230" s="210">
        <f>B197</f>
        <v>2065</v>
      </c>
      <c r="AS230" s="210">
        <f>B198</f>
        <v>1952</v>
      </c>
      <c r="AT230" s="210">
        <f>B199</f>
        <v>1845</v>
      </c>
      <c r="AU230" s="210">
        <f>B200</f>
        <v>1743</v>
      </c>
      <c r="AV230" s="210">
        <f>B201</f>
        <v>1646</v>
      </c>
      <c r="AW230" s="210">
        <f>B202</f>
        <v>1553</v>
      </c>
      <c r="AX230" s="161"/>
    </row>
    <row r="231" spans="1:50" ht="20.100000000000001" customHeight="1">
      <c r="K231" s="209" t="s">
        <v>95</v>
      </c>
      <c r="L231" s="209"/>
      <c r="M231" s="209"/>
      <c r="N231" s="209"/>
      <c r="O231" s="209"/>
      <c r="P231" s="209"/>
      <c r="Q231" s="209"/>
      <c r="R231" s="209"/>
      <c r="S231" s="209"/>
      <c r="T231" s="209"/>
      <c r="U231" s="209"/>
      <c r="V231" s="209"/>
      <c r="W231" s="209"/>
      <c r="X231" s="209"/>
      <c r="Y231" s="209"/>
      <c r="Z231" s="209"/>
      <c r="AA231" s="209"/>
      <c r="AB231" s="209"/>
      <c r="AC231" s="209"/>
      <c r="AD231" s="209"/>
      <c r="AE231" s="210">
        <f>+AE230</f>
        <v>4212</v>
      </c>
      <c r="AF231" s="211">
        <f>+H206</f>
        <v>3922</v>
      </c>
      <c r="AG231" s="211">
        <f>+H207</f>
        <v>3682</v>
      </c>
      <c r="AH231" s="211">
        <f>+H208</f>
        <v>3446.5</v>
      </c>
      <c r="AI231" s="211">
        <f>+H209</f>
        <v>3214.5</v>
      </c>
      <c r="AJ231" s="211">
        <f>+H210</f>
        <v>2985.5</v>
      </c>
      <c r="AK231" s="211">
        <f>+H211</f>
        <v>2760.5</v>
      </c>
      <c r="AL231" s="211">
        <f>+H212</f>
        <v>2539</v>
      </c>
      <c r="AM231" s="211">
        <f>+H213</f>
        <v>2320.5</v>
      </c>
      <c r="AN231" s="211">
        <f>+H214</f>
        <v>2106</v>
      </c>
      <c r="AO231" s="211">
        <f>+H215</f>
        <v>1894.5</v>
      </c>
      <c r="AP231" s="211">
        <f>+H216</f>
        <v>1686</v>
      </c>
      <c r="AQ231" s="211">
        <f>+H217</f>
        <v>1480</v>
      </c>
      <c r="AR231" s="211">
        <f>+H218</f>
        <v>1277.5</v>
      </c>
      <c r="AS231" s="211">
        <f>+H219</f>
        <v>1078</v>
      </c>
      <c r="AT231" s="211">
        <f>+H220</f>
        <v>883.5</v>
      </c>
      <c r="AU231" s="211">
        <f>+H221</f>
        <v>699</v>
      </c>
      <c r="AV231" s="211">
        <f>+H222</f>
        <v>517</v>
      </c>
      <c r="AW231" s="75">
        <f>+H223</f>
        <v>337</v>
      </c>
      <c r="AX231" s="161"/>
    </row>
    <row r="232" spans="1:50" ht="20.100000000000001" customHeight="1"/>
    <row r="233" spans="1:50" ht="20.100000000000001" customHeight="1"/>
    <row r="234" spans="1:50" ht="20.100000000000001" customHeight="1"/>
    <row r="235" spans="1:50" ht="20.100000000000001" customHeight="1"/>
    <row r="236" spans="1:50" ht="20.100000000000001" customHeight="1"/>
    <row r="237" spans="1:50" ht="20.100000000000001" customHeight="1"/>
    <row r="238" spans="1:50" ht="20.100000000000001" customHeight="1"/>
    <row r="239" spans="1:50" ht="20.100000000000001" customHeight="1"/>
    <row r="240" spans="1:50" ht="20.100000000000001" customHeight="1"/>
    <row r="241" ht="20.100000000000001" customHeight="1"/>
    <row r="242" ht="20.100000000000001" customHeight="1"/>
    <row r="243" ht="20.100000000000001" customHeight="1"/>
    <row r="244" ht="20.100000000000001" customHeight="1"/>
    <row r="245" ht="20.100000000000001" customHeight="1"/>
    <row r="246" ht="20.100000000000001" customHeight="1"/>
    <row r="247" ht="20.100000000000001" customHeight="1"/>
    <row r="248" ht="20.100000000000001" customHeight="1"/>
  </sheetData>
  <phoneticPr fontId="50" type="noConversion"/>
  <pageMargins left="0.74803149606299213" right="0.74803149606299213" top="0.78740157480314965" bottom="0.78740157480314965" header="0.51181102362204722" footer="0.51181102362204722"/>
  <pageSetup paperSize="9" scale="70" fitToHeight="3" orientation="portrait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>
  <sheetPr codeName="Sheet54">
    <tabColor indexed="61"/>
  </sheetPr>
  <dimension ref="A1:AO204"/>
  <sheetViews>
    <sheetView workbookViewId="0"/>
  </sheetViews>
  <sheetFormatPr defaultRowHeight="15" customHeight="1"/>
  <cols>
    <col min="1" max="1" width="8.88671875" style="55"/>
    <col min="2" max="2" width="9.21875" style="55" customWidth="1"/>
    <col min="3" max="3" width="9.5546875" style="55" customWidth="1"/>
    <col min="4" max="4" width="9" style="55" customWidth="1"/>
    <col min="5" max="5" width="11.33203125" style="55" customWidth="1"/>
    <col min="6" max="6" width="9.44140625" style="55" customWidth="1"/>
    <col min="7" max="7" width="15.109375" style="55" bestFit="1" customWidth="1"/>
    <col min="8" max="8" width="12.88671875" style="55" bestFit="1" customWidth="1"/>
    <col min="9" max="9" width="11.5546875" style="55" bestFit="1" customWidth="1"/>
    <col min="10" max="11" width="8.88671875" style="55"/>
    <col min="12" max="41" width="6.77734375" style="55" customWidth="1"/>
    <col min="42" max="16384" width="8.88671875" style="55"/>
  </cols>
  <sheetData>
    <row r="1" spans="1:13" ht="15" customHeight="1">
      <c r="A1" s="54" t="s">
        <v>278</v>
      </c>
    </row>
    <row r="2" spans="1:13" ht="15" customHeight="1">
      <c r="A2" s="54"/>
    </row>
    <row r="3" spans="1:13" ht="15" customHeight="1">
      <c r="A3" s="56" t="s">
        <v>74</v>
      </c>
      <c r="B3" s="57"/>
    </row>
    <row r="4" spans="1:13" ht="15" customHeight="1">
      <c r="A4" s="58" t="s">
        <v>32</v>
      </c>
      <c r="B4" s="59" t="s">
        <v>40</v>
      </c>
      <c r="C4" s="59" t="s">
        <v>33</v>
      </c>
      <c r="D4" s="60"/>
      <c r="E4" s="60"/>
      <c r="F4" s="61"/>
      <c r="G4" s="62"/>
      <c r="H4" s="63" t="s">
        <v>273</v>
      </c>
      <c r="I4" s="64">
        <f>RSQ(I5:I15,B5:B15)</f>
        <v>0.9876787386213518</v>
      </c>
    </row>
    <row r="5" spans="1:13" ht="15" customHeight="1">
      <c r="A5" s="176">
        <v>1997</v>
      </c>
      <c r="B5" s="180">
        <f>+삼화동20년!B14</f>
        <v>6394</v>
      </c>
      <c r="C5" s="177">
        <v>0</v>
      </c>
      <c r="D5" s="178"/>
      <c r="E5" s="178"/>
      <c r="F5" s="179"/>
      <c r="G5" s="262"/>
      <c r="H5" s="263"/>
      <c r="I5" s="70">
        <f t="shared" ref="I5:I33" si="0">$E$6*C5+$E$7</f>
        <v>6394</v>
      </c>
    </row>
    <row r="6" spans="1:13" ht="15" customHeight="1">
      <c r="A6" s="65" t="e">
        <f>#REF!</f>
        <v>#REF!</v>
      </c>
      <c r="B6" s="180">
        <f>+삼화동20년!B15</f>
        <v>6192</v>
      </c>
      <c r="C6" s="67">
        <f>+C5+1</f>
        <v>1</v>
      </c>
      <c r="D6" s="53" t="s">
        <v>75</v>
      </c>
      <c r="E6" s="68">
        <f>(B15-B5)/C15</f>
        <v>-218.2</v>
      </c>
      <c r="F6" s="69"/>
      <c r="G6" s="53"/>
      <c r="H6" s="69"/>
      <c r="I6" s="70">
        <f t="shared" si="0"/>
        <v>6175.8</v>
      </c>
      <c r="J6" s="71">
        <v>570570</v>
      </c>
      <c r="K6" s="55">
        <v>570570</v>
      </c>
      <c r="L6" s="55">
        <v>766</v>
      </c>
    </row>
    <row r="7" spans="1:13" ht="15" customHeight="1">
      <c r="A7" s="65" t="e">
        <f>#REF!</f>
        <v>#REF!</v>
      </c>
      <c r="B7" s="180">
        <f>+삼화동20년!B16</f>
        <v>5927</v>
      </c>
      <c r="C7" s="67">
        <f t="shared" ref="C7:C33" si="1">C6+1</f>
        <v>2</v>
      </c>
      <c r="D7" s="53" t="s">
        <v>76</v>
      </c>
      <c r="E7" s="72">
        <f>B5</f>
        <v>6394</v>
      </c>
      <c r="F7" s="69"/>
      <c r="G7" s="53"/>
      <c r="H7" s="69"/>
      <c r="I7" s="70">
        <f t="shared" si="0"/>
        <v>5957.6</v>
      </c>
      <c r="J7" s="71">
        <v>583230</v>
      </c>
      <c r="K7" s="55">
        <v>583230</v>
      </c>
      <c r="L7" s="55">
        <v>1094</v>
      </c>
    </row>
    <row r="8" spans="1:13" ht="15" customHeight="1">
      <c r="A8" s="65" t="e">
        <f>#REF!</f>
        <v>#REF!</v>
      </c>
      <c r="B8" s="180">
        <f>+삼화동20년!B17</f>
        <v>5619</v>
      </c>
      <c r="C8" s="67">
        <f t="shared" si="1"/>
        <v>3</v>
      </c>
      <c r="D8" s="53" t="s">
        <v>77</v>
      </c>
      <c r="E8" s="73">
        <f>I4</f>
        <v>0.9876787386213518</v>
      </c>
      <c r="F8" s="69"/>
      <c r="G8" s="53"/>
      <c r="H8" s="69"/>
      <c r="I8" s="70">
        <f t="shared" si="0"/>
        <v>5739.4</v>
      </c>
      <c r="J8" s="71">
        <v>590162</v>
      </c>
      <c r="K8" s="55">
        <v>590162</v>
      </c>
      <c r="L8" s="55">
        <v>1277</v>
      </c>
    </row>
    <row r="9" spans="1:13" ht="15" customHeight="1">
      <c r="A9" s="65" t="e">
        <f>#REF!</f>
        <v>#REF!</v>
      </c>
      <c r="B9" s="180">
        <f>+삼화동20년!B18</f>
        <v>5393</v>
      </c>
      <c r="C9" s="67">
        <f t="shared" si="1"/>
        <v>4</v>
      </c>
      <c r="D9" s="53"/>
      <c r="E9" s="53"/>
      <c r="F9" s="69"/>
      <c r="G9" s="53"/>
      <c r="H9" s="69"/>
      <c r="I9" s="70">
        <f t="shared" si="0"/>
        <v>5521.2</v>
      </c>
      <c r="J9" s="71">
        <v>600343</v>
      </c>
      <c r="K9" s="55">
        <v>600343</v>
      </c>
      <c r="L9" s="55">
        <v>1147</v>
      </c>
    </row>
    <row r="10" spans="1:13" ht="15" customHeight="1">
      <c r="A10" s="65" t="e">
        <f>#REF!</f>
        <v>#REF!</v>
      </c>
      <c r="B10" s="180">
        <f>+삼화동20년!B19</f>
        <v>5125</v>
      </c>
      <c r="C10" s="67">
        <f t="shared" si="1"/>
        <v>5</v>
      </c>
      <c r="D10" s="53"/>
      <c r="E10" s="53"/>
      <c r="F10" s="69"/>
      <c r="G10" s="53"/>
      <c r="H10" s="69"/>
      <c r="I10" s="70">
        <f t="shared" si="0"/>
        <v>5303</v>
      </c>
      <c r="J10" s="71">
        <v>611921</v>
      </c>
      <c r="K10" s="55">
        <v>611921</v>
      </c>
      <c r="L10" s="55">
        <v>1355</v>
      </c>
    </row>
    <row r="11" spans="1:13" ht="15" customHeight="1">
      <c r="A11" s="65" t="e">
        <f>#REF!</f>
        <v>#REF!</v>
      </c>
      <c r="B11" s="180">
        <f>+삼화동20년!B20</f>
        <v>4944</v>
      </c>
      <c r="C11" s="67">
        <f t="shared" si="1"/>
        <v>6</v>
      </c>
      <c r="D11" s="53"/>
      <c r="E11" s="53"/>
      <c r="F11" s="69"/>
      <c r="G11" s="53"/>
      <c r="H11" s="69"/>
      <c r="I11" s="70">
        <f t="shared" si="0"/>
        <v>5084.8</v>
      </c>
      <c r="J11" s="74">
        <v>622238</v>
      </c>
      <c r="K11" s="55">
        <v>622238</v>
      </c>
      <c r="L11" s="55">
        <v>1717</v>
      </c>
    </row>
    <row r="12" spans="1:13" ht="15" customHeight="1">
      <c r="A12" s="65" t="e">
        <f>#REF!</f>
        <v>#REF!</v>
      </c>
      <c r="B12" s="180">
        <f>+삼화동20년!B21</f>
        <v>4840</v>
      </c>
      <c r="C12" s="67">
        <f t="shared" si="1"/>
        <v>7</v>
      </c>
      <c r="D12" s="53" t="s">
        <v>73</v>
      </c>
      <c r="E12" s="53"/>
      <c r="F12" s="69"/>
      <c r="G12" s="53"/>
      <c r="H12" s="69"/>
      <c r="I12" s="70">
        <f t="shared" si="0"/>
        <v>4866.6000000000004</v>
      </c>
      <c r="J12" s="74">
        <v>623897</v>
      </c>
      <c r="K12" s="55">
        <v>623897</v>
      </c>
      <c r="L12" s="55">
        <v>1614</v>
      </c>
    </row>
    <row r="13" spans="1:13" ht="15" customHeight="1">
      <c r="A13" s="65" t="e">
        <f>#REF!</f>
        <v>#REF!</v>
      </c>
      <c r="B13" s="180">
        <f>+삼화동20년!B22</f>
        <v>4706</v>
      </c>
      <c r="C13" s="67">
        <f t="shared" si="1"/>
        <v>8</v>
      </c>
      <c r="D13" s="53"/>
      <c r="E13" s="53"/>
      <c r="F13" s="69"/>
      <c r="G13" s="53"/>
      <c r="H13" s="69"/>
      <c r="I13" s="70">
        <f t="shared" si="0"/>
        <v>4648.3999999999996</v>
      </c>
      <c r="J13" s="74">
        <v>626069</v>
      </c>
      <c r="K13" s="55">
        <v>626069</v>
      </c>
      <c r="L13" s="55">
        <v>1584</v>
      </c>
    </row>
    <row r="14" spans="1:13" ht="15" customHeight="1">
      <c r="A14" s="65" t="e">
        <f>#REF!</f>
        <v>#REF!</v>
      </c>
      <c r="B14" s="180">
        <f>+삼화동20년!B23</f>
        <v>4467</v>
      </c>
      <c r="C14" s="67">
        <f t="shared" si="1"/>
        <v>9</v>
      </c>
      <c r="D14" s="53"/>
      <c r="E14" s="53"/>
      <c r="F14" s="69"/>
      <c r="G14" s="53"/>
      <c r="H14" s="69"/>
      <c r="I14" s="70">
        <f t="shared" si="0"/>
        <v>4430.2</v>
      </c>
      <c r="J14" s="74">
        <v>618816</v>
      </c>
      <c r="K14" s="55">
        <v>620374</v>
      </c>
      <c r="L14" s="75">
        <v>1555</v>
      </c>
      <c r="M14" s="75"/>
    </row>
    <row r="15" spans="1:13" ht="15" customHeight="1" thickBot="1">
      <c r="A15" s="97" t="e">
        <f>#REF!</f>
        <v>#REF!</v>
      </c>
      <c r="B15" s="181">
        <f>+삼화동20년!B24</f>
        <v>4212</v>
      </c>
      <c r="C15" s="99">
        <f t="shared" si="1"/>
        <v>10</v>
      </c>
      <c r="D15" s="101"/>
      <c r="E15" s="101"/>
      <c r="F15" s="100"/>
      <c r="G15" s="101"/>
      <c r="H15" s="100"/>
      <c r="I15" s="102">
        <f t="shared" si="0"/>
        <v>4212</v>
      </c>
      <c r="J15" s="74">
        <v>622472</v>
      </c>
      <c r="K15" s="55">
        <v>624260</v>
      </c>
      <c r="L15" s="75">
        <v>1788</v>
      </c>
      <c r="M15" s="75"/>
    </row>
    <row r="16" spans="1:13" ht="15" customHeight="1" thickTop="1">
      <c r="A16" s="80">
        <v>2008</v>
      </c>
      <c r="B16" s="81">
        <f t="shared" ref="B16:B33" si="2">ROUND($E$6*C16+$E$7,0)</f>
        <v>3994</v>
      </c>
      <c r="C16" s="77">
        <f t="shared" si="1"/>
        <v>11</v>
      </c>
      <c r="D16" s="256"/>
      <c r="E16" s="256"/>
      <c r="F16" s="78"/>
      <c r="G16" s="256"/>
      <c r="H16" s="78"/>
      <c r="I16" s="79">
        <f t="shared" si="0"/>
        <v>3993.8</v>
      </c>
      <c r="K16" s="55">
        <v>623804</v>
      </c>
      <c r="L16" s="75">
        <f>+J16-K16</f>
        <v>-623804</v>
      </c>
      <c r="M16" s="75"/>
    </row>
    <row r="17" spans="1:9" ht="15" customHeight="1">
      <c r="A17" s="80">
        <v>2009</v>
      </c>
      <c r="B17" s="81">
        <f t="shared" si="2"/>
        <v>3776</v>
      </c>
      <c r="C17" s="67">
        <f t="shared" si="1"/>
        <v>12</v>
      </c>
      <c r="D17" s="69"/>
      <c r="E17" s="69"/>
      <c r="F17" s="69"/>
      <c r="G17" s="69"/>
      <c r="H17" s="69"/>
      <c r="I17" s="70">
        <f t="shared" si="0"/>
        <v>3775.6000000000004</v>
      </c>
    </row>
    <row r="18" spans="1:9" ht="15" customHeight="1">
      <c r="A18" s="80">
        <v>2010</v>
      </c>
      <c r="B18" s="81">
        <f t="shared" si="2"/>
        <v>3557</v>
      </c>
      <c r="C18" s="82">
        <f t="shared" si="1"/>
        <v>13</v>
      </c>
      <c r="D18" s="69"/>
      <c r="E18" s="69"/>
      <c r="F18" s="69"/>
      <c r="G18" s="69"/>
      <c r="H18" s="69"/>
      <c r="I18" s="70">
        <f t="shared" si="0"/>
        <v>3557.4</v>
      </c>
    </row>
    <row r="19" spans="1:9" ht="15" customHeight="1">
      <c r="A19" s="80">
        <v>2011</v>
      </c>
      <c r="B19" s="81">
        <f t="shared" si="2"/>
        <v>3339</v>
      </c>
      <c r="C19" s="82">
        <f t="shared" si="1"/>
        <v>14</v>
      </c>
      <c r="D19" s="69"/>
      <c r="E19" s="69"/>
      <c r="F19" s="69"/>
      <c r="G19" s="69"/>
      <c r="H19" s="69"/>
      <c r="I19" s="70">
        <f t="shared" si="0"/>
        <v>3339.2000000000003</v>
      </c>
    </row>
    <row r="20" spans="1:9" ht="15" customHeight="1">
      <c r="A20" s="80">
        <v>2012</v>
      </c>
      <c r="B20" s="81">
        <f t="shared" si="2"/>
        <v>3121</v>
      </c>
      <c r="C20" s="82">
        <f t="shared" si="1"/>
        <v>15</v>
      </c>
      <c r="D20" s="69"/>
      <c r="E20" s="69"/>
      <c r="F20" s="69"/>
      <c r="G20" s="69"/>
      <c r="H20" s="69"/>
      <c r="I20" s="70">
        <f t="shared" si="0"/>
        <v>3121</v>
      </c>
    </row>
    <row r="21" spans="1:9" ht="15" customHeight="1">
      <c r="A21" s="80">
        <v>2013</v>
      </c>
      <c r="B21" s="81">
        <f t="shared" si="2"/>
        <v>2903</v>
      </c>
      <c r="C21" s="82">
        <f t="shared" si="1"/>
        <v>16</v>
      </c>
      <c r="D21" s="69"/>
      <c r="E21" s="69"/>
      <c r="F21" s="69"/>
      <c r="G21" s="69"/>
      <c r="H21" s="69"/>
      <c r="I21" s="70">
        <f t="shared" si="0"/>
        <v>2902.8</v>
      </c>
    </row>
    <row r="22" spans="1:9" ht="15" customHeight="1">
      <c r="A22" s="80">
        <v>2014</v>
      </c>
      <c r="B22" s="81">
        <f t="shared" si="2"/>
        <v>2685</v>
      </c>
      <c r="C22" s="82">
        <f t="shared" si="1"/>
        <v>17</v>
      </c>
      <c r="D22" s="69"/>
      <c r="E22" s="69"/>
      <c r="F22" s="69"/>
      <c r="G22" s="69"/>
      <c r="H22" s="69"/>
      <c r="I22" s="70">
        <f t="shared" si="0"/>
        <v>2684.6000000000004</v>
      </c>
    </row>
    <row r="23" spans="1:9" ht="15" customHeight="1">
      <c r="A23" s="80">
        <v>2015</v>
      </c>
      <c r="B23" s="81">
        <f t="shared" si="2"/>
        <v>2466</v>
      </c>
      <c r="C23" s="82">
        <f t="shared" si="1"/>
        <v>18</v>
      </c>
      <c r="D23" s="69"/>
      <c r="E23" s="69"/>
      <c r="F23" s="69"/>
      <c r="G23" s="69"/>
      <c r="H23" s="69"/>
      <c r="I23" s="70">
        <f t="shared" si="0"/>
        <v>2466.4</v>
      </c>
    </row>
    <row r="24" spans="1:9" ht="15" customHeight="1">
      <c r="A24" s="80">
        <v>2016</v>
      </c>
      <c r="B24" s="81">
        <f t="shared" si="2"/>
        <v>2248</v>
      </c>
      <c r="C24" s="82">
        <f t="shared" si="1"/>
        <v>19</v>
      </c>
      <c r="D24" s="69"/>
      <c r="E24" s="69"/>
      <c r="F24" s="69"/>
      <c r="G24" s="69"/>
      <c r="H24" s="69"/>
      <c r="I24" s="70">
        <f t="shared" si="0"/>
        <v>2248.1999999999998</v>
      </c>
    </row>
    <row r="25" spans="1:9" ht="15" customHeight="1">
      <c r="A25" s="80">
        <v>2017</v>
      </c>
      <c r="B25" s="81">
        <f t="shared" si="2"/>
        <v>2030</v>
      </c>
      <c r="C25" s="82">
        <f t="shared" si="1"/>
        <v>20</v>
      </c>
      <c r="D25" s="69"/>
      <c r="E25" s="69"/>
      <c r="F25" s="69"/>
      <c r="G25" s="69"/>
      <c r="H25" s="69"/>
      <c r="I25" s="70">
        <f t="shared" si="0"/>
        <v>2030</v>
      </c>
    </row>
    <row r="26" spans="1:9" ht="15" customHeight="1">
      <c r="A26" s="80">
        <v>2018</v>
      </c>
      <c r="B26" s="81">
        <f t="shared" si="2"/>
        <v>1812</v>
      </c>
      <c r="C26" s="82">
        <f t="shared" si="1"/>
        <v>21</v>
      </c>
      <c r="D26" s="69"/>
      <c r="E26" s="69"/>
      <c r="F26" s="69"/>
      <c r="G26" s="69"/>
      <c r="H26" s="69"/>
      <c r="I26" s="70">
        <f t="shared" si="0"/>
        <v>1811.8000000000002</v>
      </c>
    </row>
    <row r="27" spans="1:9" ht="15" customHeight="1">
      <c r="A27" s="80">
        <v>2019</v>
      </c>
      <c r="B27" s="81">
        <f t="shared" si="2"/>
        <v>1594</v>
      </c>
      <c r="C27" s="82">
        <f t="shared" si="1"/>
        <v>22</v>
      </c>
      <c r="D27" s="69"/>
      <c r="E27" s="69"/>
      <c r="F27" s="69"/>
      <c r="G27" s="69"/>
      <c r="H27" s="69"/>
      <c r="I27" s="70">
        <f t="shared" si="0"/>
        <v>1593.6000000000004</v>
      </c>
    </row>
    <row r="28" spans="1:9" ht="15" customHeight="1">
      <c r="A28" s="80">
        <v>2020</v>
      </c>
      <c r="B28" s="81">
        <f t="shared" si="2"/>
        <v>1375</v>
      </c>
      <c r="C28" s="82">
        <f t="shared" si="1"/>
        <v>23</v>
      </c>
      <c r="D28" s="69"/>
      <c r="E28" s="69"/>
      <c r="F28" s="69"/>
      <c r="G28" s="69"/>
      <c r="H28" s="69"/>
      <c r="I28" s="70">
        <f t="shared" si="0"/>
        <v>1375.4000000000005</v>
      </c>
    </row>
    <row r="29" spans="1:9" ht="15" customHeight="1">
      <c r="A29" s="80">
        <v>2021</v>
      </c>
      <c r="B29" s="81">
        <f t="shared" si="2"/>
        <v>1157</v>
      </c>
      <c r="C29" s="82">
        <f t="shared" si="1"/>
        <v>24</v>
      </c>
      <c r="D29" s="69"/>
      <c r="E29" s="69"/>
      <c r="F29" s="69"/>
      <c r="G29" s="69"/>
      <c r="H29" s="69"/>
      <c r="I29" s="70">
        <f t="shared" si="0"/>
        <v>1157.2000000000007</v>
      </c>
    </row>
    <row r="30" spans="1:9" ht="15" customHeight="1">
      <c r="A30" s="80">
        <v>2022</v>
      </c>
      <c r="B30" s="81">
        <f t="shared" si="2"/>
        <v>939</v>
      </c>
      <c r="C30" s="82">
        <f t="shared" si="1"/>
        <v>25</v>
      </c>
      <c r="D30" s="69"/>
      <c r="E30" s="69"/>
      <c r="F30" s="69"/>
      <c r="G30" s="69"/>
      <c r="H30" s="69"/>
      <c r="I30" s="70">
        <f t="shared" si="0"/>
        <v>939</v>
      </c>
    </row>
    <row r="31" spans="1:9" ht="15" customHeight="1">
      <c r="A31" s="80">
        <v>2023</v>
      </c>
      <c r="B31" s="81">
        <f t="shared" si="2"/>
        <v>721</v>
      </c>
      <c r="C31" s="82">
        <f t="shared" si="1"/>
        <v>26</v>
      </c>
      <c r="D31" s="69"/>
      <c r="E31" s="69"/>
      <c r="F31" s="69"/>
      <c r="G31" s="69"/>
      <c r="H31" s="69"/>
      <c r="I31" s="70">
        <f t="shared" si="0"/>
        <v>720.80000000000018</v>
      </c>
    </row>
    <row r="32" spans="1:9" ht="15" customHeight="1">
      <c r="A32" s="80">
        <v>2024</v>
      </c>
      <c r="B32" s="81">
        <f t="shared" si="2"/>
        <v>503</v>
      </c>
      <c r="C32" s="67">
        <f t="shared" si="1"/>
        <v>27</v>
      </c>
      <c r="D32" s="83"/>
      <c r="E32" s="69"/>
      <c r="F32" s="69"/>
      <c r="G32" s="69"/>
      <c r="H32" s="84"/>
      <c r="I32" s="70">
        <f t="shared" si="0"/>
        <v>502.60000000000036</v>
      </c>
    </row>
    <row r="33" spans="1:9" ht="15" customHeight="1">
      <c r="A33" s="85">
        <v>2025</v>
      </c>
      <c r="B33" s="86">
        <f t="shared" si="2"/>
        <v>284</v>
      </c>
      <c r="C33" s="87">
        <f t="shared" si="1"/>
        <v>28</v>
      </c>
      <c r="D33" s="88"/>
      <c r="E33" s="89"/>
      <c r="F33" s="89"/>
      <c r="G33" s="89"/>
      <c r="H33" s="90"/>
      <c r="I33" s="91">
        <f t="shared" si="0"/>
        <v>284.40000000000055</v>
      </c>
    </row>
    <row r="34" spans="1:9" ht="15" customHeight="1">
      <c r="A34" s="56" t="s">
        <v>78</v>
      </c>
      <c r="B34" s="92"/>
      <c r="I34" s="89"/>
    </row>
    <row r="35" spans="1:9" ht="15" customHeight="1">
      <c r="A35" s="58" t="s">
        <v>32</v>
      </c>
      <c r="B35" s="59" t="s">
        <v>40</v>
      </c>
      <c r="C35" s="59" t="s">
        <v>33</v>
      </c>
      <c r="D35" s="60"/>
      <c r="E35" s="60"/>
      <c r="F35" s="61"/>
      <c r="G35" s="62"/>
      <c r="H35" s="63" t="s">
        <v>273</v>
      </c>
      <c r="I35" s="64">
        <f>RSQ(I36:I46,B36:B46)</f>
        <v>0.98767873862135114</v>
      </c>
    </row>
    <row r="36" spans="1:9" ht="15" customHeight="1">
      <c r="A36" s="65">
        <f t="shared" ref="A36:B46" si="3">A5</f>
        <v>1997</v>
      </c>
      <c r="B36" s="93">
        <f t="shared" si="3"/>
        <v>6394</v>
      </c>
      <c r="C36" s="67">
        <v>0</v>
      </c>
      <c r="D36" s="53"/>
      <c r="E36" s="53"/>
      <c r="F36" s="69"/>
      <c r="G36" s="264"/>
      <c r="H36" s="265"/>
      <c r="I36" s="94">
        <f t="shared" ref="I36:I64" si="4">$E$37*C36+$E$38</f>
        <v>6323.545454545454</v>
      </c>
    </row>
    <row r="37" spans="1:9" ht="15" customHeight="1">
      <c r="A37" s="65" t="e">
        <f t="shared" si="3"/>
        <v>#REF!</v>
      </c>
      <c r="B37" s="93">
        <f t="shared" si="3"/>
        <v>6192</v>
      </c>
      <c r="C37" s="67">
        <f>+C36+1</f>
        <v>1</v>
      </c>
      <c r="D37" s="53" t="s">
        <v>75</v>
      </c>
      <c r="E37" s="68">
        <f>INDEX(LINEST(B36:B46,C36:C46),1)</f>
        <v>-213.4545454545455</v>
      </c>
      <c r="F37" s="69"/>
      <c r="G37" s="53"/>
      <c r="H37" s="69"/>
      <c r="I37" s="70">
        <f t="shared" si="4"/>
        <v>6110.0909090909081</v>
      </c>
    </row>
    <row r="38" spans="1:9" ht="15" customHeight="1">
      <c r="A38" s="65" t="e">
        <f t="shared" si="3"/>
        <v>#REF!</v>
      </c>
      <c r="B38" s="93">
        <f t="shared" si="3"/>
        <v>5927</v>
      </c>
      <c r="C38" s="67">
        <f t="shared" ref="C38:C64" si="5">C37+1</f>
        <v>2</v>
      </c>
      <c r="D38" s="53" t="s">
        <v>76</v>
      </c>
      <c r="E38" s="72">
        <f>INDEX(LINEST(B36:B46,C36:C46),2)</f>
        <v>6323.545454545454</v>
      </c>
      <c r="F38" s="69"/>
      <c r="G38" s="53"/>
      <c r="H38" s="69"/>
      <c r="I38" s="70">
        <f t="shared" si="4"/>
        <v>5896.6363636363631</v>
      </c>
    </row>
    <row r="39" spans="1:9" ht="15" customHeight="1">
      <c r="A39" s="65" t="e">
        <f t="shared" si="3"/>
        <v>#REF!</v>
      </c>
      <c r="B39" s="93">
        <f t="shared" si="3"/>
        <v>5619</v>
      </c>
      <c r="C39" s="67">
        <f t="shared" si="5"/>
        <v>3</v>
      </c>
      <c r="D39" s="53" t="s">
        <v>77</v>
      </c>
      <c r="E39" s="73">
        <f>I35</f>
        <v>0.98767873862135114</v>
      </c>
      <c r="F39" s="69"/>
      <c r="G39" s="53"/>
      <c r="H39" s="69"/>
      <c r="I39" s="70">
        <f t="shared" si="4"/>
        <v>5683.181818181818</v>
      </c>
    </row>
    <row r="40" spans="1:9" ht="15" customHeight="1">
      <c r="A40" s="65" t="e">
        <f t="shared" si="3"/>
        <v>#REF!</v>
      </c>
      <c r="B40" s="93">
        <f t="shared" si="3"/>
        <v>5393</v>
      </c>
      <c r="C40" s="67">
        <f t="shared" si="5"/>
        <v>4</v>
      </c>
      <c r="D40" s="53"/>
      <c r="E40" s="53"/>
      <c r="F40" s="69"/>
      <c r="G40" s="53"/>
      <c r="H40" s="69"/>
      <c r="I40" s="70">
        <f t="shared" si="4"/>
        <v>5469.7272727272721</v>
      </c>
    </row>
    <row r="41" spans="1:9" ht="15" customHeight="1">
      <c r="A41" s="65" t="e">
        <f t="shared" si="3"/>
        <v>#REF!</v>
      </c>
      <c r="B41" s="93">
        <f t="shared" si="3"/>
        <v>5125</v>
      </c>
      <c r="C41" s="67">
        <f t="shared" si="5"/>
        <v>5</v>
      </c>
      <c r="D41" s="53"/>
      <c r="E41" s="53"/>
      <c r="F41" s="69"/>
      <c r="G41" s="95"/>
      <c r="H41" s="69"/>
      <c r="I41" s="70">
        <f t="shared" si="4"/>
        <v>5256.2727272727261</v>
      </c>
    </row>
    <row r="42" spans="1:9" ht="15" customHeight="1">
      <c r="A42" s="65" t="e">
        <f t="shared" si="3"/>
        <v>#REF!</v>
      </c>
      <c r="B42" s="93">
        <f t="shared" si="3"/>
        <v>4944</v>
      </c>
      <c r="C42" s="67">
        <f t="shared" si="5"/>
        <v>6</v>
      </c>
      <c r="D42" s="53"/>
      <c r="E42" s="53"/>
      <c r="F42" s="69"/>
      <c r="G42" s="53"/>
      <c r="H42" s="69"/>
      <c r="I42" s="70">
        <f t="shared" si="4"/>
        <v>5042.8181818181811</v>
      </c>
    </row>
    <row r="43" spans="1:9" ht="15" customHeight="1">
      <c r="A43" s="65" t="e">
        <f t="shared" si="3"/>
        <v>#REF!</v>
      </c>
      <c r="B43" s="93">
        <f t="shared" si="3"/>
        <v>4840</v>
      </c>
      <c r="C43" s="67">
        <f t="shared" si="5"/>
        <v>7</v>
      </c>
      <c r="D43" s="53" t="s">
        <v>73</v>
      </c>
      <c r="E43" s="53"/>
      <c r="F43" s="69"/>
      <c r="G43" s="53"/>
      <c r="H43" s="69"/>
      <c r="I43" s="70">
        <f t="shared" si="4"/>
        <v>4829.363636363636</v>
      </c>
    </row>
    <row r="44" spans="1:9" ht="15" customHeight="1">
      <c r="A44" s="65" t="e">
        <f t="shared" si="3"/>
        <v>#REF!</v>
      </c>
      <c r="B44" s="93">
        <f t="shared" si="3"/>
        <v>4706</v>
      </c>
      <c r="C44" s="67">
        <f t="shared" si="5"/>
        <v>8</v>
      </c>
      <c r="D44" s="53"/>
      <c r="E44" s="53"/>
      <c r="F44" s="69"/>
      <c r="G44" s="53"/>
      <c r="H44" s="69"/>
      <c r="I44" s="70">
        <f t="shared" si="4"/>
        <v>4615.9090909090901</v>
      </c>
    </row>
    <row r="45" spans="1:9" ht="15" customHeight="1">
      <c r="A45" s="65" t="e">
        <f t="shared" si="3"/>
        <v>#REF!</v>
      </c>
      <c r="B45" s="93">
        <f t="shared" si="3"/>
        <v>4467</v>
      </c>
      <c r="C45" s="67">
        <f t="shared" si="5"/>
        <v>9</v>
      </c>
      <c r="D45" s="53"/>
      <c r="E45" s="53"/>
      <c r="F45" s="69"/>
      <c r="G45" s="53"/>
      <c r="H45" s="69"/>
      <c r="I45" s="70">
        <f t="shared" si="4"/>
        <v>4402.4545454545441</v>
      </c>
    </row>
    <row r="46" spans="1:9" ht="15" customHeight="1" thickBot="1">
      <c r="A46" s="97" t="e">
        <f t="shared" si="3"/>
        <v>#REF!</v>
      </c>
      <c r="B46" s="98">
        <f t="shared" si="3"/>
        <v>4212</v>
      </c>
      <c r="C46" s="99">
        <f t="shared" si="5"/>
        <v>10</v>
      </c>
      <c r="D46" s="100"/>
      <c r="E46" s="100"/>
      <c r="F46" s="100"/>
      <c r="G46" s="101"/>
      <c r="H46" s="101"/>
      <c r="I46" s="102">
        <f t="shared" si="4"/>
        <v>4188.9999999999991</v>
      </c>
    </row>
    <row r="47" spans="1:9" ht="15" customHeight="1" thickTop="1">
      <c r="A47" s="80">
        <v>2008</v>
      </c>
      <c r="B47" s="81">
        <f t="shared" ref="B47:B64" si="6">ROUND(E$37*C47+E$38,0)</f>
        <v>3976</v>
      </c>
      <c r="C47" s="77">
        <f t="shared" si="5"/>
        <v>11</v>
      </c>
      <c r="D47" s="78"/>
      <c r="E47" s="78"/>
      <c r="F47" s="78"/>
      <c r="G47" s="256"/>
      <c r="H47" s="256"/>
      <c r="I47" s="79">
        <f t="shared" si="4"/>
        <v>3975.5454545454536</v>
      </c>
    </row>
    <row r="48" spans="1:9" ht="15" customHeight="1">
      <c r="A48" s="80">
        <v>2009</v>
      </c>
      <c r="B48" s="81">
        <f t="shared" si="6"/>
        <v>3762</v>
      </c>
      <c r="C48" s="67">
        <f t="shared" si="5"/>
        <v>12</v>
      </c>
      <c r="D48" s="69"/>
      <c r="E48" s="69"/>
      <c r="F48" s="69"/>
      <c r="G48" s="69"/>
      <c r="H48" s="69"/>
      <c r="I48" s="70">
        <f t="shared" si="4"/>
        <v>3762.0909090909081</v>
      </c>
    </row>
    <row r="49" spans="1:9" ht="15" customHeight="1">
      <c r="A49" s="80">
        <v>2010</v>
      </c>
      <c r="B49" s="81">
        <f t="shared" si="6"/>
        <v>3549</v>
      </c>
      <c r="C49" s="82">
        <f t="shared" si="5"/>
        <v>13</v>
      </c>
      <c r="D49" s="69"/>
      <c r="E49" s="69"/>
      <c r="F49" s="69"/>
      <c r="G49" s="69"/>
      <c r="H49" s="69"/>
      <c r="I49" s="70">
        <f t="shared" si="4"/>
        <v>3548.6363636363626</v>
      </c>
    </row>
    <row r="50" spans="1:9" ht="15" customHeight="1">
      <c r="A50" s="80">
        <v>2011</v>
      </c>
      <c r="B50" s="81">
        <f t="shared" si="6"/>
        <v>3335</v>
      </c>
      <c r="C50" s="82">
        <f t="shared" si="5"/>
        <v>14</v>
      </c>
      <c r="D50" s="69"/>
      <c r="E50" s="69"/>
      <c r="F50" s="69"/>
      <c r="G50" s="69"/>
      <c r="H50" s="69"/>
      <c r="I50" s="70">
        <f t="shared" si="4"/>
        <v>3335.1818181818171</v>
      </c>
    </row>
    <row r="51" spans="1:9" ht="15" customHeight="1">
      <c r="A51" s="80">
        <v>2012</v>
      </c>
      <c r="B51" s="81">
        <f t="shared" si="6"/>
        <v>3122</v>
      </c>
      <c r="C51" s="82">
        <f t="shared" si="5"/>
        <v>15</v>
      </c>
      <c r="D51" s="69"/>
      <c r="E51" s="69"/>
      <c r="F51" s="69"/>
      <c r="G51" s="69"/>
      <c r="H51" s="69"/>
      <c r="I51" s="70">
        <f t="shared" si="4"/>
        <v>3121.7272727272716</v>
      </c>
    </row>
    <row r="52" spans="1:9" ht="15" customHeight="1">
      <c r="A52" s="80">
        <v>2013</v>
      </c>
      <c r="B52" s="81">
        <f t="shared" si="6"/>
        <v>2908</v>
      </c>
      <c r="C52" s="82">
        <f t="shared" si="5"/>
        <v>16</v>
      </c>
      <c r="D52" s="69"/>
      <c r="E52" s="69"/>
      <c r="F52" s="69"/>
      <c r="G52" s="69"/>
      <c r="H52" s="69"/>
      <c r="I52" s="70">
        <f t="shared" si="4"/>
        <v>2908.2727272727261</v>
      </c>
    </row>
    <row r="53" spans="1:9" ht="15" customHeight="1">
      <c r="A53" s="80">
        <v>2014</v>
      </c>
      <c r="B53" s="81">
        <f t="shared" si="6"/>
        <v>2695</v>
      </c>
      <c r="C53" s="82">
        <f t="shared" si="5"/>
        <v>17</v>
      </c>
      <c r="D53" s="69"/>
      <c r="E53" s="69"/>
      <c r="F53" s="69"/>
      <c r="G53" s="69"/>
      <c r="H53" s="69"/>
      <c r="I53" s="70">
        <f t="shared" si="4"/>
        <v>2694.8181818181806</v>
      </c>
    </row>
    <row r="54" spans="1:9" ht="15" customHeight="1">
      <c r="A54" s="80">
        <v>2015</v>
      </c>
      <c r="B54" s="81">
        <f t="shared" si="6"/>
        <v>2481</v>
      </c>
      <c r="C54" s="82">
        <f t="shared" si="5"/>
        <v>18</v>
      </c>
      <c r="D54" s="69"/>
      <c r="E54" s="69"/>
      <c r="F54" s="69"/>
      <c r="G54" s="69"/>
      <c r="H54" s="69"/>
      <c r="I54" s="70">
        <f t="shared" si="4"/>
        <v>2481.3636363636351</v>
      </c>
    </row>
    <row r="55" spans="1:9" ht="15" customHeight="1">
      <c r="A55" s="80">
        <v>2016</v>
      </c>
      <c r="B55" s="81">
        <f t="shared" si="6"/>
        <v>2268</v>
      </c>
      <c r="C55" s="82">
        <f t="shared" si="5"/>
        <v>19</v>
      </c>
      <c r="D55" s="69"/>
      <c r="E55" s="69"/>
      <c r="F55" s="69"/>
      <c r="G55" s="69"/>
      <c r="H55" s="69"/>
      <c r="I55" s="70">
        <f t="shared" si="4"/>
        <v>2267.9090909090896</v>
      </c>
    </row>
    <row r="56" spans="1:9" ht="15" customHeight="1">
      <c r="A56" s="80">
        <v>2017</v>
      </c>
      <c r="B56" s="81">
        <f t="shared" si="6"/>
        <v>2054</v>
      </c>
      <c r="C56" s="82">
        <f t="shared" si="5"/>
        <v>20</v>
      </c>
      <c r="D56" s="69"/>
      <c r="E56" s="69"/>
      <c r="F56" s="69"/>
      <c r="G56" s="69"/>
      <c r="H56" s="69"/>
      <c r="I56" s="70">
        <f t="shared" si="4"/>
        <v>2054.4545454545441</v>
      </c>
    </row>
    <row r="57" spans="1:9" ht="15" customHeight="1">
      <c r="A57" s="80">
        <v>2018</v>
      </c>
      <c r="B57" s="81">
        <f t="shared" si="6"/>
        <v>1841</v>
      </c>
      <c r="C57" s="82">
        <f t="shared" si="5"/>
        <v>21</v>
      </c>
      <c r="D57" s="69"/>
      <c r="E57" s="69"/>
      <c r="F57" s="69"/>
      <c r="G57" s="69"/>
      <c r="H57" s="69"/>
      <c r="I57" s="70">
        <f t="shared" si="4"/>
        <v>1840.9999999999982</v>
      </c>
    </row>
    <row r="58" spans="1:9" ht="15" customHeight="1">
      <c r="A58" s="80">
        <v>2019</v>
      </c>
      <c r="B58" s="81">
        <f t="shared" si="6"/>
        <v>1628</v>
      </c>
      <c r="C58" s="82">
        <f t="shared" si="5"/>
        <v>22</v>
      </c>
      <c r="D58" s="69"/>
      <c r="E58" s="69"/>
      <c r="F58" s="69"/>
      <c r="G58" s="69"/>
      <c r="H58" s="69"/>
      <c r="I58" s="70">
        <f t="shared" si="4"/>
        <v>1627.5454545454531</v>
      </c>
    </row>
    <row r="59" spans="1:9" ht="15" customHeight="1">
      <c r="A59" s="80">
        <v>2020</v>
      </c>
      <c r="B59" s="81">
        <f t="shared" si="6"/>
        <v>1414</v>
      </c>
      <c r="C59" s="82">
        <f t="shared" si="5"/>
        <v>23</v>
      </c>
      <c r="D59" s="69"/>
      <c r="E59" s="69"/>
      <c r="F59" s="69"/>
      <c r="G59" s="69"/>
      <c r="H59" s="69"/>
      <c r="I59" s="70">
        <f t="shared" si="4"/>
        <v>1414.0909090909081</v>
      </c>
    </row>
    <row r="60" spans="1:9" ht="15" customHeight="1">
      <c r="A60" s="80">
        <v>2021</v>
      </c>
      <c r="B60" s="81">
        <f t="shared" si="6"/>
        <v>1201</v>
      </c>
      <c r="C60" s="82">
        <f t="shared" si="5"/>
        <v>24</v>
      </c>
      <c r="D60" s="69"/>
      <c r="E60" s="69"/>
      <c r="F60" s="69"/>
      <c r="G60" s="69"/>
      <c r="H60" s="69"/>
      <c r="I60" s="70">
        <f t="shared" si="4"/>
        <v>1200.6363636363621</v>
      </c>
    </row>
    <row r="61" spans="1:9" ht="15" customHeight="1">
      <c r="A61" s="80">
        <v>2022</v>
      </c>
      <c r="B61" s="81">
        <f t="shared" si="6"/>
        <v>987</v>
      </c>
      <c r="C61" s="82">
        <f t="shared" si="5"/>
        <v>25</v>
      </c>
      <c r="D61" s="69"/>
      <c r="E61" s="69"/>
      <c r="F61" s="69"/>
      <c r="G61" s="69"/>
      <c r="H61" s="69"/>
      <c r="I61" s="70">
        <f t="shared" si="4"/>
        <v>987.1818181818162</v>
      </c>
    </row>
    <row r="62" spans="1:9" ht="15" customHeight="1">
      <c r="A62" s="80">
        <v>2023</v>
      </c>
      <c r="B62" s="81">
        <f t="shared" si="6"/>
        <v>774</v>
      </c>
      <c r="C62" s="82">
        <f t="shared" si="5"/>
        <v>26</v>
      </c>
      <c r="D62" s="69"/>
      <c r="E62" s="69"/>
      <c r="F62" s="69"/>
      <c r="G62" s="69"/>
      <c r="H62" s="69"/>
      <c r="I62" s="70">
        <f t="shared" si="4"/>
        <v>773.72727272727116</v>
      </c>
    </row>
    <row r="63" spans="1:9" ht="15" customHeight="1">
      <c r="A63" s="80">
        <v>2024</v>
      </c>
      <c r="B63" s="81">
        <f t="shared" si="6"/>
        <v>560</v>
      </c>
      <c r="C63" s="67">
        <f t="shared" si="5"/>
        <v>27</v>
      </c>
      <c r="D63" s="69"/>
      <c r="E63" s="69"/>
      <c r="F63" s="69"/>
      <c r="G63" s="69"/>
      <c r="H63" s="69"/>
      <c r="I63" s="70">
        <f t="shared" si="4"/>
        <v>560.27272727272612</v>
      </c>
    </row>
    <row r="64" spans="1:9" ht="15" customHeight="1">
      <c r="A64" s="85">
        <v>2025</v>
      </c>
      <c r="B64" s="86">
        <f t="shared" si="6"/>
        <v>347</v>
      </c>
      <c r="C64" s="87">
        <f t="shared" si="5"/>
        <v>28</v>
      </c>
      <c r="D64" s="89"/>
      <c r="E64" s="89"/>
      <c r="F64" s="89"/>
      <c r="G64" s="89"/>
      <c r="H64" s="89"/>
      <c r="I64" s="91">
        <f t="shared" si="4"/>
        <v>346.81818181818016</v>
      </c>
    </row>
    <row r="65" spans="1:11" ht="15" customHeight="1">
      <c r="A65" s="56" t="s">
        <v>79</v>
      </c>
      <c r="B65" s="57"/>
    </row>
    <row r="66" spans="1:11" ht="15" customHeight="1">
      <c r="A66" s="58" t="s">
        <v>32</v>
      </c>
      <c r="B66" s="59" t="s">
        <v>40</v>
      </c>
      <c r="C66" s="59" t="s">
        <v>34</v>
      </c>
      <c r="D66" s="59" t="s">
        <v>33</v>
      </c>
      <c r="E66" s="103"/>
      <c r="F66" s="60"/>
      <c r="G66" s="61"/>
      <c r="H66" s="63" t="s">
        <v>273</v>
      </c>
      <c r="I66" s="64">
        <f>RSQ(I67:I77,B67:B77)</f>
        <v>0.99386247108895287</v>
      </c>
    </row>
    <row r="67" spans="1:11" ht="15" customHeight="1">
      <c r="A67" s="65">
        <v>1997</v>
      </c>
      <c r="B67" s="104">
        <f t="shared" ref="B67:B77" si="7">B5</f>
        <v>6394</v>
      </c>
      <c r="C67" s="105">
        <f t="shared" ref="C67:C95" si="8">LN(B67)</f>
        <v>8.7631153296197866</v>
      </c>
      <c r="D67" s="67">
        <v>0</v>
      </c>
      <c r="E67" s="106"/>
      <c r="F67" s="53"/>
      <c r="G67" s="69"/>
      <c r="H67" s="265"/>
      <c r="I67" s="109">
        <f t="shared" ref="I67:I95" si="9">ROUND($F$69*(1+$F$68)^(D67),1)</f>
        <v>6394</v>
      </c>
    </row>
    <row r="68" spans="1:11" ht="15" customHeight="1">
      <c r="A68" s="65" t="e">
        <f t="shared" ref="A68:A77" si="10">A6</f>
        <v>#REF!</v>
      </c>
      <c r="B68" s="104">
        <f t="shared" si="7"/>
        <v>6192</v>
      </c>
      <c r="C68" s="105">
        <f t="shared" si="8"/>
        <v>8.7310134152695635</v>
      </c>
      <c r="D68" s="67">
        <f>+D67+1</f>
        <v>1</v>
      </c>
      <c r="E68" s="106" t="s">
        <v>37</v>
      </c>
      <c r="F68" s="73">
        <f>ROUND((B77/B67)^(1/D77)-1,5)</f>
        <v>-4.088E-2</v>
      </c>
      <c r="G68" s="107"/>
      <c r="H68" s="108"/>
      <c r="I68" s="109">
        <f t="shared" si="9"/>
        <v>6132.6</v>
      </c>
    </row>
    <row r="69" spans="1:11" ht="15" customHeight="1">
      <c r="A69" s="65" t="e">
        <f t="shared" si="10"/>
        <v>#REF!</v>
      </c>
      <c r="B69" s="104">
        <f t="shared" si="7"/>
        <v>5927</v>
      </c>
      <c r="C69" s="105">
        <f t="shared" si="8"/>
        <v>8.6872734617878375</v>
      </c>
      <c r="D69" s="67">
        <f t="shared" ref="D69:D95" si="11">D68+1</f>
        <v>2</v>
      </c>
      <c r="E69" s="106" t="s">
        <v>80</v>
      </c>
      <c r="F69" s="110">
        <f>B67</f>
        <v>6394</v>
      </c>
      <c r="G69" s="107"/>
      <c r="H69" s="108"/>
      <c r="I69" s="109">
        <f t="shared" si="9"/>
        <v>5881.9</v>
      </c>
      <c r="K69" s="111"/>
    </row>
    <row r="70" spans="1:11" ht="15" customHeight="1">
      <c r="A70" s="65" t="e">
        <f t="shared" si="10"/>
        <v>#REF!</v>
      </c>
      <c r="B70" s="104">
        <f t="shared" si="7"/>
        <v>5619</v>
      </c>
      <c r="C70" s="105">
        <f t="shared" si="8"/>
        <v>8.6339089911121984</v>
      </c>
      <c r="D70" s="67">
        <f t="shared" si="11"/>
        <v>3</v>
      </c>
      <c r="E70" s="106" t="s">
        <v>77</v>
      </c>
      <c r="F70" s="73">
        <f>I66</f>
        <v>0.99386247108895287</v>
      </c>
      <c r="G70" s="108"/>
      <c r="H70" s="108"/>
      <c r="I70" s="109">
        <f t="shared" si="9"/>
        <v>5641.5</v>
      </c>
    </row>
    <row r="71" spans="1:11" ht="15" customHeight="1">
      <c r="A71" s="65" t="e">
        <f t="shared" si="10"/>
        <v>#REF!</v>
      </c>
      <c r="B71" s="104">
        <f t="shared" si="7"/>
        <v>5393</v>
      </c>
      <c r="C71" s="105">
        <f t="shared" si="8"/>
        <v>8.5928570953372265</v>
      </c>
      <c r="D71" s="67">
        <f t="shared" si="11"/>
        <v>4</v>
      </c>
      <c r="E71" s="106"/>
      <c r="F71" s="73"/>
      <c r="G71" s="108"/>
      <c r="H71" s="108"/>
      <c r="I71" s="109">
        <f t="shared" si="9"/>
        <v>5410.8</v>
      </c>
    </row>
    <row r="72" spans="1:11" ht="15" customHeight="1">
      <c r="A72" s="65" t="e">
        <f t="shared" si="10"/>
        <v>#REF!</v>
      </c>
      <c r="B72" s="104">
        <f t="shared" si="7"/>
        <v>5125</v>
      </c>
      <c r="C72" s="105">
        <f t="shared" si="8"/>
        <v>8.5418858040066095</v>
      </c>
      <c r="D72" s="67">
        <f t="shared" si="11"/>
        <v>5</v>
      </c>
      <c r="E72" s="106" t="s">
        <v>81</v>
      </c>
      <c r="F72" s="72"/>
      <c r="G72" s="108"/>
      <c r="H72" s="108"/>
      <c r="I72" s="109">
        <f t="shared" si="9"/>
        <v>5189.6000000000004</v>
      </c>
    </row>
    <row r="73" spans="1:11" ht="15" customHeight="1">
      <c r="A73" s="65" t="e">
        <f t="shared" si="10"/>
        <v>#REF!</v>
      </c>
      <c r="B73" s="104">
        <f t="shared" si="7"/>
        <v>4944</v>
      </c>
      <c r="C73" s="105">
        <f t="shared" si="8"/>
        <v>8.5059299991375266</v>
      </c>
      <c r="D73" s="67">
        <f t="shared" si="11"/>
        <v>6</v>
      </c>
      <c r="E73" s="112"/>
      <c r="F73" s="113"/>
      <c r="G73" s="108"/>
      <c r="H73" s="108"/>
      <c r="I73" s="109">
        <f t="shared" si="9"/>
        <v>4977.5</v>
      </c>
    </row>
    <row r="74" spans="1:11" ht="15" customHeight="1">
      <c r="A74" s="65" t="e">
        <f t="shared" si="10"/>
        <v>#REF!</v>
      </c>
      <c r="B74" s="104">
        <f t="shared" si="7"/>
        <v>4840</v>
      </c>
      <c r="C74" s="105">
        <f t="shared" si="8"/>
        <v>8.4846699997106771</v>
      </c>
      <c r="D74" s="67">
        <f t="shared" si="11"/>
        <v>7</v>
      </c>
      <c r="E74" s="114"/>
      <c r="F74" s="113"/>
      <c r="G74" s="108"/>
      <c r="H74" s="108"/>
      <c r="I74" s="109">
        <f t="shared" si="9"/>
        <v>4774</v>
      </c>
    </row>
    <row r="75" spans="1:11" ht="15" customHeight="1">
      <c r="A75" s="65" t="e">
        <f t="shared" si="10"/>
        <v>#REF!</v>
      </c>
      <c r="B75" s="104">
        <f t="shared" si="7"/>
        <v>4706</v>
      </c>
      <c r="C75" s="105">
        <f t="shared" si="8"/>
        <v>8.4565935692873087</v>
      </c>
      <c r="D75" s="67">
        <f t="shared" si="11"/>
        <v>8</v>
      </c>
      <c r="E75" s="114"/>
      <c r="F75" s="113"/>
      <c r="G75" s="108"/>
      <c r="H75" s="108"/>
      <c r="I75" s="109">
        <f t="shared" si="9"/>
        <v>4578.8</v>
      </c>
    </row>
    <row r="76" spans="1:11" ht="15" customHeight="1">
      <c r="A76" s="65" t="e">
        <f t="shared" si="10"/>
        <v>#REF!</v>
      </c>
      <c r="B76" s="104">
        <f t="shared" si="7"/>
        <v>4467</v>
      </c>
      <c r="C76" s="105">
        <f t="shared" si="8"/>
        <v>8.4044723213521184</v>
      </c>
      <c r="D76" s="67">
        <f t="shared" si="11"/>
        <v>9</v>
      </c>
      <c r="E76" s="108"/>
      <c r="F76" s="108"/>
      <c r="G76" s="115"/>
      <c r="H76" s="108"/>
      <c r="I76" s="109">
        <f t="shared" si="9"/>
        <v>4391.7</v>
      </c>
    </row>
    <row r="77" spans="1:11" s="100" customFormat="1" ht="15" customHeight="1" thickBot="1">
      <c r="A77" s="97" t="e">
        <f t="shared" si="10"/>
        <v>#REF!</v>
      </c>
      <c r="B77" s="116">
        <f t="shared" si="7"/>
        <v>4212</v>
      </c>
      <c r="C77" s="117">
        <f t="shared" si="8"/>
        <v>8.3456928732538653</v>
      </c>
      <c r="D77" s="99">
        <f t="shared" si="11"/>
        <v>10</v>
      </c>
      <c r="E77" s="118"/>
      <c r="F77" s="118"/>
      <c r="G77" s="119"/>
      <c r="H77" s="118"/>
      <c r="I77" s="120">
        <f t="shared" si="9"/>
        <v>4212.1000000000004</v>
      </c>
    </row>
    <row r="78" spans="1:11" s="78" customFormat="1" ht="15" customHeight="1" thickTop="1">
      <c r="A78" s="80">
        <v>2008</v>
      </c>
      <c r="B78" s="81">
        <f t="shared" ref="B78:B95" si="12">ROUND(F$69*(1+F$68)^D78,0)</f>
        <v>4040</v>
      </c>
      <c r="C78" s="121">
        <f t="shared" si="8"/>
        <v>8.3039999709551964</v>
      </c>
      <c r="D78" s="77">
        <f t="shared" si="11"/>
        <v>11</v>
      </c>
      <c r="E78" s="259"/>
      <c r="F78" s="259"/>
      <c r="G78" s="260"/>
      <c r="H78" s="259"/>
      <c r="I78" s="123">
        <f t="shared" si="9"/>
        <v>4039.9</v>
      </c>
    </row>
    <row r="79" spans="1:11" ht="15" customHeight="1">
      <c r="A79" s="80">
        <v>2009</v>
      </c>
      <c r="B79" s="81">
        <f t="shared" si="12"/>
        <v>3875</v>
      </c>
      <c r="C79" s="105">
        <f t="shared" si="8"/>
        <v>8.2623009417874478</v>
      </c>
      <c r="D79" s="67">
        <f t="shared" si="11"/>
        <v>12</v>
      </c>
      <c r="E79" s="83"/>
      <c r="F79" s="69"/>
      <c r="G79" s="69"/>
      <c r="H79" s="69"/>
      <c r="I79" s="109">
        <f t="shared" si="9"/>
        <v>3874.8</v>
      </c>
    </row>
    <row r="80" spans="1:11" ht="15" customHeight="1">
      <c r="A80" s="80">
        <v>2010</v>
      </c>
      <c r="B80" s="81">
        <f t="shared" si="12"/>
        <v>3716</v>
      </c>
      <c r="C80" s="105">
        <f t="shared" si="8"/>
        <v>8.2204030999337299</v>
      </c>
      <c r="D80" s="67">
        <f t="shared" si="11"/>
        <v>13</v>
      </c>
      <c r="E80" s="83"/>
      <c r="F80" s="69"/>
      <c r="G80" s="69"/>
      <c r="H80" s="69"/>
      <c r="I80" s="109">
        <f t="shared" si="9"/>
        <v>3716.4</v>
      </c>
    </row>
    <row r="81" spans="1:9" ht="15" customHeight="1">
      <c r="A81" s="80">
        <v>2011</v>
      </c>
      <c r="B81" s="81">
        <f t="shared" si="12"/>
        <v>3564</v>
      </c>
      <c r="C81" s="105">
        <f t="shared" si="8"/>
        <v>8.1786387885906997</v>
      </c>
      <c r="D81" s="67">
        <f t="shared" si="11"/>
        <v>14</v>
      </c>
      <c r="E81" s="83"/>
      <c r="F81" s="69"/>
      <c r="G81" s="69"/>
      <c r="H81" s="69"/>
      <c r="I81" s="109">
        <f t="shared" si="9"/>
        <v>3564.5</v>
      </c>
    </row>
    <row r="82" spans="1:9" ht="15" customHeight="1">
      <c r="A82" s="80">
        <v>2012</v>
      </c>
      <c r="B82" s="81">
        <f t="shared" si="12"/>
        <v>3419</v>
      </c>
      <c r="C82" s="105">
        <f t="shared" si="8"/>
        <v>8.1371033896393019</v>
      </c>
      <c r="D82" s="67">
        <f t="shared" si="11"/>
        <v>15</v>
      </c>
      <c r="E82" s="83"/>
      <c r="F82" s="69"/>
      <c r="G82" s="69"/>
      <c r="H82" s="69"/>
      <c r="I82" s="109">
        <f t="shared" si="9"/>
        <v>3418.7</v>
      </c>
    </row>
    <row r="83" spans="1:9" ht="15" customHeight="1">
      <c r="A83" s="80">
        <v>2013</v>
      </c>
      <c r="B83" s="81">
        <f t="shared" si="12"/>
        <v>3279</v>
      </c>
      <c r="C83" s="105">
        <f t="shared" si="8"/>
        <v>8.0952937768446489</v>
      </c>
      <c r="D83" s="67">
        <f t="shared" si="11"/>
        <v>16</v>
      </c>
      <c r="E83" s="83"/>
      <c r="F83" s="69"/>
      <c r="G83" s="69"/>
      <c r="H83" s="69"/>
      <c r="I83" s="109">
        <f t="shared" si="9"/>
        <v>3279</v>
      </c>
    </row>
    <row r="84" spans="1:9" ht="15" customHeight="1">
      <c r="A84" s="80">
        <v>2014</v>
      </c>
      <c r="B84" s="81">
        <f t="shared" si="12"/>
        <v>3145</v>
      </c>
      <c r="C84" s="105">
        <f t="shared" si="8"/>
        <v>8.0535691691345406</v>
      </c>
      <c r="D84" s="67">
        <f t="shared" si="11"/>
        <v>17</v>
      </c>
      <c r="E84" s="83"/>
      <c r="F84" s="69"/>
      <c r="G84" s="69"/>
      <c r="H84" s="69"/>
      <c r="I84" s="109">
        <f t="shared" si="9"/>
        <v>3144.9</v>
      </c>
    </row>
    <row r="85" spans="1:9" ht="15" customHeight="1">
      <c r="A85" s="80">
        <v>2015</v>
      </c>
      <c r="B85" s="81">
        <f t="shared" si="12"/>
        <v>3016</v>
      </c>
      <c r="C85" s="105">
        <f t="shared" si="8"/>
        <v>8.0116867291278471</v>
      </c>
      <c r="D85" s="67">
        <f t="shared" si="11"/>
        <v>18</v>
      </c>
      <c r="E85" s="83"/>
      <c r="F85" s="69"/>
      <c r="G85" s="69"/>
      <c r="H85" s="69"/>
      <c r="I85" s="109">
        <f t="shared" si="9"/>
        <v>3016.4</v>
      </c>
    </row>
    <row r="86" spans="1:9" ht="15" customHeight="1">
      <c r="A86" s="80">
        <v>2016</v>
      </c>
      <c r="B86" s="81">
        <f t="shared" si="12"/>
        <v>2893</v>
      </c>
      <c r="C86" s="105">
        <f t="shared" si="8"/>
        <v>7.9700493049761354</v>
      </c>
      <c r="D86" s="67">
        <f t="shared" si="11"/>
        <v>19</v>
      </c>
      <c r="E86" s="83"/>
      <c r="F86" s="69"/>
      <c r="G86" s="69"/>
      <c r="H86" s="69"/>
      <c r="I86" s="109">
        <f t="shared" si="9"/>
        <v>2893.1</v>
      </c>
    </row>
    <row r="87" spans="1:9" ht="15" customHeight="1">
      <c r="A87" s="80">
        <v>2017</v>
      </c>
      <c r="B87" s="81">
        <f t="shared" si="12"/>
        <v>2775</v>
      </c>
      <c r="C87" s="105">
        <f t="shared" si="8"/>
        <v>7.9284060261805349</v>
      </c>
      <c r="D87" s="67">
        <f t="shared" si="11"/>
        <v>20</v>
      </c>
      <c r="E87" s="83"/>
      <c r="F87" s="69"/>
      <c r="G87" s="69"/>
      <c r="H87" s="69"/>
      <c r="I87" s="109">
        <f t="shared" si="9"/>
        <v>2774.8</v>
      </c>
    </row>
    <row r="88" spans="1:9" ht="15" customHeight="1">
      <c r="A88" s="80">
        <v>2018</v>
      </c>
      <c r="B88" s="81">
        <f t="shared" si="12"/>
        <v>2661</v>
      </c>
      <c r="C88" s="105">
        <f t="shared" si="8"/>
        <v>7.8864572709776892</v>
      </c>
      <c r="D88" s="67">
        <f t="shared" si="11"/>
        <v>21</v>
      </c>
      <c r="E88" s="83"/>
      <c r="F88" s="69"/>
      <c r="G88" s="69"/>
      <c r="H88" s="69"/>
      <c r="I88" s="109">
        <f t="shared" si="9"/>
        <v>2661.4</v>
      </c>
    </row>
    <row r="89" spans="1:9" ht="15" customHeight="1">
      <c r="A89" s="80">
        <v>2019</v>
      </c>
      <c r="B89" s="81">
        <f t="shared" si="12"/>
        <v>2553</v>
      </c>
      <c r="C89" s="105">
        <f t="shared" si="8"/>
        <v>7.8450244172414836</v>
      </c>
      <c r="D89" s="67">
        <f t="shared" si="11"/>
        <v>22</v>
      </c>
      <c r="E89" s="83"/>
      <c r="F89" s="69"/>
      <c r="G89" s="69"/>
      <c r="H89" s="69"/>
      <c r="I89" s="109">
        <f t="shared" si="9"/>
        <v>2552.6</v>
      </c>
    </row>
    <row r="90" spans="1:9" ht="15" customHeight="1">
      <c r="A90" s="80">
        <v>2020</v>
      </c>
      <c r="B90" s="81">
        <f t="shared" si="12"/>
        <v>2448</v>
      </c>
      <c r="C90" s="105">
        <f t="shared" si="8"/>
        <v>7.8030266436322169</v>
      </c>
      <c r="D90" s="67">
        <f t="shared" si="11"/>
        <v>23</v>
      </c>
      <c r="E90" s="83"/>
      <c r="F90" s="69"/>
      <c r="G90" s="69"/>
      <c r="H90" s="69"/>
      <c r="I90" s="109">
        <f t="shared" si="9"/>
        <v>2448.1999999999998</v>
      </c>
    </row>
    <row r="91" spans="1:9" ht="15" customHeight="1">
      <c r="A91" s="80">
        <v>2021</v>
      </c>
      <c r="B91" s="81">
        <f t="shared" si="12"/>
        <v>2348</v>
      </c>
      <c r="C91" s="105">
        <f t="shared" si="8"/>
        <v>7.7613191809479867</v>
      </c>
      <c r="D91" s="67">
        <f t="shared" si="11"/>
        <v>24</v>
      </c>
      <c r="E91" s="83"/>
      <c r="F91" s="69"/>
      <c r="G91" s="69"/>
      <c r="H91" s="69"/>
      <c r="I91" s="109">
        <f t="shared" si="9"/>
        <v>2348.1</v>
      </c>
    </row>
    <row r="92" spans="1:9" ht="15" customHeight="1">
      <c r="A92" s="80">
        <v>2022</v>
      </c>
      <c r="B92" s="81">
        <f t="shared" si="12"/>
        <v>2252</v>
      </c>
      <c r="C92" s="105">
        <f t="shared" si="8"/>
        <v>7.7195739892595814</v>
      </c>
      <c r="D92" s="67">
        <f t="shared" si="11"/>
        <v>25</v>
      </c>
      <c r="E92" s="83"/>
      <c r="F92" s="69"/>
      <c r="G92" s="69"/>
      <c r="H92" s="69"/>
      <c r="I92" s="109">
        <f t="shared" si="9"/>
        <v>2252.1</v>
      </c>
    </row>
    <row r="93" spans="1:9" ht="15" customHeight="1">
      <c r="A93" s="80">
        <v>2023</v>
      </c>
      <c r="B93" s="81">
        <f t="shared" si="12"/>
        <v>2160</v>
      </c>
      <c r="C93" s="105">
        <f t="shared" si="8"/>
        <v>7.6778635006782103</v>
      </c>
      <c r="D93" s="67">
        <f t="shared" si="11"/>
        <v>26</v>
      </c>
      <c r="E93" s="83"/>
      <c r="F93" s="69"/>
      <c r="G93" s="69"/>
      <c r="H93" s="69"/>
      <c r="I93" s="109">
        <f t="shared" si="9"/>
        <v>2160.1</v>
      </c>
    </row>
    <row r="94" spans="1:9" ht="15" customHeight="1">
      <c r="A94" s="80">
        <v>2024</v>
      </c>
      <c r="B94" s="81">
        <f t="shared" si="12"/>
        <v>2072</v>
      </c>
      <c r="C94" s="105">
        <f t="shared" si="8"/>
        <v>7.6362696033793735</v>
      </c>
      <c r="D94" s="67">
        <f t="shared" si="11"/>
        <v>27</v>
      </c>
      <c r="E94" s="69"/>
      <c r="F94" s="69"/>
      <c r="G94" s="69"/>
      <c r="H94" s="69"/>
      <c r="I94" s="109">
        <f t="shared" si="9"/>
        <v>2071.8000000000002</v>
      </c>
    </row>
    <row r="95" spans="1:9" ht="15" customHeight="1">
      <c r="A95" s="85">
        <v>2025</v>
      </c>
      <c r="B95" s="86">
        <f t="shared" si="12"/>
        <v>1987</v>
      </c>
      <c r="C95" s="124">
        <f t="shared" si="8"/>
        <v>7.5943812425518171</v>
      </c>
      <c r="D95" s="87">
        <f t="shared" si="11"/>
        <v>28</v>
      </c>
      <c r="E95" s="89"/>
      <c r="F95" s="89"/>
      <c r="G95" s="89"/>
      <c r="H95" s="89"/>
      <c r="I95" s="125">
        <f t="shared" si="9"/>
        <v>1987.1</v>
      </c>
    </row>
    <row r="96" spans="1:9" ht="15" customHeight="1">
      <c r="A96" s="56" t="s">
        <v>82</v>
      </c>
      <c r="B96" s="57"/>
    </row>
    <row r="97" spans="1:9" ht="15" customHeight="1">
      <c r="A97" s="58" t="s">
        <v>32</v>
      </c>
      <c r="B97" s="59" t="s">
        <v>40</v>
      </c>
      <c r="C97" s="59" t="s">
        <v>83</v>
      </c>
      <c r="D97" s="59" t="s">
        <v>33</v>
      </c>
      <c r="E97" s="59" t="s">
        <v>35</v>
      </c>
      <c r="F97" s="103"/>
      <c r="G97" s="60"/>
      <c r="H97" s="63" t="s">
        <v>273</v>
      </c>
      <c r="I97" s="64" t="e">
        <f>RSQ(I98:I108,B98:B108)</f>
        <v>#VALUE!</v>
      </c>
    </row>
    <row r="98" spans="1:9" ht="15" customHeight="1">
      <c r="A98" s="65">
        <v>1997</v>
      </c>
      <c r="B98" s="104">
        <f t="shared" ref="B98:B108" si="13">B5</f>
        <v>6394</v>
      </c>
      <c r="C98" s="126"/>
      <c r="D98" s="67">
        <v>0</v>
      </c>
      <c r="E98" s="67"/>
      <c r="F98" s="106"/>
      <c r="G98" s="53"/>
      <c r="H98" s="265"/>
      <c r="I98" s="276" t="e">
        <f>$B$98+$G$103*D98^$G$99</f>
        <v>#VALUE!</v>
      </c>
    </row>
    <row r="99" spans="1:9" ht="15" customHeight="1">
      <c r="A99" s="65" t="e">
        <f t="shared" ref="A99:A108" si="14">A6</f>
        <v>#REF!</v>
      </c>
      <c r="B99" s="104">
        <f t="shared" si="13"/>
        <v>6192</v>
      </c>
      <c r="C99" s="126" t="e">
        <f t="shared" ref="C99:C108" si="15">LN(-B$98+B99)</f>
        <v>#NUM!</v>
      </c>
      <c r="D99" s="67">
        <f>+D98+1</f>
        <v>1</v>
      </c>
      <c r="E99" s="67">
        <f t="shared" ref="E99:E108" si="16">LN(D99)</f>
        <v>0</v>
      </c>
      <c r="F99" s="106" t="s">
        <v>75</v>
      </c>
      <c r="G99" s="73" t="e">
        <f>INDEX(LINEST(C99:C108,E99:E108),1)</f>
        <v>#VALUE!</v>
      </c>
      <c r="H99" s="127"/>
      <c r="I99" s="128" t="e">
        <f t="shared" ref="I99:I126" si="17">$B$98+$G$103*D99^$G$99</f>
        <v>#VALUE!</v>
      </c>
    </row>
    <row r="100" spans="1:9" ht="15" customHeight="1">
      <c r="A100" s="65" t="e">
        <f t="shared" si="14"/>
        <v>#REF!</v>
      </c>
      <c r="B100" s="104">
        <f t="shared" si="13"/>
        <v>5927</v>
      </c>
      <c r="C100" s="126" t="e">
        <f t="shared" si="15"/>
        <v>#NUM!</v>
      </c>
      <c r="D100" s="67">
        <f t="shared" ref="D100:D126" si="18">D99+1</f>
        <v>2</v>
      </c>
      <c r="E100" s="67">
        <f t="shared" si="16"/>
        <v>0.69314718055994529</v>
      </c>
      <c r="F100" s="106" t="s">
        <v>76</v>
      </c>
      <c r="G100" s="73" t="e">
        <f>INDEX(LINEST(C99:C108,E99:E108),2)</f>
        <v>#VALUE!</v>
      </c>
      <c r="H100" s="129" t="s">
        <v>84</v>
      </c>
      <c r="I100" s="128" t="e">
        <f t="shared" si="17"/>
        <v>#VALUE!</v>
      </c>
    </row>
    <row r="101" spans="1:9" ht="15" customHeight="1">
      <c r="A101" s="65" t="e">
        <f t="shared" si="14"/>
        <v>#REF!</v>
      </c>
      <c r="B101" s="104">
        <f t="shared" si="13"/>
        <v>5619</v>
      </c>
      <c r="C101" s="126" t="e">
        <f t="shared" si="15"/>
        <v>#NUM!</v>
      </c>
      <c r="D101" s="67">
        <f t="shared" si="18"/>
        <v>3</v>
      </c>
      <c r="E101" s="67">
        <f t="shared" si="16"/>
        <v>1.0986122886681098</v>
      </c>
      <c r="F101" s="69"/>
      <c r="G101" s="130"/>
      <c r="H101" s="127"/>
      <c r="I101" s="128" t="e">
        <f t="shared" si="17"/>
        <v>#VALUE!</v>
      </c>
    </row>
    <row r="102" spans="1:9" ht="15" customHeight="1">
      <c r="A102" s="65" t="e">
        <f t="shared" si="14"/>
        <v>#REF!</v>
      </c>
      <c r="B102" s="104">
        <f t="shared" si="13"/>
        <v>5393</v>
      </c>
      <c r="C102" s="126" t="e">
        <f t="shared" si="15"/>
        <v>#NUM!</v>
      </c>
      <c r="D102" s="67">
        <f t="shared" si="18"/>
        <v>4</v>
      </c>
      <c r="E102" s="67">
        <f t="shared" si="16"/>
        <v>1.3862943611198906</v>
      </c>
      <c r="F102" s="106" t="s">
        <v>77</v>
      </c>
      <c r="G102" s="73" t="e">
        <f>I97</f>
        <v>#VALUE!</v>
      </c>
      <c r="H102" s="127"/>
      <c r="I102" s="128" t="e">
        <f t="shared" si="17"/>
        <v>#VALUE!</v>
      </c>
    </row>
    <row r="103" spans="1:9" ht="15" customHeight="1">
      <c r="A103" s="65" t="e">
        <f t="shared" si="14"/>
        <v>#REF!</v>
      </c>
      <c r="B103" s="104">
        <f t="shared" si="13"/>
        <v>5125</v>
      </c>
      <c r="C103" s="126" t="e">
        <f t="shared" si="15"/>
        <v>#NUM!</v>
      </c>
      <c r="D103" s="67">
        <f t="shared" si="18"/>
        <v>5</v>
      </c>
      <c r="E103" s="67">
        <f t="shared" si="16"/>
        <v>1.6094379124341003</v>
      </c>
      <c r="F103" s="106" t="s">
        <v>38</v>
      </c>
      <c r="G103" s="131" t="e">
        <f>EXP(G100)</f>
        <v>#VALUE!</v>
      </c>
      <c r="H103" s="127"/>
      <c r="I103" s="128" t="e">
        <f t="shared" si="17"/>
        <v>#VALUE!</v>
      </c>
    </row>
    <row r="104" spans="1:9" ht="15" customHeight="1">
      <c r="A104" s="65" t="e">
        <f t="shared" si="14"/>
        <v>#REF!</v>
      </c>
      <c r="B104" s="104">
        <f t="shared" si="13"/>
        <v>4944</v>
      </c>
      <c r="C104" s="126" t="e">
        <f t="shared" si="15"/>
        <v>#NUM!</v>
      </c>
      <c r="D104" s="67">
        <f t="shared" si="18"/>
        <v>6</v>
      </c>
      <c r="E104" s="67">
        <f t="shared" si="16"/>
        <v>1.791759469228055</v>
      </c>
      <c r="F104" s="106"/>
      <c r="G104" s="53"/>
      <c r="H104" s="127"/>
      <c r="I104" s="128" t="e">
        <f t="shared" si="17"/>
        <v>#VALUE!</v>
      </c>
    </row>
    <row r="105" spans="1:9" ht="15" customHeight="1">
      <c r="A105" s="65" t="e">
        <f t="shared" si="14"/>
        <v>#REF!</v>
      </c>
      <c r="B105" s="104">
        <f t="shared" si="13"/>
        <v>4840</v>
      </c>
      <c r="C105" s="126" t="e">
        <f t="shared" si="15"/>
        <v>#NUM!</v>
      </c>
      <c r="D105" s="67">
        <f t="shared" si="18"/>
        <v>7</v>
      </c>
      <c r="E105" s="67">
        <f t="shared" si="16"/>
        <v>1.9459101490553132</v>
      </c>
      <c r="F105" s="106"/>
      <c r="G105" s="53"/>
      <c r="H105" s="127"/>
      <c r="I105" s="128" t="e">
        <f t="shared" si="17"/>
        <v>#VALUE!</v>
      </c>
    </row>
    <row r="106" spans="1:9" ht="15" customHeight="1">
      <c r="A106" s="65" t="e">
        <f t="shared" si="14"/>
        <v>#REF!</v>
      </c>
      <c r="B106" s="104">
        <f t="shared" si="13"/>
        <v>4706</v>
      </c>
      <c r="C106" s="126" t="e">
        <f t="shared" si="15"/>
        <v>#NUM!</v>
      </c>
      <c r="D106" s="67">
        <f t="shared" si="18"/>
        <v>8</v>
      </c>
      <c r="E106" s="67">
        <f t="shared" si="16"/>
        <v>2.0794415416798357</v>
      </c>
      <c r="F106" s="132" t="s">
        <v>85</v>
      </c>
      <c r="G106" s="53"/>
      <c r="H106" s="127"/>
      <c r="I106" s="128" t="e">
        <f t="shared" si="17"/>
        <v>#VALUE!</v>
      </c>
    </row>
    <row r="107" spans="1:9" ht="15" customHeight="1">
      <c r="A107" s="65" t="e">
        <f t="shared" si="14"/>
        <v>#REF!</v>
      </c>
      <c r="B107" s="104">
        <f t="shared" si="13"/>
        <v>4467</v>
      </c>
      <c r="C107" s="126" t="e">
        <f t="shared" si="15"/>
        <v>#NUM!</v>
      </c>
      <c r="D107" s="67">
        <f t="shared" si="18"/>
        <v>9</v>
      </c>
      <c r="E107" s="67">
        <f t="shared" si="16"/>
        <v>2.1972245773362196</v>
      </c>
      <c r="F107" s="132" t="s">
        <v>86</v>
      </c>
      <c r="G107" s="53"/>
      <c r="H107" s="127"/>
      <c r="I107" s="128" t="e">
        <f t="shared" si="17"/>
        <v>#VALUE!</v>
      </c>
    </row>
    <row r="108" spans="1:9" s="100" customFormat="1" ht="15" customHeight="1" thickBot="1">
      <c r="A108" s="97" t="e">
        <f t="shared" si="14"/>
        <v>#REF!</v>
      </c>
      <c r="B108" s="116">
        <f t="shared" si="13"/>
        <v>4212</v>
      </c>
      <c r="C108" s="126" t="e">
        <f t="shared" si="15"/>
        <v>#NUM!</v>
      </c>
      <c r="D108" s="99">
        <f t="shared" si="18"/>
        <v>10</v>
      </c>
      <c r="E108" s="99">
        <f t="shared" si="16"/>
        <v>2.3025850929940459</v>
      </c>
      <c r="F108" s="182"/>
      <c r="G108" s="101"/>
      <c r="H108" s="143"/>
      <c r="I108" s="144" t="e">
        <f t="shared" si="17"/>
        <v>#VALUE!</v>
      </c>
    </row>
    <row r="109" spans="1:9" s="78" customFormat="1" ht="15" customHeight="1" thickTop="1">
      <c r="A109" s="80">
        <v>2008</v>
      </c>
      <c r="B109" s="81" t="e">
        <f>ROUND(LOOKUP(0,D$98:D$108,B$98:B$108)+G$103*D109^G$99,0)</f>
        <v>#VALUE!</v>
      </c>
      <c r="C109" s="257"/>
      <c r="D109" s="77">
        <f t="shared" si="18"/>
        <v>11</v>
      </c>
      <c r="E109" s="77"/>
      <c r="F109" s="266"/>
      <c r="G109" s="256"/>
      <c r="H109" s="258"/>
      <c r="I109" s="133" t="e">
        <f t="shared" si="17"/>
        <v>#VALUE!</v>
      </c>
    </row>
    <row r="110" spans="1:9" ht="15" customHeight="1">
      <c r="A110" s="80">
        <v>2009</v>
      </c>
      <c r="B110" s="81" t="e">
        <f t="shared" ref="B110:B126" si="19">ROUND(LOOKUP(0,D$98:D$108,B$98:B$108)+G$103*D110^G$99,0)</f>
        <v>#VALUE!</v>
      </c>
      <c r="C110" s="134"/>
      <c r="D110" s="67">
        <f t="shared" si="18"/>
        <v>12</v>
      </c>
      <c r="E110" s="67"/>
      <c r="F110" s="83"/>
      <c r="G110" s="69"/>
      <c r="H110" s="84"/>
      <c r="I110" s="128" t="e">
        <f t="shared" si="17"/>
        <v>#VALUE!</v>
      </c>
    </row>
    <row r="111" spans="1:9" ht="15" customHeight="1">
      <c r="A111" s="80">
        <v>2010</v>
      </c>
      <c r="B111" s="81" t="e">
        <f t="shared" si="19"/>
        <v>#VALUE!</v>
      </c>
      <c r="C111" s="134"/>
      <c r="D111" s="67">
        <f t="shared" si="18"/>
        <v>13</v>
      </c>
      <c r="E111" s="67"/>
      <c r="F111" s="83"/>
      <c r="G111" s="69"/>
      <c r="H111" s="84"/>
      <c r="I111" s="128" t="e">
        <f t="shared" si="17"/>
        <v>#VALUE!</v>
      </c>
    </row>
    <row r="112" spans="1:9" ht="15" customHeight="1">
      <c r="A112" s="80">
        <v>2011</v>
      </c>
      <c r="B112" s="81" t="e">
        <f t="shared" si="19"/>
        <v>#VALUE!</v>
      </c>
      <c r="C112" s="134"/>
      <c r="D112" s="67">
        <f t="shared" si="18"/>
        <v>14</v>
      </c>
      <c r="E112" s="67"/>
      <c r="F112" s="83"/>
      <c r="G112" s="69"/>
      <c r="H112" s="84"/>
      <c r="I112" s="128" t="e">
        <f t="shared" si="17"/>
        <v>#VALUE!</v>
      </c>
    </row>
    <row r="113" spans="1:9" ht="15" customHeight="1">
      <c r="A113" s="80">
        <v>2012</v>
      </c>
      <c r="B113" s="81" t="e">
        <f t="shared" si="19"/>
        <v>#VALUE!</v>
      </c>
      <c r="C113" s="134"/>
      <c r="D113" s="67">
        <f t="shared" si="18"/>
        <v>15</v>
      </c>
      <c r="E113" s="67"/>
      <c r="F113" s="83"/>
      <c r="G113" s="69"/>
      <c r="H113" s="84"/>
      <c r="I113" s="128" t="e">
        <f t="shared" si="17"/>
        <v>#VALUE!</v>
      </c>
    </row>
    <row r="114" spans="1:9" ht="15" customHeight="1">
      <c r="A114" s="80">
        <v>2013</v>
      </c>
      <c r="B114" s="81" t="e">
        <f t="shared" si="19"/>
        <v>#VALUE!</v>
      </c>
      <c r="C114" s="134"/>
      <c r="D114" s="67">
        <f t="shared" si="18"/>
        <v>16</v>
      </c>
      <c r="E114" s="67"/>
      <c r="F114" s="83"/>
      <c r="G114" s="69"/>
      <c r="H114" s="84"/>
      <c r="I114" s="128" t="e">
        <f t="shared" si="17"/>
        <v>#VALUE!</v>
      </c>
    </row>
    <row r="115" spans="1:9" ht="15" customHeight="1">
      <c r="A115" s="80">
        <v>2014</v>
      </c>
      <c r="B115" s="81" t="e">
        <f t="shared" si="19"/>
        <v>#VALUE!</v>
      </c>
      <c r="C115" s="134"/>
      <c r="D115" s="67">
        <f t="shared" si="18"/>
        <v>17</v>
      </c>
      <c r="E115" s="67"/>
      <c r="F115" s="83"/>
      <c r="G115" s="69"/>
      <c r="H115" s="84"/>
      <c r="I115" s="128" t="e">
        <f t="shared" si="17"/>
        <v>#VALUE!</v>
      </c>
    </row>
    <row r="116" spans="1:9" ht="15" customHeight="1">
      <c r="A116" s="80">
        <v>2015</v>
      </c>
      <c r="B116" s="81" t="e">
        <f t="shared" si="19"/>
        <v>#VALUE!</v>
      </c>
      <c r="C116" s="134"/>
      <c r="D116" s="67">
        <f t="shared" si="18"/>
        <v>18</v>
      </c>
      <c r="E116" s="67"/>
      <c r="F116" s="83"/>
      <c r="G116" s="69"/>
      <c r="H116" s="84"/>
      <c r="I116" s="128" t="e">
        <f t="shared" si="17"/>
        <v>#VALUE!</v>
      </c>
    </row>
    <row r="117" spans="1:9" ht="15" customHeight="1">
      <c r="A117" s="80">
        <v>2016</v>
      </c>
      <c r="B117" s="81" t="e">
        <f t="shared" si="19"/>
        <v>#VALUE!</v>
      </c>
      <c r="C117" s="134"/>
      <c r="D117" s="67">
        <f t="shared" si="18"/>
        <v>19</v>
      </c>
      <c r="E117" s="67"/>
      <c r="F117" s="83"/>
      <c r="G117" s="69"/>
      <c r="H117" s="84"/>
      <c r="I117" s="128" t="e">
        <f t="shared" si="17"/>
        <v>#VALUE!</v>
      </c>
    </row>
    <row r="118" spans="1:9" ht="15" customHeight="1">
      <c r="A118" s="80">
        <v>2017</v>
      </c>
      <c r="B118" s="81" t="e">
        <f t="shared" si="19"/>
        <v>#VALUE!</v>
      </c>
      <c r="C118" s="134"/>
      <c r="D118" s="67">
        <f t="shared" si="18"/>
        <v>20</v>
      </c>
      <c r="E118" s="67"/>
      <c r="F118" s="83"/>
      <c r="G118" s="69"/>
      <c r="H118" s="84"/>
      <c r="I118" s="128" t="e">
        <f t="shared" si="17"/>
        <v>#VALUE!</v>
      </c>
    </row>
    <row r="119" spans="1:9" ht="15" customHeight="1">
      <c r="A119" s="80">
        <v>2018</v>
      </c>
      <c r="B119" s="81" t="e">
        <f t="shared" si="19"/>
        <v>#VALUE!</v>
      </c>
      <c r="C119" s="134"/>
      <c r="D119" s="67">
        <f t="shared" si="18"/>
        <v>21</v>
      </c>
      <c r="E119" s="67"/>
      <c r="F119" s="83"/>
      <c r="G119" s="69"/>
      <c r="H119" s="84"/>
      <c r="I119" s="128" t="e">
        <f t="shared" si="17"/>
        <v>#VALUE!</v>
      </c>
    </row>
    <row r="120" spans="1:9" ht="15" customHeight="1">
      <c r="A120" s="80">
        <v>2019</v>
      </c>
      <c r="B120" s="81" t="e">
        <f t="shared" si="19"/>
        <v>#VALUE!</v>
      </c>
      <c r="C120" s="134"/>
      <c r="D120" s="67">
        <f t="shared" si="18"/>
        <v>22</v>
      </c>
      <c r="E120" s="67"/>
      <c r="F120" s="83"/>
      <c r="G120" s="69"/>
      <c r="H120" s="84"/>
      <c r="I120" s="128" t="e">
        <f t="shared" si="17"/>
        <v>#VALUE!</v>
      </c>
    </row>
    <row r="121" spans="1:9" ht="15" customHeight="1">
      <c r="A121" s="80">
        <v>2020</v>
      </c>
      <c r="B121" s="81" t="e">
        <f t="shared" si="19"/>
        <v>#VALUE!</v>
      </c>
      <c r="C121" s="134"/>
      <c r="D121" s="67">
        <f t="shared" si="18"/>
        <v>23</v>
      </c>
      <c r="E121" s="67"/>
      <c r="F121" s="83"/>
      <c r="G121" s="69"/>
      <c r="H121" s="84"/>
      <c r="I121" s="128" t="e">
        <f t="shared" si="17"/>
        <v>#VALUE!</v>
      </c>
    </row>
    <row r="122" spans="1:9" ht="15" customHeight="1">
      <c r="A122" s="80">
        <v>2021</v>
      </c>
      <c r="B122" s="81" t="e">
        <f t="shared" si="19"/>
        <v>#VALUE!</v>
      </c>
      <c r="C122" s="134"/>
      <c r="D122" s="67">
        <f t="shared" si="18"/>
        <v>24</v>
      </c>
      <c r="E122" s="67"/>
      <c r="F122" s="83"/>
      <c r="G122" s="69"/>
      <c r="H122" s="84"/>
      <c r="I122" s="128" t="e">
        <f t="shared" si="17"/>
        <v>#VALUE!</v>
      </c>
    </row>
    <row r="123" spans="1:9" ht="15" customHeight="1">
      <c r="A123" s="80">
        <v>2022</v>
      </c>
      <c r="B123" s="81" t="e">
        <f t="shared" si="19"/>
        <v>#VALUE!</v>
      </c>
      <c r="C123" s="134"/>
      <c r="D123" s="67">
        <f t="shared" si="18"/>
        <v>25</v>
      </c>
      <c r="E123" s="67"/>
      <c r="F123" s="83"/>
      <c r="G123" s="69"/>
      <c r="H123" s="84"/>
      <c r="I123" s="128" t="e">
        <f t="shared" si="17"/>
        <v>#VALUE!</v>
      </c>
    </row>
    <row r="124" spans="1:9" ht="15" customHeight="1">
      <c r="A124" s="80">
        <v>2023</v>
      </c>
      <c r="B124" s="81" t="e">
        <f t="shared" si="19"/>
        <v>#VALUE!</v>
      </c>
      <c r="C124" s="134"/>
      <c r="D124" s="67">
        <f t="shared" si="18"/>
        <v>26</v>
      </c>
      <c r="E124" s="67"/>
      <c r="F124" s="83"/>
      <c r="G124" s="69"/>
      <c r="H124" s="84"/>
      <c r="I124" s="128" t="e">
        <f t="shared" si="17"/>
        <v>#VALUE!</v>
      </c>
    </row>
    <row r="125" spans="1:9" ht="15" customHeight="1">
      <c r="A125" s="80">
        <v>2024</v>
      </c>
      <c r="B125" s="81" t="e">
        <f t="shared" si="19"/>
        <v>#VALUE!</v>
      </c>
      <c r="C125" s="135"/>
      <c r="D125" s="67">
        <f t="shared" si="18"/>
        <v>27</v>
      </c>
      <c r="E125" s="67"/>
      <c r="F125" s="69"/>
      <c r="G125" s="69"/>
      <c r="H125" s="69"/>
      <c r="I125" s="136" t="e">
        <f t="shared" si="17"/>
        <v>#VALUE!</v>
      </c>
    </row>
    <row r="126" spans="1:9" ht="15" customHeight="1">
      <c r="A126" s="85">
        <v>2025</v>
      </c>
      <c r="B126" s="86" t="e">
        <f t="shared" si="19"/>
        <v>#VALUE!</v>
      </c>
      <c r="C126" s="137"/>
      <c r="D126" s="87">
        <f t="shared" si="18"/>
        <v>28</v>
      </c>
      <c r="E126" s="87"/>
      <c r="F126" s="89"/>
      <c r="G126" s="89"/>
      <c r="H126" s="89"/>
      <c r="I126" s="138" t="e">
        <f t="shared" si="17"/>
        <v>#VALUE!</v>
      </c>
    </row>
    <row r="127" spans="1:9" ht="15" customHeight="1">
      <c r="A127" s="56" t="s">
        <v>87</v>
      </c>
      <c r="B127" s="57"/>
    </row>
    <row r="128" spans="1:9" ht="15" customHeight="1">
      <c r="A128" s="58" t="s">
        <v>32</v>
      </c>
      <c r="B128" s="59" t="s">
        <v>40</v>
      </c>
      <c r="C128" s="59" t="s">
        <v>36</v>
      </c>
      <c r="D128" s="59" t="s">
        <v>33</v>
      </c>
      <c r="E128" s="103"/>
      <c r="F128" s="60"/>
      <c r="G128" s="61"/>
      <c r="H128" s="63" t="s">
        <v>273</v>
      </c>
      <c r="I128" s="64">
        <f>RSQ(I129:I139,B129:B139)</f>
        <v>0.99002995467514288</v>
      </c>
    </row>
    <row r="129" spans="1:9" ht="15" customHeight="1">
      <c r="A129" s="65">
        <v>1997</v>
      </c>
      <c r="B129" s="104">
        <f t="shared" ref="B129:B139" si="20">+B5</f>
        <v>6394</v>
      </c>
      <c r="C129" s="126">
        <f t="shared" ref="C129:C139" si="21">LN(F$133/B129-1)</f>
        <v>0</v>
      </c>
      <c r="D129" s="67">
        <v>0</v>
      </c>
      <c r="E129" s="106"/>
      <c r="F129" s="53"/>
      <c r="G129" s="69"/>
      <c r="H129" s="265"/>
      <c r="I129" s="267">
        <f t="shared" ref="I129:I157" si="22">$F$133/(1+EXP($F$131+$F$130*D129))</f>
        <v>6338.6988379966197</v>
      </c>
    </row>
    <row r="130" spans="1:9" ht="15" customHeight="1">
      <c r="A130" s="65" t="e">
        <f t="shared" ref="A130:A139" si="23">A6</f>
        <v>#REF!</v>
      </c>
      <c r="B130" s="104">
        <f t="shared" si="20"/>
        <v>6192</v>
      </c>
      <c r="C130" s="126">
        <f t="shared" si="21"/>
        <v>6.320526840992631E-2</v>
      </c>
      <c r="D130" s="67">
        <f>+D129+1</f>
        <v>1</v>
      </c>
      <c r="E130" s="106" t="s">
        <v>75</v>
      </c>
      <c r="F130" s="139">
        <f>INDEX(LINEST(C129:C139,D129:D139),1)</f>
        <v>6.9314972036300423E-2</v>
      </c>
      <c r="G130" s="140" t="s">
        <v>88</v>
      </c>
      <c r="H130" s="127"/>
      <c r="I130" s="128">
        <f t="shared" si="22"/>
        <v>6117.2704704657217</v>
      </c>
    </row>
    <row r="131" spans="1:9" ht="15" customHeight="1">
      <c r="A131" s="65" t="e">
        <f t="shared" si="23"/>
        <v>#REF!</v>
      </c>
      <c r="B131" s="104">
        <f t="shared" si="20"/>
        <v>5927</v>
      </c>
      <c r="C131" s="126">
        <f t="shared" si="21"/>
        <v>0.14633502090305286</v>
      </c>
      <c r="D131" s="67">
        <f t="shared" ref="D131:D157" si="24">D130+1</f>
        <v>2</v>
      </c>
      <c r="E131" s="106" t="s">
        <v>76</v>
      </c>
      <c r="F131" s="139">
        <f>INDEX(LINEST(C129:C139,D129:D139),2)</f>
        <v>1.7298261174952589E-2</v>
      </c>
      <c r="G131" s="69"/>
      <c r="H131" s="127"/>
      <c r="I131" s="128">
        <f t="shared" si="22"/>
        <v>5896.5051107883201</v>
      </c>
    </row>
    <row r="132" spans="1:9" ht="15" customHeight="1">
      <c r="A132" s="65" t="e">
        <f t="shared" si="23"/>
        <v>#REF!</v>
      </c>
      <c r="B132" s="104">
        <f t="shared" si="20"/>
        <v>5619</v>
      </c>
      <c r="C132" s="126">
        <f t="shared" si="21"/>
        <v>0.24361246274067394</v>
      </c>
      <c r="D132" s="67">
        <f t="shared" si="24"/>
        <v>3</v>
      </c>
      <c r="E132" s="106" t="s">
        <v>77</v>
      </c>
      <c r="F132" s="73">
        <f>I128</f>
        <v>0.99002995467514288</v>
      </c>
      <c r="G132" s="69"/>
      <c r="H132" s="127"/>
      <c r="I132" s="128">
        <f t="shared" si="22"/>
        <v>5676.9266974174088</v>
      </c>
    </row>
    <row r="133" spans="1:9" ht="15" customHeight="1">
      <c r="A133" s="65" t="e">
        <f t="shared" si="23"/>
        <v>#REF!</v>
      </c>
      <c r="B133" s="104">
        <f t="shared" si="20"/>
        <v>5393</v>
      </c>
      <c r="C133" s="126">
        <f t="shared" si="21"/>
        <v>0.31570227980767301</v>
      </c>
      <c r="D133" s="67">
        <f t="shared" si="24"/>
        <v>4</v>
      </c>
      <c r="E133" s="106" t="s">
        <v>39</v>
      </c>
      <c r="F133" s="110">
        <f>MAX(B129:B139)*2</f>
        <v>12788</v>
      </c>
      <c r="G133" s="69"/>
      <c r="H133" s="127"/>
      <c r="I133" s="128">
        <f t="shared" si="22"/>
        <v>5459.0478958078584</v>
      </c>
    </row>
    <row r="134" spans="1:9" ht="15" customHeight="1">
      <c r="A134" s="65" t="e">
        <f t="shared" si="23"/>
        <v>#REF!</v>
      </c>
      <c r="B134" s="104">
        <f t="shared" si="20"/>
        <v>5125</v>
      </c>
      <c r="C134" s="126">
        <f t="shared" si="21"/>
        <v>0.40227302696379541</v>
      </c>
      <c r="D134" s="67">
        <f t="shared" si="24"/>
        <v>5</v>
      </c>
      <c r="E134" s="106"/>
      <c r="F134" s="53"/>
      <c r="G134" s="69"/>
      <c r="H134" s="127"/>
      <c r="I134" s="128">
        <f t="shared" si="22"/>
        <v>5243.3653881869741</v>
      </c>
    </row>
    <row r="135" spans="1:9" ht="15" customHeight="1">
      <c r="A135" s="65" t="e">
        <f t="shared" si="23"/>
        <v>#REF!</v>
      </c>
      <c r="B135" s="104">
        <f t="shared" si="20"/>
        <v>4944</v>
      </c>
      <c r="C135" s="126">
        <f t="shared" si="21"/>
        <v>0.46157418817871021</v>
      </c>
      <c r="D135" s="67">
        <f t="shared" si="24"/>
        <v>6</v>
      </c>
      <c r="E135" s="106"/>
      <c r="F135" s="53"/>
      <c r="G135" s="69"/>
      <c r="H135" s="127"/>
      <c r="I135" s="128">
        <f t="shared" si="22"/>
        <v>5030.3554797088791</v>
      </c>
    </row>
    <row r="136" spans="1:9" ht="15" customHeight="1">
      <c r="A136" s="65" t="e">
        <f t="shared" si="23"/>
        <v>#REF!</v>
      </c>
      <c r="B136" s="104">
        <f t="shared" si="20"/>
        <v>4840</v>
      </c>
      <c r="C136" s="126">
        <f t="shared" si="21"/>
        <v>0.49600560396103016</v>
      </c>
      <c r="D136" s="67">
        <f t="shared" si="24"/>
        <v>7</v>
      </c>
      <c r="E136" s="132" t="s">
        <v>89</v>
      </c>
      <c r="F136" s="53"/>
      <c r="G136" s="69"/>
      <c r="H136" s="127"/>
      <c r="I136" s="128">
        <f t="shared" si="22"/>
        <v>4820.4701005760353</v>
      </c>
    </row>
    <row r="137" spans="1:9" ht="15" customHeight="1">
      <c r="A137" s="65" t="e">
        <f t="shared" si="23"/>
        <v>#REF!</v>
      </c>
      <c r="B137" s="104">
        <f t="shared" si="20"/>
        <v>4706</v>
      </c>
      <c r="C137" s="126">
        <f t="shared" si="21"/>
        <v>0.54080107635111119</v>
      </c>
      <c r="D137" s="67">
        <f t="shared" si="24"/>
        <v>8</v>
      </c>
      <c r="E137" s="132" t="s">
        <v>90</v>
      </c>
      <c r="F137" s="53"/>
      <c r="G137" s="69"/>
      <c r="H137" s="127"/>
      <c r="I137" s="128">
        <f t="shared" si="22"/>
        <v>4614.1332707152133</v>
      </c>
    </row>
    <row r="138" spans="1:9" ht="15" customHeight="1">
      <c r="A138" s="65" t="e">
        <f t="shared" si="23"/>
        <v>#REF!</v>
      </c>
      <c r="B138" s="104">
        <f t="shared" si="20"/>
        <v>4467</v>
      </c>
      <c r="C138" s="126">
        <f t="shared" si="21"/>
        <v>0.62206539754831125</v>
      </c>
      <c r="D138" s="67">
        <f t="shared" si="24"/>
        <v>9</v>
      </c>
      <c r="E138" s="132"/>
      <c r="F138" s="53"/>
      <c r="G138" s="69"/>
      <c r="H138" s="127"/>
      <c r="I138" s="128">
        <f t="shared" si="22"/>
        <v>4411.7380788784239</v>
      </c>
    </row>
    <row r="139" spans="1:9" ht="15" customHeight="1" thickBot="1">
      <c r="A139" s="97" t="e">
        <f t="shared" si="23"/>
        <v>#REF!</v>
      </c>
      <c r="B139" s="116">
        <f t="shared" si="20"/>
        <v>4212</v>
      </c>
      <c r="C139" s="141">
        <f t="shared" si="21"/>
        <v>0.71103001005671707</v>
      </c>
      <c r="D139" s="99">
        <f t="shared" si="24"/>
        <v>10</v>
      </c>
      <c r="E139" s="182"/>
      <c r="F139" s="101"/>
      <c r="G139" s="100"/>
      <c r="H139" s="143"/>
      <c r="I139" s="144">
        <f t="shared" si="22"/>
        <v>4213.64421229866</v>
      </c>
    </row>
    <row r="140" spans="1:9" ht="15" customHeight="1" thickTop="1">
      <c r="A140" s="80">
        <v>2008</v>
      </c>
      <c r="B140" s="81">
        <f t="shared" ref="B140:B157" si="25">ROUND(F$133/(1+EXP(F$131+F$130*D140)),0)</f>
        <v>4020</v>
      </c>
      <c r="C140" s="257"/>
      <c r="D140" s="77">
        <f t="shared" si="24"/>
        <v>11</v>
      </c>
      <c r="E140" s="266"/>
      <c r="F140" s="256"/>
      <c r="G140" s="78"/>
      <c r="H140" s="258"/>
      <c r="I140" s="133">
        <f t="shared" si="22"/>
        <v>4020.1760569741373</v>
      </c>
    </row>
    <row r="141" spans="1:9" ht="15" customHeight="1">
      <c r="A141" s="80">
        <v>2009</v>
      </c>
      <c r="B141" s="81">
        <f t="shared" si="25"/>
        <v>3832</v>
      </c>
      <c r="C141" s="134"/>
      <c r="D141" s="67">
        <f t="shared" si="24"/>
        <v>12</v>
      </c>
      <c r="E141" s="83"/>
      <c r="F141" s="69"/>
      <c r="G141" s="69"/>
      <c r="H141" s="84"/>
      <c r="I141" s="128">
        <f t="shared" si="22"/>
        <v>3831.6213729593587</v>
      </c>
    </row>
    <row r="142" spans="1:9" ht="15" customHeight="1">
      <c r="A142" s="80">
        <v>2010</v>
      </c>
      <c r="B142" s="81">
        <f t="shared" si="25"/>
        <v>3648</v>
      </c>
      <c r="C142" s="134"/>
      <c r="D142" s="67">
        <f t="shared" si="24"/>
        <v>13</v>
      </c>
      <c r="E142" s="83"/>
      <c r="F142" s="69"/>
      <c r="G142" s="69"/>
      <c r="H142" s="84"/>
      <c r="I142" s="128">
        <f t="shared" si="22"/>
        <v>3648.2305343134985</v>
      </c>
    </row>
    <row r="143" spans="1:9" ht="15" customHeight="1">
      <c r="A143" s="80">
        <v>2011</v>
      </c>
      <c r="B143" s="81">
        <f t="shared" si="25"/>
        <v>3470</v>
      </c>
      <c r="C143" s="134"/>
      <c r="D143" s="67">
        <f t="shared" si="24"/>
        <v>14</v>
      </c>
      <c r="E143" s="83"/>
      <c r="F143" s="69"/>
      <c r="G143" s="69"/>
      <c r="H143" s="84"/>
      <c r="I143" s="128">
        <f t="shared" si="22"/>
        <v>3470.2163101043157</v>
      </c>
    </row>
    <row r="144" spans="1:9" ht="15" customHeight="1">
      <c r="A144" s="80">
        <v>2012</v>
      </c>
      <c r="B144" s="81">
        <f t="shared" si="25"/>
        <v>3298</v>
      </c>
      <c r="C144" s="134"/>
      <c r="D144" s="67">
        <f t="shared" si="24"/>
        <v>15</v>
      </c>
      <c r="E144" s="83"/>
      <c r="F144" s="69"/>
      <c r="G144" s="69"/>
      <c r="H144" s="84"/>
      <c r="I144" s="128">
        <f t="shared" si="22"/>
        <v>3297.7541514782065</v>
      </c>
    </row>
    <row r="145" spans="1:10" ht="15" customHeight="1">
      <c r="A145" s="80">
        <v>2013</v>
      </c>
      <c r="B145" s="81">
        <f t="shared" si="25"/>
        <v>3131</v>
      </c>
      <c r="C145" s="134"/>
      <c r="D145" s="67">
        <f t="shared" si="24"/>
        <v>16</v>
      </c>
      <c r="E145" s="83"/>
      <c r="F145" s="69"/>
      <c r="G145" s="69"/>
      <c r="H145" s="84"/>
      <c r="I145" s="128">
        <f t="shared" si="22"/>
        <v>3130.9829405453238</v>
      </c>
    </row>
    <row r="146" spans="1:10" ht="15" customHeight="1">
      <c r="A146" s="80">
        <v>2014</v>
      </c>
      <c r="B146" s="81">
        <f t="shared" si="25"/>
        <v>2970</v>
      </c>
      <c r="C146" s="134"/>
      <c r="D146" s="67">
        <f t="shared" si="24"/>
        <v>17</v>
      </c>
      <c r="E146" s="83"/>
      <c r="F146" s="69"/>
      <c r="G146" s="69"/>
      <c r="H146" s="84"/>
      <c r="I146" s="128">
        <f t="shared" si="22"/>
        <v>2970.0061498257469</v>
      </c>
    </row>
    <row r="147" spans="1:10" ht="15" customHeight="1">
      <c r="A147" s="80">
        <v>2015</v>
      </c>
      <c r="B147" s="81">
        <f t="shared" si="25"/>
        <v>2815</v>
      </c>
      <c r="C147" s="134"/>
      <c r="D147" s="67">
        <f t="shared" si="24"/>
        <v>18</v>
      </c>
      <c r="E147" s="83"/>
      <c r="F147" s="69"/>
      <c r="G147" s="69"/>
      <c r="H147" s="84"/>
      <c r="I147" s="128">
        <f t="shared" si="22"/>
        <v>2814.8933562718453</v>
      </c>
    </row>
    <row r="148" spans="1:10" ht="15" customHeight="1">
      <c r="A148" s="80">
        <v>2016</v>
      </c>
      <c r="B148" s="81">
        <f t="shared" si="25"/>
        <v>2666</v>
      </c>
      <c r="C148" s="134"/>
      <c r="D148" s="67">
        <f t="shared" si="24"/>
        <v>19</v>
      </c>
      <c r="E148" s="83"/>
      <c r="F148" s="69"/>
      <c r="G148" s="69"/>
      <c r="H148" s="84"/>
      <c r="I148" s="128">
        <f t="shared" si="22"/>
        <v>2665.6820513316952</v>
      </c>
    </row>
    <row r="149" spans="1:10" ht="15" customHeight="1">
      <c r="A149" s="80">
        <v>2017</v>
      </c>
      <c r="B149" s="81">
        <f t="shared" si="25"/>
        <v>2522</v>
      </c>
      <c r="C149" s="134"/>
      <c r="D149" s="67">
        <f t="shared" si="24"/>
        <v>20</v>
      </c>
      <c r="E149" s="83"/>
      <c r="F149" s="69"/>
      <c r="G149" s="69"/>
      <c r="H149" s="84"/>
      <c r="I149" s="128">
        <f t="shared" si="22"/>
        <v>2522.3796879719407</v>
      </c>
    </row>
    <row r="150" spans="1:10" ht="15" customHeight="1">
      <c r="A150" s="80">
        <v>2018</v>
      </c>
      <c r="B150" s="81">
        <f t="shared" si="25"/>
        <v>2385</v>
      </c>
      <c r="C150" s="134"/>
      <c r="D150" s="67">
        <f t="shared" si="24"/>
        <v>21</v>
      </c>
      <c r="E150" s="83"/>
      <c r="F150" s="69"/>
      <c r="G150" s="69"/>
      <c r="H150" s="84"/>
      <c r="I150" s="128">
        <f t="shared" si="22"/>
        <v>2384.9659067955563</v>
      </c>
    </row>
    <row r="151" spans="1:10" ht="15" customHeight="1">
      <c r="A151" s="80">
        <v>2019</v>
      </c>
      <c r="B151" s="81">
        <f t="shared" si="25"/>
        <v>2253</v>
      </c>
      <c r="C151" s="134"/>
      <c r="D151" s="67">
        <f t="shared" si="24"/>
        <v>22</v>
      </c>
      <c r="E151" s="83"/>
      <c r="F151" s="69"/>
      <c r="G151" s="69"/>
      <c r="H151" s="84"/>
      <c r="I151" s="128">
        <f t="shared" si="22"/>
        <v>2253.3948860888886</v>
      </c>
    </row>
    <row r="152" spans="1:10" ht="15" customHeight="1">
      <c r="A152" s="80">
        <v>2020</v>
      </c>
      <c r="B152" s="81">
        <f t="shared" si="25"/>
        <v>2128</v>
      </c>
      <c r="C152" s="134"/>
      <c r="D152" s="67">
        <f t="shared" si="24"/>
        <v>23</v>
      </c>
      <c r="E152" s="83"/>
      <c r="F152" s="69"/>
      <c r="G152" s="69"/>
      <c r="H152" s="84"/>
      <c r="I152" s="128">
        <f t="shared" si="22"/>
        <v>2127.5977645110952</v>
      </c>
    </row>
    <row r="153" spans="1:10" ht="15" customHeight="1">
      <c r="A153" s="80">
        <v>2021</v>
      </c>
      <c r="B153" s="81">
        <f t="shared" si="25"/>
        <v>2007</v>
      </c>
      <c r="C153" s="134"/>
      <c r="D153" s="67">
        <f t="shared" si="24"/>
        <v>24</v>
      </c>
      <c r="E153" s="83"/>
      <c r="F153" s="69"/>
      <c r="G153" s="69"/>
      <c r="H153" s="84"/>
      <c r="I153" s="128">
        <f t="shared" si="22"/>
        <v>2007.4850898935194</v>
      </c>
    </row>
    <row r="154" spans="1:10" ht="15" customHeight="1">
      <c r="A154" s="80">
        <v>2022</v>
      </c>
      <c r="B154" s="81">
        <f t="shared" si="25"/>
        <v>1893</v>
      </c>
      <c r="C154" s="134"/>
      <c r="D154" s="67">
        <f t="shared" si="24"/>
        <v>25</v>
      </c>
      <c r="E154" s="83"/>
      <c r="F154" s="69"/>
      <c r="G154" s="69"/>
      <c r="H154" s="84"/>
      <c r="I154" s="128">
        <f t="shared" si="22"/>
        <v>1892.9492529560293</v>
      </c>
    </row>
    <row r="155" spans="1:10" ht="15" customHeight="1">
      <c r="A155" s="80">
        <v>2023</v>
      </c>
      <c r="B155" s="81">
        <f t="shared" si="25"/>
        <v>1784</v>
      </c>
      <c r="C155" s="134"/>
      <c r="D155" s="67">
        <f t="shared" si="24"/>
        <v>26</v>
      </c>
      <c r="E155" s="83"/>
      <c r="F155" s="69"/>
      <c r="G155" s="69"/>
      <c r="H155" s="84"/>
      <c r="I155" s="128">
        <f t="shared" si="22"/>
        <v>1783.8668704059337</v>
      </c>
    </row>
    <row r="156" spans="1:10" ht="15" customHeight="1">
      <c r="A156" s="80">
        <v>2024</v>
      </c>
      <c r="B156" s="81">
        <f t="shared" si="25"/>
        <v>1680</v>
      </c>
      <c r="C156" s="135"/>
      <c r="D156" s="67">
        <f t="shared" si="24"/>
        <v>27</v>
      </c>
      <c r="E156" s="69"/>
      <c r="F156" s="69"/>
      <c r="G156" s="69"/>
      <c r="H156" s="69"/>
      <c r="I156" s="136">
        <f t="shared" si="22"/>
        <v>1680.101087629959</v>
      </c>
    </row>
    <row r="157" spans="1:10" ht="15" customHeight="1">
      <c r="A157" s="85">
        <v>2025</v>
      </c>
      <c r="B157" s="86">
        <f t="shared" si="25"/>
        <v>1582</v>
      </c>
      <c r="C157" s="137"/>
      <c r="D157" s="87">
        <f t="shared" si="24"/>
        <v>28</v>
      </c>
      <c r="E157" s="89"/>
      <c r="F157" s="89"/>
      <c r="G157" s="89"/>
      <c r="H157" s="89"/>
      <c r="I157" s="138">
        <f t="shared" si="22"/>
        <v>1581.5037768255656</v>
      </c>
    </row>
    <row r="158" spans="1:10" ht="15" customHeight="1">
      <c r="A158" s="56" t="s">
        <v>274</v>
      </c>
      <c r="B158" s="57"/>
    </row>
    <row r="159" spans="1:10" ht="15" customHeight="1">
      <c r="A159" s="56"/>
      <c r="B159" s="57"/>
    </row>
    <row r="160" spans="1:10" ht="24">
      <c r="A160" s="145" t="s">
        <v>32</v>
      </c>
      <c r="B160" s="146" t="s">
        <v>91</v>
      </c>
      <c r="C160" s="147" t="s">
        <v>72</v>
      </c>
      <c r="D160" s="147" t="s">
        <v>92</v>
      </c>
      <c r="E160" s="147" t="s">
        <v>93</v>
      </c>
      <c r="F160" s="147" t="s">
        <v>94</v>
      </c>
      <c r="G160" s="147" t="s">
        <v>95</v>
      </c>
      <c r="H160" s="148" t="s">
        <v>96</v>
      </c>
      <c r="I160" s="149" t="s">
        <v>275</v>
      </c>
      <c r="J160" s="150" t="s">
        <v>276</v>
      </c>
    </row>
    <row r="161" spans="1:12" ht="20.100000000000001" customHeight="1">
      <c r="A161" s="65">
        <v>2008</v>
      </c>
      <c r="B161" s="151">
        <f t="shared" ref="B161:B178" si="26">B16</f>
        <v>3994</v>
      </c>
      <c r="C161" s="152">
        <f t="shared" ref="C161:C178" si="27">B47</f>
        <v>3976</v>
      </c>
      <c r="D161" s="152">
        <f t="shared" ref="D161:D178" si="28">B78</f>
        <v>4040</v>
      </c>
      <c r="E161" s="268"/>
      <c r="F161" s="152">
        <f t="shared" ref="F161:F178" si="29">B140</f>
        <v>4020</v>
      </c>
      <c r="G161" s="152">
        <f t="shared" ref="G161:G178" si="30">ROUND(AVERAGE(B161:F161),1)</f>
        <v>4007.5</v>
      </c>
      <c r="H161" s="152">
        <f t="shared" ref="H161:H178" si="31">ROUND((SUM(B161:F161)-MAX(B161:F161)-MIN(B161:F161))/(COUNT(B161:F161)-2),1)</f>
        <v>4007</v>
      </c>
      <c r="I161" s="153">
        <f t="shared" ref="I161:I178" si="32">ROUND(SUMIF(B$179:H$179,"○",B161:H161),0)</f>
        <v>4008</v>
      </c>
      <c r="J161" s="261"/>
    </row>
    <row r="162" spans="1:12" ht="20.100000000000001" customHeight="1">
      <c r="A162" s="80">
        <v>2009</v>
      </c>
      <c r="B162" s="151">
        <f t="shared" si="26"/>
        <v>3776</v>
      </c>
      <c r="C162" s="152">
        <f t="shared" si="27"/>
        <v>3762</v>
      </c>
      <c r="D162" s="152">
        <f t="shared" si="28"/>
        <v>3875</v>
      </c>
      <c r="E162" s="268"/>
      <c r="F162" s="152">
        <f t="shared" si="29"/>
        <v>3832</v>
      </c>
      <c r="G162" s="152">
        <f t="shared" si="30"/>
        <v>3811.3</v>
      </c>
      <c r="H162" s="152">
        <f t="shared" si="31"/>
        <v>3804</v>
      </c>
      <c r="I162" s="153">
        <f t="shared" si="32"/>
        <v>3811</v>
      </c>
      <c r="J162" s="154"/>
    </row>
    <row r="163" spans="1:12" ht="20.100000000000001" customHeight="1">
      <c r="A163" s="80">
        <v>2010</v>
      </c>
      <c r="B163" s="151">
        <f t="shared" si="26"/>
        <v>3557</v>
      </c>
      <c r="C163" s="152">
        <f t="shared" si="27"/>
        <v>3549</v>
      </c>
      <c r="D163" s="152">
        <f t="shared" si="28"/>
        <v>3716</v>
      </c>
      <c r="E163" s="268"/>
      <c r="F163" s="152">
        <f t="shared" si="29"/>
        <v>3648</v>
      </c>
      <c r="G163" s="152">
        <f t="shared" si="30"/>
        <v>3617.5</v>
      </c>
      <c r="H163" s="152">
        <f t="shared" si="31"/>
        <v>3602.5</v>
      </c>
      <c r="I163" s="153">
        <f t="shared" si="32"/>
        <v>3618</v>
      </c>
      <c r="J163" s="154"/>
    </row>
    <row r="164" spans="1:12" ht="20.100000000000001" customHeight="1">
      <c r="A164" s="80">
        <v>2011</v>
      </c>
      <c r="B164" s="151">
        <f t="shared" si="26"/>
        <v>3339</v>
      </c>
      <c r="C164" s="152">
        <f t="shared" si="27"/>
        <v>3335</v>
      </c>
      <c r="D164" s="152">
        <f t="shared" si="28"/>
        <v>3564</v>
      </c>
      <c r="E164" s="268"/>
      <c r="F164" s="152">
        <f t="shared" si="29"/>
        <v>3470</v>
      </c>
      <c r="G164" s="152">
        <f t="shared" si="30"/>
        <v>3427</v>
      </c>
      <c r="H164" s="152">
        <f t="shared" si="31"/>
        <v>3404.5</v>
      </c>
      <c r="I164" s="153">
        <f t="shared" si="32"/>
        <v>3427</v>
      </c>
      <c r="J164" s="154"/>
    </row>
    <row r="165" spans="1:12" ht="20.100000000000001" customHeight="1">
      <c r="A165" s="80">
        <v>2012</v>
      </c>
      <c r="B165" s="151">
        <f t="shared" si="26"/>
        <v>3121</v>
      </c>
      <c r="C165" s="152">
        <f t="shared" si="27"/>
        <v>3122</v>
      </c>
      <c r="D165" s="152">
        <f t="shared" si="28"/>
        <v>3419</v>
      </c>
      <c r="E165" s="268"/>
      <c r="F165" s="152">
        <f t="shared" si="29"/>
        <v>3298</v>
      </c>
      <c r="G165" s="152">
        <f t="shared" si="30"/>
        <v>3240</v>
      </c>
      <c r="H165" s="152">
        <f t="shared" si="31"/>
        <v>3210</v>
      </c>
      <c r="I165" s="153">
        <f t="shared" si="32"/>
        <v>3240</v>
      </c>
      <c r="J165" s="154"/>
    </row>
    <row r="166" spans="1:12" ht="20.100000000000001" customHeight="1">
      <c r="A166" s="80">
        <v>2013</v>
      </c>
      <c r="B166" s="151">
        <f t="shared" si="26"/>
        <v>2903</v>
      </c>
      <c r="C166" s="152">
        <f t="shared" si="27"/>
        <v>2908</v>
      </c>
      <c r="D166" s="152">
        <f t="shared" si="28"/>
        <v>3279</v>
      </c>
      <c r="E166" s="268"/>
      <c r="F166" s="152">
        <f t="shared" si="29"/>
        <v>3131</v>
      </c>
      <c r="G166" s="152">
        <f t="shared" si="30"/>
        <v>3055.3</v>
      </c>
      <c r="H166" s="152">
        <f t="shared" si="31"/>
        <v>3019.5</v>
      </c>
      <c r="I166" s="153">
        <f t="shared" si="32"/>
        <v>3055</v>
      </c>
      <c r="J166" s="154"/>
    </row>
    <row r="167" spans="1:12" ht="20.100000000000001" customHeight="1">
      <c r="A167" s="80">
        <v>2014</v>
      </c>
      <c r="B167" s="151">
        <f t="shared" si="26"/>
        <v>2685</v>
      </c>
      <c r="C167" s="152">
        <f t="shared" si="27"/>
        <v>2695</v>
      </c>
      <c r="D167" s="152">
        <f t="shared" si="28"/>
        <v>3145</v>
      </c>
      <c r="E167" s="268"/>
      <c r="F167" s="152">
        <f t="shared" si="29"/>
        <v>2970</v>
      </c>
      <c r="G167" s="152">
        <f t="shared" si="30"/>
        <v>2873.8</v>
      </c>
      <c r="H167" s="152">
        <f t="shared" si="31"/>
        <v>2832.5</v>
      </c>
      <c r="I167" s="153">
        <f t="shared" si="32"/>
        <v>2874</v>
      </c>
      <c r="J167" s="154"/>
    </row>
    <row r="168" spans="1:12" ht="20.100000000000001" customHeight="1">
      <c r="A168" s="80">
        <v>2015</v>
      </c>
      <c r="B168" s="151">
        <f t="shared" si="26"/>
        <v>2466</v>
      </c>
      <c r="C168" s="152">
        <f t="shared" si="27"/>
        <v>2481</v>
      </c>
      <c r="D168" s="152">
        <f t="shared" si="28"/>
        <v>3016</v>
      </c>
      <c r="E168" s="268"/>
      <c r="F168" s="152">
        <f t="shared" si="29"/>
        <v>2815</v>
      </c>
      <c r="G168" s="152">
        <f t="shared" si="30"/>
        <v>2694.5</v>
      </c>
      <c r="H168" s="152">
        <f t="shared" si="31"/>
        <v>2648</v>
      </c>
      <c r="I168" s="153">
        <f t="shared" si="32"/>
        <v>2695</v>
      </c>
      <c r="J168" s="154"/>
    </row>
    <row r="169" spans="1:12" ht="20.100000000000001" customHeight="1">
      <c r="A169" s="80">
        <v>2016</v>
      </c>
      <c r="B169" s="151">
        <f t="shared" si="26"/>
        <v>2248</v>
      </c>
      <c r="C169" s="152">
        <f t="shared" si="27"/>
        <v>2268</v>
      </c>
      <c r="D169" s="152">
        <f t="shared" si="28"/>
        <v>2893</v>
      </c>
      <c r="E169" s="268"/>
      <c r="F169" s="152">
        <f t="shared" si="29"/>
        <v>2666</v>
      </c>
      <c r="G169" s="152">
        <f t="shared" si="30"/>
        <v>2518.8000000000002</v>
      </c>
      <c r="H169" s="152">
        <f t="shared" si="31"/>
        <v>2467</v>
      </c>
      <c r="I169" s="153">
        <f t="shared" si="32"/>
        <v>2519</v>
      </c>
      <c r="J169" s="154"/>
    </row>
    <row r="170" spans="1:12" ht="20.100000000000001" customHeight="1">
      <c r="A170" s="80">
        <v>2017</v>
      </c>
      <c r="B170" s="151">
        <f t="shared" si="26"/>
        <v>2030</v>
      </c>
      <c r="C170" s="152">
        <f t="shared" si="27"/>
        <v>2054</v>
      </c>
      <c r="D170" s="152">
        <f t="shared" si="28"/>
        <v>2775</v>
      </c>
      <c r="E170" s="268"/>
      <c r="F170" s="152">
        <f t="shared" si="29"/>
        <v>2522</v>
      </c>
      <c r="G170" s="152">
        <f t="shared" si="30"/>
        <v>2345.3000000000002</v>
      </c>
      <c r="H170" s="152">
        <f t="shared" si="31"/>
        <v>2288</v>
      </c>
      <c r="I170" s="153">
        <f t="shared" si="32"/>
        <v>2345</v>
      </c>
      <c r="J170" s="154"/>
    </row>
    <row r="171" spans="1:12" ht="20.100000000000001" customHeight="1">
      <c r="A171" s="80">
        <v>2018</v>
      </c>
      <c r="B171" s="151">
        <f t="shared" si="26"/>
        <v>1812</v>
      </c>
      <c r="C171" s="152">
        <f t="shared" si="27"/>
        <v>1841</v>
      </c>
      <c r="D171" s="152">
        <f t="shared" si="28"/>
        <v>2661</v>
      </c>
      <c r="E171" s="268"/>
      <c r="F171" s="152">
        <f t="shared" si="29"/>
        <v>2385</v>
      </c>
      <c r="G171" s="152">
        <f t="shared" si="30"/>
        <v>2174.8000000000002</v>
      </c>
      <c r="H171" s="152">
        <f t="shared" si="31"/>
        <v>2113</v>
      </c>
      <c r="I171" s="153">
        <f t="shared" si="32"/>
        <v>2175</v>
      </c>
      <c r="J171" s="154"/>
    </row>
    <row r="172" spans="1:12" ht="20.100000000000001" customHeight="1">
      <c r="A172" s="80">
        <v>2019</v>
      </c>
      <c r="B172" s="151">
        <f t="shared" si="26"/>
        <v>1594</v>
      </c>
      <c r="C172" s="152">
        <f t="shared" si="27"/>
        <v>1628</v>
      </c>
      <c r="D172" s="152">
        <f t="shared" si="28"/>
        <v>2553</v>
      </c>
      <c r="E172" s="268"/>
      <c r="F172" s="152">
        <f t="shared" si="29"/>
        <v>2253</v>
      </c>
      <c r="G172" s="152">
        <f t="shared" si="30"/>
        <v>2007</v>
      </c>
      <c r="H172" s="152">
        <f t="shared" si="31"/>
        <v>1940.5</v>
      </c>
      <c r="I172" s="153">
        <f t="shared" si="32"/>
        <v>2007</v>
      </c>
      <c r="J172" s="154"/>
    </row>
    <row r="173" spans="1:12" ht="20.100000000000001" customHeight="1">
      <c r="A173" s="80">
        <v>2020</v>
      </c>
      <c r="B173" s="151">
        <f t="shared" si="26"/>
        <v>1375</v>
      </c>
      <c r="C173" s="152">
        <f t="shared" si="27"/>
        <v>1414</v>
      </c>
      <c r="D173" s="152">
        <f t="shared" si="28"/>
        <v>2448</v>
      </c>
      <c r="E173" s="268"/>
      <c r="F173" s="152">
        <f t="shared" si="29"/>
        <v>2128</v>
      </c>
      <c r="G173" s="152">
        <f t="shared" si="30"/>
        <v>1841.3</v>
      </c>
      <c r="H173" s="152">
        <f t="shared" si="31"/>
        <v>1771</v>
      </c>
      <c r="I173" s="153">
        <f t="shared" si="32"/>
        <v>1841</v>
      </c>
      <c r="J173" s="154"/>
    </row>
    <row r="174" spans="1:12" ht="20.100000000000001" customHeight="1">
      <c r="A174" s="80">
        <v>2021</v>
      </c>
      <c r="B174" s="151">
        <f t="shared" si="26"/>
        <v>1157</v>
      </c>
      <c r="C174" s="152">
        <f t="shared" si="27"/>
        <v>1201</v>
      </c>
      <c r="D174" s="152">
        <f t="shared" si="28"/>
        <v>2348</v>
      </c>
      <c r="E174" s="268"/>
      <c r="F174" s="152">
        <f t="shared" si="29"/>
        <v>2007</v>
      </c>
      <c r="G174" s="152">
        <f t="shared" si="30"/>
        <v>1678.3</v>
      </c>
      <c r="H174" s="152">
        <f t="shared" si="31"/>
        <v>1604</v>
      </c>
      <c r="I174" s="153">
        <f t="shared" si="32"/>
        <v>1678</v>
      </c>
      <c r="J174" s="154"/>
    </row>
    <row r="175" spans="1:12" ht="20.100000000000001" customHeight="1">
      <c r="A175" s="80">
        <v>2022</v>
      </c>
      <c r="B175" s="151">
        <f t="shared" si="26"/>
        <v>939</v>
      </c>
      <c r="C175" s="152">
        <f t="shared" si="27"/>
        <v>987</v>
      </c>
      <c r="D175" s="152">
        <f t="shared" si="28"/>
        <v>2252</v>
      </c>
      <c r="E175" s="268"/>
      <c r="F175" s="152">
        <f t="shared" si="29"/>
        <v>1893</v>
      </c>
      <c r="G175" s="152">
        <f t="shared" si="30"/>
        <v>1517.8</v>
      </c>
      <c r="H175" s="152">
        <f t="shared" si="31"/>
        <v>1440</v>
      </c>
      <c r="I175" s="153">
        <f t="shared" si="32"/>
        <v>1518</v>
      </c>
      <c r="J175" s="154"/>
    </row>
    <row r="176" spans="1:12" ht="20.100000000000001" customHeight="1">
      <c r="A176" s="80">
        <v>2023</v>
      </c>
      <c r="B176" s="151">
        <f t="shared" si="26"/>
        <v>721</v>
      </c>
      <c r="C176" s="152">
        <f t="shared" si="27"/>
        <v>774</v>
      </c>
      <c r="D176" s="152">
        <f t="shared" si="28"/>
        <v>2160</v>
      </c>
      <c r="E176" s="268"/>
      <c r="F176" s="152">
        <f t="shared" si="29"/>
        <v>1784</v>
      </c>
      <c r="G176" s="152">
        <f t="shared" si="30"/>
        <v>1359.8</v>
      </c>
      <c r="H176" s="152">
        <f t="shared" si="31"/>
        <v>1279</v>
      </c>
      <c r="I176" s="153">
        <f t="shared" si="32"/>
        <v>1360</v>
      </c>
      <c r="J176" s="154"/>
      <c r="L176" s="55">
        <v>806200</v>
      </c>
    </row>
    <row r="177" spans="1:41" ht="20.100000000000001" customHeight="1">
      <c r="A177" s="80">
        <v>2024</v>
      </c>
      <c r="B177" s="151">
        <f t="shared" si="26"/>
        <v>503</v>
      </c>
      <c r="C177" s="152">
        <f t="shared" si="27"/>
        <v>560</v>
      </c>
      <c r="D177" s="152">
        <f t="shared" si="28"/>
        <v>2072</v>
      </c>
      <c r="E177" s="268"/>
      <c r="F177" s="152">
        <f t="shared" si="29"/>
        <v>1680</v>
      </c>
      <c r="G177" s="152">
        <f t="shared" si="30"/>
        <v>1203.8</v>
      </c>
      <c r="H177" s="152">
        <f t="shared" si="31"/>
        <v>1120</v>
      </c>
      <c r="I177" s="153">
        <f t="shared" si="32"/>
        <v>1204</v>
      </c>
      <c r="J177" s="154"/>
      <c r="K177" s="55">
        <v>51000</v>
      </c>
      <c r="L177" s="75">
        <f>+K177+E177</f>
        <v>51000</v>
      </c>
      <c r="M177" s="75"/>
    </row>
    <row r="178" spans="1:41" ht="20.100000000000001" customHeight="1">
      <c r="A178" s="80">
        <v>2025</v>
      </c>
      <c r="B178" s="151">
        <f t="shared" si="26"/>
        <v>284</v>
      </c>
      <c r="C178" s="152">
        <f t="shared" si="27"/>
        <v>347</v>
      </c>
      <c r="D178" s="152">
        <f t="shared" si="28"/>
        <v>1987</v>
      </c>
      <c r="E178" s="268"/>
      <c r="F178" s="152">
        <f t="shared" si="29"/>
        <v>1582</v>
      </c>
      <c r="G178" s="152">
        <f t="shared" si="30"/>
        <v>1050</v>
      </c>
      <c r="H178" s="152">
        <f t="shared" si="31"/>
        <v>964.5</v>
      </c>
      <c r="I178" s="153">
        <f t="shared" si="32"/>
        <v>1050</v>
      </c>
      <c r="J178" s="154"/>
      <c r="L178" s="75">
        <f>+L176-L177</f>
        <v>755200</v>
      </c>
      <c r="M178" s="75"/>
    </row>
    <row r="179" spans="1:41" ht="20.100000000000001" customHeight="1">
      <c r="A179" s="155" t="s">
        <v>97</v>
      </c>
      <c r="B179" s="156"/>
      <c r="C179" s="157"/>
      <c r="D179" s="157"/>
      <c r="E179" s="157"/>
      <c r="F179" s="156"/>
      <c r="G179" s="269" t="s">
        <v>277</v>
      </c>
      <c r="H179" s="157"/>
      <c r="I179" s="159"/>
      <c r="J179" s="160"/>
      <c r="K179" s="161"/>
      <c r="L179" s="162">
        <f>+B129</f>
        <v>6394</v>
      </c>
      <c r="M179" s="162">
        <f>+B130</f>
        <v>6192</v>
      </c>
      <c r="N179" s="162">
        <f>B131</f>
        <v>5927</v>
      </c>
      <c r="O179" s="161">
        <f>B132</f>
        <v>5619</v>
      </c>
      <c r="P179" s="162">
        <f>B133</f>
        <v>5393</v>
      </c>
      <c r="Q179" s="161">
        <f>B134</f>
        <v>5125</v>
      </c>
      <c r="R179" s="162">
        <f>B135</f>
        <v>4944</v>
      </c>
      <c r="S179" s="162">
        <f>B136</f>
        <v>4840</v>
      </c>
      <c r="T179" s="162">
        <f>B137</f>
        <v>4706</v>
      </c>
      <c r="U179" s="162">
        <f>B138</f>
        <v>4467</v>
      </c>
      <c r="V179" s="162">
        <f>B139</f>
        <v>4212</v>
      </c>
      <c r="W179" s="162">
        <f>B16</f>
        <v>3994</v>
      </c>
      <c r="X179" s="162"/>
      <c r="Y179" s="161"/>
      <c r="Z179" s="161"/>
      <c r="AA179" s="161"/>
      <c r="AB179" s="161"/>
      <c r="AC179" s="161"/>
      <c r="AD179" s="161"/>
      <c r="AE179" s="161"/>
      <c r="AF179" s="161"/>
      <c r="AG179" s="161"/>
      <c r="AH179" s="161"/>
      <c r="AI179" s="161"/>
      <c r="AJ179" s="161"/>
      <c r="AK179" s="161"/>
      <c r="AL179" s="161"/>
      <c r="AM179" s="161"/>
      <c r="AN179" s="161"/>
    </row>
    <row r="180" spans="1:41" ht="20.100000000000001" hidden="1" customHeight="1">
      <c r="A180" s="85"/>
      <c r="B180" s="163"/>
      <c r="C180" s="164"/>
      <c r="D180" s="164"/>
      <c r="E180" s="164"/>
      <c r="F180" s="164"/>
      <c r="G180" s="164"/>
      <c r="H180" s="164"/>
      <c r="I180" s="165"/>
      <c r="J180" s="166"/>
      <c r="K180" s="161"/>
      <c r="L180" s="161"/>
      <c r="M180" s="161"/>
      <c r="N180" s="161"/>
      <c r="O180" s="161"/>
      <c r="P180" s="161"/>
      <c r="Q180" s="161"/>
      <c r="R180" s="161"/>
      <c r="S180" s="161"/>
      <c r="T180" s="161"/>
      <c r="U180" s="161"/>
      <c r="V180" s="161"/>
      <c r="W180" s="161"/>
      <c r="X180" s="161"/>
      <c r="Y180" s="161"/>
      <c r="Z180" s="161"/>
      <c r="AA180" s="161"/>
      <c r="AB180" s="161"/>
      <c r="AC180" s="161"/>
      <c r="AD180" s="161"/>
      <c r="AE180" s="161"/>
      <c r="AF180" s="161"/>
      <c r="AG180" s="161"/>
      <c r="AH180" s="161"/>
      <c r="AI180" s="161"/>
      <c r="AJ180" s="161"/>
      <c r="AK180" s="161"/>
      <c r="AL180" s="161"/>
      <c r="AM180" s="161"/>
      <c r="AN180" s="161"/>
    </row>
    <row r="181" spans="1:41" s="161" customFormat="1" ht="20.100000000000001" customHeight="1">
      <c r="A181" s="167" t="s">
        <v>98</v>
      </c>
      <c r="B181" s="168">
        <f>I4</f>
        <v>0.9876787386213518</v>
      </c>
      <c r="C181" s="169">
        <f>I35</f>
        <v>0.98767873862135114</v>
      </c>
      <c r="D181" s="169">
        <f>I66</f>
        <v>0.99386247108895287</v>
      </c>
      <c r="E181" s="169"/>
      <c r="F181" s="169">
        <f>I128</f>
        <v>0.99002995467514288</v>
      </c>
      <c r="G181" s="170"/>
      <c r="H181" s="171"/>
      <c r="I181" s="172"/>
      <c r="J181" s="173"/>
      <c r="K181" s="174">
        <f>MAX(B181:I181,F181)</f>
        <v>0.99386247108895287</v>
      </c>
      <c r="L181" s="161">
        <v>1997</v>
      </c>
      <c r="M181" s="161">
        <v>1998</v>
      </c>
      <c r="N181" s="161">
        <v>1999</v>
      </c>
      <c r="O181" s="161">
        <f t="shared" ref="O181:AN181" si="33">+N181+1</f>
        <v>2000</v>
      </c>
      <c r="P181" s="161">
        <f t="shared" si="33"/>
        <v>2001</v>
      </c>
      <c r="Q181" s="161">
        <f t="shared" si="33"/>
        <v>2002</v>
      </c>
      <c r="R181" s="161">
        <f t="shared" si="33"/>
        <v>2003</v>
      </c>
      <c r="S181" s="161">
        <f t="shared" si="33"/>
        <v>2004</v>
      </c>
      <c r="T181" s="161">
        <f t="shared" si="33"/>
        <v>2005</v>
      </c>
      <c r="U181" s="161">
        <f t="shared" si="33"/>
        <v>2006</v>
      </c>
      <c r="V181" s="161">
        <f t="shared" si="33"/>
        <v>2007</v>
      </c>
      <c r="W181" s="161">
        <f t="shared" si="33"/>
        <v>2008</v>
      </c>
      <c r="X181" s="161">
        <f t="shared" si="33"/>
        <v>2009</v>
      </c>
      <c r="Y181" s="161">
        <f t="shared" si="33"/>
        <v>2010</v>
      </c>
      <c r="Z181" s="161">
        <f t="shared" si="33"/>
        <v>2011</v>
      </c>
      <c r="AA181" s="161">
        <f t="shared" si="33"/>
        <v>2012</v>
      </c>
      <c r="AB181" s="161">
        <f t="shared" si="33"/>
        <v>2013</v>
      </c>
      <c r="AC181" s="161">
        <f t="shared" si="33"/>
        <v>2014</v>
      </c>
      <c r="AD181" s="161">
        <f t="shared" si="33"/>
        <v>2015</v>
      </c>
      <c r="AE181" s="161">
        <f t="shared" si="33"/>
        <v>2016</v>
      </c>
      <c r="AF181" s="161">
        <f t="shared" si="33"/>
        <v>2017</v>
      </c>
      <c r="AG181" s="161">
        <f t="shared" si="33"/>
        <v>2018</v>
      </c>
      <c r="AH181" s="161">
        <f t="shared" si="33"/>
        <v>2019</v>
      </c>
      <c r="AI181" s="161">
        <f t="shared" si="33"/>
        <v>2020</v>
      </c>
      <c r="AJ181" s="161">
        <f t="shared" si="33"/>
        <v>2021</v>
      </c>
      <c r="AK181" s="161">
        <f t="shared" si="33"/>
        <v>2022</v>
      </c>
      <c r="AL181" s="161">
        <f t="shared" si="33"/>
        <v>2023</v>
      </c>
      <c r="AM181" s="161">
        <f t="shared" si="33"/>
        <v>2024</v>
      </c>
      <c r="AN181" s="161">
        <f t="shared" si="33"/>
        <v>2025</v>
      </c>
    </row>
    <row r="182" spans="1:41" ht="20.100000000000001" customHeight="1">
      <c r="K182" s="161" t="s">
        <v>99</v>
      </c>
      <c r="L182" s="161"/>
      <c r="M182" s="161"/>
      <c r="N182" s="161"/>
      <c r="O182" s="161"/>
      <c r="P182" s="161"/>
      <c r="Q182" s="161"/>
      <c r="R182" s="161"/>
      <c r="S182" s="161"/>
      <c r="T182" s="161"/>
      <c r="U182" s="161"/>
      <c r="V182" s="162">
        <f>+V179</f>
        <v>4212</v>
      </c>
      <c r="W182" s="175">
        <f>+B16</f>
        <v>3994</v>
      </c>
      <c r="X182" s="162">
        <f>B17</f>
        <v>3776</v>
      </c>
      <c r="Y182" s="162">
        <f>B18</f>
        <v>3557</v>
      </c>
      <c r="Z182" s="162">
        <f>B19</f>
        <v>3339</v>
      </c>
      <c r="AA182" s="162">
        <f>B20</f>
        <v>3121</v>
      </c>
      <c r="AB182" s="162">
        <f>B21</f>
        <v>2903</v>
      </c>
      <c r="AC182" s="162">
        <f>B22</f>
        <v>2685</v>
      </c>
      <c r="AD182" s="162">
        <f>B23</f>
        <v>2466</v>
      </c>
      <c r="AE182" s="162">
        <f>B24</f>
        <v>2248</v>
      </c>
      <c r="AF182" s="162">
        <f>B25</f>
        <v>2030</v>
      </c>
      <c r="AG182" s="162">
        <f>B26</f>
        <v>1812</v>
      </c>
      <c r="AH182" s="162">
        <f>B27</f>
        <v>1594</v>
      </c>
      <c r="AI182" s="162">
        <f>B28</f>
        <v>1375</v>
      </c>
      <c r="AJ182" s="162">
        <f>B29</f>
        <v>1157</v>
      </c>
      <c r="AK182" s="162">
        <f>B30</f>
        <v>939</v>
      </c>
      <c r="AL182" s="162">
        <f>B31</f>
        <v>721</v>
      </c>
      <c r="AM182" s="162">
        <f>B32</f>
        <v>503</v>
      </c>
      <c r="AN182" s="162">
        <f>B33</f>
        <v>284</v>
      </c>
      <c r="AO182" s="161" t="s">
        <v>99</v>
      </c>
    </row>
    <row r="183" spans="1:41" ht="20.100000000000001" customHeight="1">
      <c r="K183" s="161" t="s">
        <v>100</v>
      </c>
      <c r="L183" s="161"/>
      <c r="M183" s="161"/>
      <c r="N183" s="161"/>
      <c r="O183" s="161"/>
      <c r="P183" s="161"/>
      <c r="Q183" s="161"/>
      <c r="R183" s="161"/>
      <c r="S183" s="161"/>
      <c r="T183" s="161"/>
      <c r="U183" s="161"/>
      <c r="V183" s="162">
        <f>+V182</f>
        <v>4212</v>
      </c>
      <c r="W183" s="175">
        <f>+B47</f>
        <v>3976</v>
      </c>
      <c r="X183" s="162">
        <f>B48</f>
        <v>3762</v>
      </c>
      <c r="Y183" s="162">
        <f>B49</f>
        <v>3549</v>
      </c>
      <c r="Z183" s="162">
        <f>B50</f>
        <v>3335</v>
      </c>
      <c r="AA183" s="162">
        <f>B51</f>
        <v>3122</v>
      </c>
      <c r="AB183" s="162">
        <f>B52</f>
        <v>2908</v>
      </c>
      <c r="AC183" s="162">
        <f>B53</f>
        <v>2695</v>
      </c>
      <c r="AD183" s="162">
        <f>B54</f>
        <v>2481</v>
      </c>
      <c r="AE183" s="162">
        <f>B55</f>
        <v>2268</v>
      </c>
      <c r="AF183" s="162">
        <f>B56</f>
        <v>2054</v>
      </c>
      <c r="AG183" s="162">
        <f>B57</f>
        <v>1841</v>
      </c>
      <c r="AH183" s="162">
        <f>B58</f>
        <v>1628</v>
      </c>
      <c r="AI183" s="162">
        <f>B59</f>
        <v>1414</v>
      </c>
      <c r="AJ183" s="162">
        <f>B60</f>
        <v>1201</v>
      </c>
      <c r="AK183" s="162">
        <f>B61</f>
        <v>987</v>
      </c>
      <c r="AL183" s="162">
        <f>B62</f>
        <v>774</v>
      </c>
      <c r="AM183" s="162">
        <f>B63</f>
        <v>560</v>
      </c>
      <c r="AN183" s="162">
        <f>B64</f>
        <v>347</v>
      </c>
      <c r="AO183" s="161" t="s">
        <v>100</v>
      </c>
    </row>
    <row r="184" spans="1:41" ht="20.100000000000001" customHeight="1">
      <c r="K184" s="161" t="s">
        <v>101</v>
      </c>
      <c r="L184" s="161"/>
      <c r="M184" s="161"/>
      <c r="N184" s="161"/>
      <c r="O184" s="161"/>
      <c r="P184" s="161"/>
      <c r="Q184" s="161"/>
      <c r="R184" s="161"/>
      <c r="S184" s="161"/>
      <c r="T184" s="161"/>
      <c r="U184" s="161"/>
      <c r="V184" s="162">
        <f>+V183</f>
        <v>4212</v>
      </c>
      <c r="W184" s="175">
        <f>+B78</f>
        <v>4040</v>
      </c>
      <c r="X184" s="162">
        <f>B79</f>
        <v>3875</v>
      </c>
      <c r="Y184" s="162">
        <f>B80</f>
        <v>3716</v>
      </c>
      <c r="Z184" s="162">
        <f>B81</f>
        <v>3564</v>
      </c>
      <c r="AA184" s="162">
        <f>B82</f>
        <v>3419</v>
      </c>
      <c r="AB184" s="162">
        <f>B83</f>
        <v>3279</v>
      </c>
      <c r="AC184" s="162">
        <f>B84</f>
        <v>3145</v>
      </c>
      <c r="AD184" s="162">
        <f>B85</f>
        <v>3016</v>
      </c>
      <c r="AE184" s="162">
        <f>B86</f>
        <v>2893</v>
      </c>
      <c r="AF184" s="162">
        <f>B87</f>
        <v>2775</v>
      </c>
      <c r="AG184" s="162">
        <f>B88</f>
        <v>2661</v>
      </c>
      <c r="AH184" s="162">
        <f>B89</f>
        <v>2553</v>
      </c>
      <c r="AI184" s="162">
        <f>B90</f>
        <v>2448</v>
      </c>
      <c r="AJ184" s="162">
        <f>B91</f>
        <v>2348</v>
      </c>
      <c r="AK184" s="162">
        <f>B92</f>
        <v>2252</v>
      </c>
      <c r="AL184" s="162">
        <f>B93</f>
        <v>2160</v>
      </c>
      <c r="AM184" s="162">
        <f>B94</f>
        <v>2072</v>
      </c>
      <c r="AN184" s="162">
        <f>B95</f>
        <v>1987</v>
      </c>
      <c r="AO184" s="161" t="s">
        <v>101</v>
      </c>
    </row>
    <row r="185" spans="1:41" ht="20.100000000000001" customHeight="1">
      <c r="K185" s="161" t="s">
        <v>102</v>
      </c>
      <c r="L185" s="161"/>
      <c r="M185" s="161"/>
      <c r="N185" s="161"/>
      <c r="O185" s="161"/>
      <c r="P185" s="161"/>
      <c r="Q185" s="161"/>
      <c r="R185" s="161"/>
      <c r="S185" s="161"/>
      <c r="T185" s="161"/>
      <c r="U185" s="161"/>
      <c r="V185" s="162">
        <f>+V184</f>
        <v>4212</v>
      </c>
      <c r="W185" s="175"/>
      <c r="X185" s="161"/>
      <c r="Y185" s="161"/>
      <c r="Z185" s="161"/>
      <c r="AA185" s="161"/>
      <c r="AB185" s="161"/>
      <c r="AC185" s="161"/>
      <c r="AD185" s="161"/>
      <c r="AE185" s="161"/>
      <c r="AF185" s="161"/>
      <c r="AG185" s="161"/>
      <c r="AH185" s="161"/>
      <c r="AI185" s="161"/>
      <c r="AJ185" s="161"/>
      <c r="AK185" s="161"/>
      <c r="AL185" s="161"/>
      <c r="AM185" s="161"/>
      <c r="AN185" s="161"/>
      <c r="AO185" s="161" t="s">
        <v>102</v>
      </c>
    </row>
    <row r="186" spans="1:41" ht="20.100000000000001" customHeight="1">
      <c r="K186" s="161" t="s">
        <v>103</v>
      </c>
      <c r="L186" s="161"/>
      <c r="M186" s="161"/>
      <c r="N186" s="161"/>
      <c r="O186" s="161"/>
      <c r="P186" s="161"/>
      <c r="Q186" s="161"/>
      <c r="R186" s="161"/>
      <c r="S186" s="161"/>
      <c r="T186" s="161"/>
      <c r="U186" s="161"/>
      <c r="V186" s="162">
        <f>+V185</f>
        <v>4212</v>
      </c>
      <c r="W186" s="175">
        <f>+B140</f>
        <v>4020</v>
      </c>
      <c r="X186" s="162">
        <f>B141</f>
        <v>3832</v>
      </c>
      <c r="Y186" s="162">
        <f>B142</f>
        <v>3648</v>
      </c>
      <c r="Z186" s="162">
        <f>B143</f>
        <v>3470</v>
      </c>
      <c r="AA186" s="162">
        <f>B144</f>
        <v>3298</v>
      </c>
      <c r="AB186" s="162">
        <f>B145</f>
        <v>3131</v>
      </c>
      <c r="AC186" s="162">
        <f>B146</f>
        <v>2970</v>
      </c>
      <c r="AD186" s="162">
        <f>B147</f>
        <v>2815</v>
      </c>
      <c r="AE186" s="162">
        <f>B148</f>
        <v>2666</v>
      </c>
      <c r="AF186" s="162">
        <f>B149</f>
        <v>2522</v>
      </c>
      <c r="AG186" s="162">
        <f>B150</f>
        <v>2385</v>
      </c>
      <c r="AH186" s="162">
        <f>B151</f>
        <v>2253</v>
      </c>
      <c r="AI186" s="162">
        <f>B152</f>
        <v>2128</v>
      </c>
      <c r="AJ186" s="162">
        <f>B153</f>
        <v>2007</v>
      </c>
      <c r="AK186" s="162">
        <f>B154</f>
        <v>1893</v>
      </c>
      <c r="AL186" s="162">
        <f>B155</f>
        <v>1784</v>
      </c>
      <c r="AM186" s="162">
        <f>B156</f>
        <v>1680</v>
      </c>
      <c r="AN186" s="162">
        <f>B157</f>
        <v>1582</v>
      </c>
      <c r="AO186" s="161" t="s">
        <v>103</v>
      </c>
    </row>
    <row r="187" spans="1:41" ht="20.100000000000001" customHeight="1">
      <c r="K187" s="161" t="s">
        <v>95</v>
      </c>
      <c r="L187" s="161"/>
      <c r="M187" s="161"/>
      <c r="N187" s="161"/>
      <c r="O187" s="161"/>
      <c r="P187" s="161"/>
      <c r="Q187" s="161"/>
      <c r="R187" s="161"/>
      <c r="S187" s="161"/>
      <c r="T187" s="161"/>
      <c r="U187" s="161"/>
      <c r="V187" s="162">
        <f>+V186</f>
        <v>4212</v>
      </c>
      <c r="W187" s="175">
        <f>+G161</f>
        <v>4007.5</v>
      </c>
      <c r="X187" s="206">
        <f>+G162</f>
        <v>3811.3</v>
      </c>
      <c r="Y187" s="206">
        <f>+G163</f>
        <v>3617.5</v>
      </c>
      <c r="Z187" s="206">
        <f>+F164</f>
        <v>3470</v>
      </c>
      <c r="AA187" s="206">
        <f>+F165</f>
        <v>3298</v>
      </c>
      <c r="AB187" s="206">
        <f>+F166</f>
        <v>3131</v>
      </c>
      <c r="AC187" s="206">
        <f>+F167</f>
        <v>2970</v>
      </c>
      <c r="AD187" s="206">
        <f>+F168</f>
        <v>2815</v>
      </c>
      <c r="AE187" s="206">
        <f>+F169</f>
        <v>2666</v>
      </c>
      <c r="AF187" s="206">
        <f>+F170</f>
        <v>2522</v>
      </c>
      <c r="AG187" s="206">
        <f>+F171</f>
        <v>2385</v>
      </c>
      <c r="AH187" s="206">
        <f>+F172</f>
        <v>2253</v>
      </c>
      <c r="AI187" s="206">
        <f>+F173</f>
        <v>2128</v>
      </c>
      <c r="AJ187" s="206">
        <f>+F174</f>
        <v>2007</v>
      </c>
      <c r="AK187" s="206">
        <f>+F175</f>
        <v>1893</v>
      </c>
      <c r="AL187" s="206">
        <f>+F176</f>
        <v>1784</v>
      </c>
      <c r="AM187" s="206">
        <f>+F177</f>
        <v>1680</v>
      </c>
      <c r="AN187" s="206">
        <f>+F178</f>
        <v>1582</v>
      </c>
      <c r="AO187" s="161" t="s">
        <v>95</v>
      </c>
    </row>
    <row r="188" spans="1:41" ht="20.100000000000001" customHeight="1"/>
    <row r="189" spans="1:41" ht="20.100000000000001" customHeight="1"/>
    <row r="190" spans="1:41" ht="20.100000000000001" customHeight="1"/>
    <row r="191" spans="1:41" ht="20.100000000000001" customHeight="1"/>
    <row r="192" spans="1:41" ht="20.100000000000001" customHeight="1"/>
    <row r="193" ht="20.100000000000001" customHeight="1"/>
    <row r="194" ht="20.100000000000001" customHeight="1"/>
    <row r="195" ht="20.100000000000001" customHeight="1"/>
    <row r="196" ht="20.100000000000001" customHeight="1"/>
    <row r="197" ht="20.100000000000001" customHeight="1"/>
    <row r="198" ht="20.100000000000001" customHeight="1"/>
    <row r="199" ht="20.100000000000001" customHeight="1"/>
    <row r="200" ht="20.100000000000001" customHeight="1"/>
    <row r="201" ht="20.100000000000001" customHeight="1"/>
    <row r="202" ht="20.100000000000001" customHeight="1"/>
    <row r="203" ht="20.100000000000001" customHeight="1"/>
    <row r="204" ht="20.100000000000001" customHeight="1"/>
  </sheetData>
  <phoneticPr fontId="50" type="noConversion"/>
  <pageMargins left="0.74803149606299213" right="0.74803149606299213" top="0.78740157480314965" bottom="0.78740157480314965" header="0.51181102362204722" footer="0.51181102362204722"/>
  <pageSetup paperSize="9" scale="70" fitToHeight="3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 codeName="Sheet26">
    <tabColor indexed="42"/>
  </sheetPr>
  <dimension ref="A1:AO204"/>
  <sheetViews>
    <sheetView workbookViewId="0"/>
  </sheetViews>
  <sheetFormatPr defaultRowHeight="15" customHeight="1"/>
  <cols>
    <col min="1" max="1" width="8.88671875" style="55"/>
    <col min="2" max="2" width="9.21875" style="55" customWidth="1"/>
    <col min="3" max="3" width="9.5546875" style="55" customWidth="1"/>
    <col min="4" max="4" width="9" style="55" customWidth="1"/>
    <col min="5" max="5" width="11.33203125" style="55" customWidth="1"/>
    <col min="6" max="6" width="9.44140625" style="55" customWidth="1"/>
    <col min="7" max="7" width="15.109375" style="55" bestFit="1" customWidth="1"/>
    <col min="8" max="8" width="12.88671875" style="55" bestFit="1" customWidth="1"/>
    <col min="9" max="9" width="11.5546875" style="55" bestFit="1" customWidth="1"/>
    <col min="10" max="11" width="8.88671875" style="55"/>
    <col min="12" max="41" width="6.77734375" style="55" customWidth="1"/>
    <col min="42" max="16384" width="8.88671875" style="55"/>
  </cols>
  <sheetData>
    <row r="1" spans="1:13" ht="15" customHeight="1">
      <c r="A1" s="54" t="s">
        <v>249</v>
      </c>
    </row>
    <row r="2" spans="1:13" ht="15" customHeight="1">
      <c r="A2" s="54"/>
    </row>
    <row r="3" spans="1:13" ht="15" customHeight="1">
      <c r="A3" s="56" t="s">
        <v>74</v>
      </c>
      <c r="B3" s="57"/>
    </row>
    <row r="4" spans="1:13" ht="15" customHeight="1">
      <c r="A4" s="58" t="s">
        <v>32</v>
      </c>
      <c r="B4" s="59" t="s">
        <v>40</v>
      </c>
      <c r="C4" s="59" t="s">
        <v>33</v>
      </c>
      <c r="D4" s="60"/>
      <c r="E4" s="60"/>
      <c r="F4" s="61"/>
      <c r="G4" s="62"/>
      <c r="H4" s="63" t="s">
        <v>244</v>
      </c>
      <c r="I4" s="64">
        <f>RSQ(I5:I15,B5:B15)</f>
        <v>0.37785896221963761</v>
      </c>
    </row>
    <row r="5" spans="1:13" ht="15" customHeight="1">
      <c r="A5" s="176">
        <v>1997</v>
      </c>
      <c r="B5" s="180">
        <f>+천곡동20년!B14</f>
        <v>27986</v>
      </c>
      <c r="C5" s="177">
        <v>0</v>
      </c>
      <c r="D5" s="178"/>
      <c r="E5" s="178"/>
      <c r="F5" s="179"/>
      <c r="G5" s="262"/>
      <c r="H5" s="263"/>
      <c r="I5" s="70">
        <f t="shared" ref="I5:I33" si="0">$E$6*C5+$E$7</f>
        <v>27986</v>
      </c>
    </row>
    <row r="6" spans="1:13" ht="15" customHeight="1">
      <c r="A6" s="65" t="e">
        <f>#REF!</f>
        <v>#REF!</v>
      </c>
      <c r="B6" s="180">
        <f>+천곡동20년!B15</f>
        <v>28065</v>
      </c>
      <c r="C6" s="67">
        <f>+C5+1</f>
        <v>1</v>
      </c>
      <c r="D6" s="53" t="s">
        <v>75</v>
      </c>
      <c r="E6" s="68">
        <f>(B15-B5)/C15</f>
        <v>-66.3</v>
      </c>
      <c r="F6" s="69"/>
      <c r="G6" s="53"/>
      <c r="H6" s="69"/>
      <c r="I6" s="70">
        <f t="shared" si="0"/>
        <v>27919.7</v>
      </c>
      <c r="J6" s="71">
        <v>570570</v>
      </c>
      <c r="K6" s="55">
        <v>570570</v>
      </c>
      <c r="L6" s="55">
        <v>766</v>
      </c>
    </row>
    <row r="7" spans="1:13" ht="15" customHeight="1">
      <c r="A7" s="65" t="e">
        <f>#REF!</f>
        <v>#REF!</v>
      </c>
      <c r="B7" s="180">
        <f>+천곡동20년!B16</f>
        <v>27645</v>
      </c>
      <c r="C7" s="67">
        <f t="shared" ref="C7:C33" si="1">C6+1</f>
        <v>2</v>
      </c>
      <c r="D7" s="53" t="s">
        <v>76</v>
      </c>
      <c r="E7" s="72">
        <f>B5</f>
        <v>27986</v>
      </c>
      <c r="F7" s="69"/>
      <c r="G7" s="53"/>
      <c r="H7" s="69"/>
      <c r="I7" s="70">
        <f t="shared" si="0"/>
        <v>27853.4</v>
      </c>
      <c r="J7" s="71">
        <v>583230</v>
      </c>
      <c r="K7" s="55">
        <v>583230</v>
      </c>
      <c r="L7" s="55">
        <v>1094</v>
      </c>
    </row>
    <row r="8" spans="1:13" ht="15" customHeight="1">
      <c r="A8" s="65" t="e">
        <f>#REF!</f>
        <v>#REF!</v>
      </c>
      <c r="B8" s="180">
        <f>+천곡동20년!B17</f>
        <v>27936</v>
      </c>
      <c r="C8" s="67">
        <f t="shared" si="1"/>
        <v>3</v>
      </c>
      <c r="D8" s="53" t="s">
        <v>77</v>
      </c>
      <c r="E8" s="73">
        <f>I4</f>
        <v>0.37785896221963761</v>
      </c>
      <c r="F8" s="69"/>
      <c r="G8" s="53"/>
      <c r="H8" s="69"/>
      <c r="I8" s="70">
        <f t="shared" si="0"/>
        <v>27787.1</v>
      </c>
      <c r="J8" s="71">
        <v>590162</v>
      </c>
      <c r="K8" s="55">
        <v>590162</v>
      </c>
      <c r="L8" s="55">
        <v>1277</v>
      </c>
    </row>
    <row r="9" spans="1:13" ht="15" customHeight="1">
      <c r="A9" s="65" t="e">
        <f>#REF!</f>
        <v>#REF!</v>
      </c>
      <c r="B9" s="180">
        <f>+천곡동20년!B18</f>
        <v>27280</v>
      </c>
      <c r="C9" s="67">
        <f t="shared" si="1"/>
        <v>4</v>
      </c>
      <c r="D9" s="53"/>
      <c r="E9" s="53"/>
      <c r="F9" s="69"/>
      <c r="G9" s="53"/>
      <c r="H9" s="69"/>
      <c r="I9" s="70">
        <f t="shared" si="0"/>
        <v>27720.799999999999</v>
      </c>
      <c r="J9" s="71">
        <v>600343</v>
      </c>
      <c r="K9" s="55">
        <v>600343</v>
      </c>
      <c r="L9" s="55">
        <v>1147</v>
      </c>
    </row>
    <row r="10" spans="1:13" ht="15" customHeight="1">
      <c r="A10" s="65" t="e">
        <f>#REF!</f>
        <v>#REF!</v>
      </c>
      <c r="B10" s="180">
        <f>+천곡동20년!B19</f>
        <v>26476</v>
      </c>
      <c r="C10" s="67">
        <f t="shared" si="1"/>
        <v>5</v>
      </c>
      <c r="D10" s="53"/>
      <c r="E10" s="53"/>
      <c r="F10" s="69"/>
      <c r="G10" s="53"/>
      <c r="H10" s="69"/>
      <c r="I10" s="70">
        <f t="shared" si="0"/>
        <v>27654.5</v>
      </c>
      <c r="J10" s="71">
        <v>611921</v>
      </c>
      <c r="K10" s="55">
        <v>611921</v>
      </c>
      <c r="L10" s="55">
        <v>1355</v>
      </c>
    </row>
    <row r="11" spans="1:13" ht="15" customHeight="1">
      <c r="A11" s="65" t="e">
        <f>#REF!</f>
        <v>#REF!</v>
      </c>
      <c r="B11" s="180">
        <f>+천곡동20년!B20</f>
        <v>27113</v>
      </c>
      <c r="C11" s="67">
        <f t="shared" si="1"/>
        <v>6</v>
      </c>
      <c r="D11" s="53"/>
      <c r="E11" s="53"/>
      <c r="F11" s="69"/>
      <c r="G11" s="53"/>
      <c r="H11" s="69"/>
      <c r="I11" s="70">
        <f t="shared" si="0"/>
        <v>27588.2</v>
      </c>
      <c r="J11" s="74">
        <v>622238</v>
      </c>
      <c r="K11" s="55">
        <v>622238</v>
      </c>
      <c r="L11" s="55">
        <v>1717</v>
      </c>
    </row>
    <row r="12" spans="1:13" ht="15" customHeight="1">
      <c r="A12" s="65" t="e">
        <f>#REF!</f>
        <v>#REF!</v>
      </c>
      <c r="B12" s="180">
        <f>+천곡동20년!B21</f>
        <v>27168</v>
      </c>
      <c r="C12" s="67">
        <f t="shared" si="1"/>
        <v>7</v>
      </c>
      <c r="D12" s="53" t="s">
        <v>73</v>
      </c>
      <c r="E12" s="53"/>
      <c r="F12" s="69"/>
      <c r="G12" s="53"/>
      <c r="H12" s="69"/>
      <c r="I12" s="70">
        <f t="shared" si="0"/>
        <v>27521.9</v>
      </c>
      <c r="J12" s="74">
        <v>623897</v>
      </c>
      <c r="K12" s="55">
        <v>623897</v>
      </c>
      <c r="L12" s="55">
        <v>1614</v>
      </c>
    </row>
    <row r="13" spans="1:13" ht="15" customHeight="1">
      <c r="A13" s="65" t="e">
        <f>#REF!</f>
        <v>#REF!</v>
      </c>
      <c r="B13" s="180">
        <f>+천곡동20년!B22</f>
        <v>27044</v>
      </c>
      <c r="C13" s="67">
        <f t="shared" si="1"/>
        <v>8</v>
      </c>
      <c r="D13" s="53"/>
      <c r="E13" s="53"/>
      <c r="F13" s="69"/>
      <c r="G13" s="53"/>
      <c r="H13" s="69"/>
      <c r="I13" s="70">
        <f t="shared" si="0"/>
        <v>27455.599999999999</v>
      </c>
      <c r="J13" s="74">
        <v>626069</v>
      </c>
      <c r="K13" s="55">
        <v>626069</v>
      </c>
      <c r="L13" s="55">
        <v>1584</v>
      </c>
    </row>
    <row r="14" spans="1:13" ht="15" customHeight="1">
      <c r="A14" s="65" t="e">
        <f>#REF!</f>
        <v>#REF!</v>
      </c>
      <c r="B14" s="180">
        <f>+천곡동20년!B23</f>
        <v>27340</v>
      </c>
      <c r="C14" s="67">
        <f t="shared" si="1"/>
        <v>9</v>
      </c>
      <c r="D14" s="53"/>
      <c r="E14" s="53"/>
      <c r="F14" s="69"/>
      <c r="G14" s="53"/>
      <c r="H14" s="69"/>
      <c r="I14" s="70">
        <f t="shared" si="0"/>
        <v>27389.3</v>
      </c>
      <c r="J14" s="74">
        <v>618816</v>
      </c>
      <c r="K14" s="55">
        <v>620374</v>
      </c>
      <c r="L14" s="75">
        <v>1555</v>
      </c>
      <c r="M14" s="75"/>
    </row>
    <row r="15" spans="1:13" ht="15" customHeight="1" thickBot="1">
      <c r="A15" s="97" t="e">
        <f>#REF!</f>
        <v>#REF!</v>
      </c>
      <c r="B15" s="181">
        <f>+천곡동20년!B24</f>
        <v>27323</v>
      </c>
      <c r="C15" s="99">
        <f t="shared" si="1"/>
        <v>10</v>
      </c>
      <c r="D15" s="101"/>
      <c r="E15" s="101"/>
      <c r="F15" s="100"/>
      <c r="G15" s="101"/>
      <c r="H15" s="100"/>
      <c r="I15" s="102">
        <f t="shared" si="0"/>
        <v>27323</v>
      </c>
      <c r="J15" s="74">
        <v>622472</v>
      </c>
      <c r="K15" s="55">
        <v>624260</v>
      </c>
      <c r="L15" s="75">
        <v>1788</v>
      </c>
      <c r="M15" s="75"/>
    </row>
    <row r="16" spans="1:13" ht="15" customHeight="1" thickTop="1">
      <c r="A16" s="80">
        <v>2008</v>
      </c>
      <c r="B16" s="81">
        <f t="shared" ref="B16:B33" si="2">ROUND($E$6*C16+$E$7,0)</f>
        <v>27257</v>
      </c>
      <c r="C16" s="77">
        <f t="shared" si="1"/>
        <v>11</v>
      </c>
      <c r="D16" s="256"/>
      <c r="E16" s="256"/>
      <c r="F16" s="78"/>
      <c r="G16" s="256"/>
      <c r="H16" s="78"/>
      <c r="I16" s="79">
        <f t="shared" si="0"/>
        <v>27256.7</v>
      </c>
      <c r="K16" s="55">
        <v>623804</v>
      </c>
      <c r="L16" s="75">
        <f>+J16-K16</f>
        <v>-623804</v>
      </c>
      <c r="M16" s="75"/>
    </row>
    <row r="17" spans="1:9" ht="15" customHeight="1">
      <c r="A17" s="80">
        <v>2009</v>
      </c>
      <c r="B17" s="81">
        <f t="shared" si="2"/>
        <v>27190</v>
      </c>
      <c r="C17" s="67">
        <f t="shared" si="1"/>
        <v>12</v>
      </c>
      <c r="D17" s="69"/>
      <c r="E17" s="69"/>
      <c r="F17" s="69"/>
      <c r="G17" s="69"/>
      <c r="H17" s="69"/>
      <c r="I17" s="70">
        <f t="shared" si="0"/>
        <v>27190.400000000001</v>
      </c>
    </row>
    <row r="18" spans="1:9" ht="15" customHeight="1">
      <c r="A18" s="80">
        <v>2010</v>
      </c>
      <c r="B18" s="81">
        <f t="shared" si="2"/>
        <v>27124</v>
      </c>
      <c r="C18" s="82">
        <f t="shared" si="1"/>
        <v>13</v>
      </c>
      <c r="D18" s="69"/>
      <c r="E18" s="69"/>
      <c r="F18" s="69"/>
      <c r="G18" s="69"/>
      <c r="H18" s="69"/>
      <c r="I18" s="70">
        <f t="shared" si="0"/>
        <v>27124.1</v>
      </c>
    </row>
    <row r="19" spans="1:9" ht="15" customHeight="1">
      <c r="A19" s="80">
        <v>2011</v>
      </c>
      <c r="B19" s="81">
        <f t="shared" si="2"/>
        <v>27058</v>
      </c>
      <c r="C19" s="82">
        <f t="shared" si="1"/>
        <v>14</v>
      </c>
      <c r="D19" s="69"/>
      <c r="E19" s="69"/>
      <c r="F19" s="69"/>
      <c r="G19" s="69"/>
      <c r="H19" s="69"/>
      <c r="I19" s="70">
        <f t="shared" si="0"/>
        <v>27057.8</v>
      </c>
    </row>
    <row r="20" spans="1:9" ht="15" customHeight="1">
      <c r="A20" s="80">
        <v>2012</v>
      </c>
      <c r="B20" s="81">
        <f t="shared" si="2"/>
        <v>26992</v>
      </c>
      <c r="C20" s="82">
        <f t="shared" si="1"/>
        <v>15</v>
      </c>
      <c r="D20" s="69"/>
      <c r="E20" s="69"/>
      <c r="F20" s="69"/>
      <c r="G20" s="69"/>
      <c r="H20" s="69"/>
      <c r="I20" s="70">
        <f t="shared" si="0"/>
        <v>26991.5</v>
      </c>
    </row>
    <row r="21" spans="1:9" ht="15" customHeight="1">
      <c r="A21" s="80">
        <v>2013</v>
      </c>
      <c r="B21" s="81">
        <f t="shared" si="2"/>
        <v>26925</v>
      </c>
      <c r="C21" s="82">
        <f t="shared" si="1"/>
        <v>16</v>
      </c>
      <c r="D21" s="69"/>
      <c r="E21" s="69"/>
      <c r="F21" s="69"/>
      <c r="G21" s="69"/>
      <c r="H21" s="69"/>
      <c r="I21" s="70">
        <f t="shared" si="0"/>
        <v>26925.200000000001</v>
      </c>
    </row>
    <row r="22" spans="1:9" ht="15" customHeight="1">
      <c r="A22" s="80">
        <v>2014</v>
      </c>
      <c r="B22" s="81">
        <f t="shared" si="2"/>
        <v>26859</v>
      </c>
      <c r="C22" s="82">
        <f t="shared" si="1"/>
        <v>17</v>
      </c>
      <c r="D22" s="69"/>
      <c r="E22" s="69"/>
      <c r="F22" s="69"/>
      <c r="G22" s="69"/>
      <c r="H22" s="69"/>
      <c r="I22" s="70">
        <f t="shared" si="0"/>
        <v>26858.9</v>
      </c>
    </row>
    <row r="23" spans="1:9" ht="15" customHeight="1">
      <c r="A23" s="80">
        <v>2015</v>
      </c>
      <c r="B23" s="81">
        <f t="shared" si="2"/>
        <v>26793</v>
      </c>
      <c r="C23" s="82">
        <f t="shared" si="1"/>
        <v>18</v>
      </c>
      <c r="D23" s="69"/>
      <c r="E23" s="69"/>
      <c r="F23" s="69"/>
      <c r="G23" s="69"/>
      <c r="H23" s="69"/>
      <c r="I23" s="70">
        <f t="shared" si="0"/>
        <v>26792.6</v>
      </c>
    </row>
    <row r="24" spans="1:9" ht="15" customHeight="1">
      <c r="A24" s="80">
        <v>2016</v>
      </c>
      <c r="B24" s="81">
        <f t="shared" si="2"/>
        <v>26726</v>
      </c>
      <c r="C24" s="82">
        <f t="shared" si="1"/>
        <v>19</v>
      </c>
      <c r="D24" s="69"/>
      <c r="E24" s="69"/>
      <c r="F24" s="69"/>
      <c r="G24" s="69"/>
      <c r="H24" s="69"/>
      <c r="I24" s="70">
        <f t="shared" si="0"/>
        <v>26726.3</v>
      </c>
    </row>
    <row r="25" spans="1:9" ht="15" customHeight="1">
      <c r="A25" s="80">
        <v>2017</v>
      </c>
      <c r="B25" s="81">
        <f t="shared" si="2"/>
        <v>26660</v>
      </c>
      <c r="C25" s="82">
        <f t="shared" si="1"/>
        <v>20</v>
      </c>
      <c r="D25" s="69"/>
      <c r="E25" s="69"/>
      <c r="F25" s="69"/>
      <c r="G25" s="69"/>
      <c r="H25" s="69"/>
      <c r="I25" s="70">
        <f t="shared" si="0"/>
        <v>26660</v>
      </c>
    </row>
    <row r="26" spans="1:9" ht="15" customHeight="1">
      <c r="A26" s="80">
        <v>2018</v>
      </c>
      <c r="B26" s="81">
        <f t="shared" si="2"/>
        <v>26594</v>
      </c>
      <c r="C26" s="82">
        <f t="shared" si="1"/>
        <v>21</v>
      </c>
      <c r="D26" s="69"/>
      <c r="E26" s="69"/>
      <c r="F26" s="69"/>
      <c r="G26" s="69"/>
      <c r="H26" s="69"/>
      <c r="I26" s="70">
        <f t="shared" si="0"/>
        <v>26593.7</v>
      </c>
    </row>
    <row r="27" spans="1:9" ht="15" customHeight="1">
      <c r="A27" s="80">
        <v>2019</v>
      </c>
      <c r="B27" s="81">
        <f t="shared" si="2"/>
        <v>26527</v>
      </c>
      <c r="C27" s="82">
        <f t="shared" si="1"/>
        <v>22</v>
      </c>
      <c r="D27" s="69"/>
      <c r="E27" s="69"/>
      <c r="F27" s="69"/>
      <c r="G27" s="69"/>
      <c r="H27" s="69"/>
      <c r="I27" s="70">
        <f t="shared" si="0"/>
        <v>26527.4</v>
      </c>
    </row>
    <row r="28" spans="1:9" ht="15" customHeight="1">
      <c r="A28" s="80">
        <v>2020</v>
      </c>
      <c r="B28" s="81">
        <f t="shared" si="2"/>
        <v>26461</v>
      </c>
      <c r="C28" s="82">
        <f t="shared" si="1"/>
        <v>23</v>
      </c>
      <c r="D28" s="69"/>
      <c r="E28" s="69"/>
      <c r="F28" s="69"/>
      <c r="G28" s="69"/>
      <c r="H28" s="69"/>
      <c r="I28" s="70">
        <f t="shared" si="0"/>
        <v>26461.1</v>
      </c>
    </row>
    <row r="29" spans="1:9" ht="15" customHeight="1">
      <c r="A29" s="80">
        <v>2021</v>
      </c>
      <c r="B29" s="81">
        <f t="shared" si="2"/>
        <v>26395</v>
      </c>
      <c r="C29" s="82">
        <f t="shared" si="1"/>
        <v>24</v>
      </c>
      <c r="D29" s="69"/>
      <c r="E29" s="69"/>
      <c r="F29" s="69"/>
      <c r="G29" s="69"/>
      <c r="H29" s="69"/>
      <c r="I29" s="70">
        <f t="shared" si="0"/>
        <v>26394.799999999999</v>
      </c>
    </row>
    <row r="30" spans="1:9" ht="15" customHeight="1">
      <c r="A30" s="80">
        <v>2022</v>
      </c>
      <c r="B30" s="81">
        <f t="shared" si="2"/>
        <v>26329</v>
      </c>
      <c r="C30" s="82">
        <f t="shared" si="1"/>
        <v>25</v>
      </c>
      <c r="D30" s="69"/>
      <c r="E30" s="69"/>
      <c r="F30" s="69"/>
      <c r="G30" s="69"/>
      <c r="H30" s="69"/>
      <c r="I30" s="70">
        <f t="shared" si="0"/>
        <v>26328.5</v>
      </c>
    </row>
    <row r="31" spans="1:9" ht="15" customHeight="1">
      <c r="A31" s="80">
        <v>2023</v>
      </c>
      <c r="B31" s="81">
        <f t="shared" si="2"/>
        <v>26262</v>
      </c>
      <c r="C31" s="82">
        <f t="shared" si="1"/>
        <v>26</v>
      </c>
      <c r="D31" s="69"/>
      <c r="E31" s="69"/>
      <c r="F31" s="69"/>
      <c r="G31" s="69"/>
      <c r="H31" s="69"/>
      <c r="I31" s="70">
        <f t="shared" si="0"/>
        <v>26262.2</v>
      </c>
    </row>
    <row r="32" spans="1:9" ht="15" customHeight="1">
      <c r="A32" s="80">
        <v>2024</v>
      </c>
      <c r="B32" s="81">
        <f t="shared" si="2"/>
        <v>26196</v>
      </c>
      <c r="C32" s="67">
        <f t="shared" si="1"/>
        <v>27</v>
      </c>
      <c r="D32" s="83"/>
      <c r="E32" s="69"/>
      <c r="F32" s="69"/>
      <c r="G32" s="69"/>
      <c r="H32" s="84"/>
      <c r="I32" s="70">
        <f t="shared" si="0"/>
        <v>26195.9</v>
      </c>
    </row>
    <row r="33" spans="1:9" ht="15" customHeight="1">
      <c r="A33" s="85">
        <v>2025</v>
      </c>
      <c r="B33" s="86">
        <f t="shared" si="2"/>
        <v>26130</v>
      </c>
      <c r="C33" s="87">
        <f t="shared" si="1"/>
        <v>28</v>
      </c>
      <c r="D33" s="88"/>
      <c r="E33" s="89"/>
      <c r="F33" s="89"/>
      <c r="G33" s="89"/>
      <c r="H33" s="90"/>
      <c r="I33" s="91">
        <f t="shared" si="0"/>
        <v>26129.599999999999</v>
      </c>
    </row>
    <row r="34" spans="1:9" ht="15" customHeight="1">
      <c r="A34" s="56" t="s">
        <v>78</v>
      </c>
      <c r="B34" s="92"/>
      <c r="I34" s="89"/>
    </row>
    <row r="35" spans="1:9" ht="15" customHeight="1">
      <c r="A35" s="58" t="s">
        <v>32</v>
      </c>
      <c r="B35" s="59" t="s">
        <v>40</v>
      </c>
      <c r="C35" s="59" t="s">
        <v>33</v>
      </c>
      <c r="D35" s="60"/>
      <c r="E35" s="60"/>
      <c r="F35" s="61"/>
      <c r="G35" s="62"/>
      <c r="H35" s="63" t="s">
        <v>244</v>
      </c>
      <c r="I35" s="64">
        <f>RSQ(I36:I46,B36:B46)</f>
        <v>0.37785896221963816</v>
      </c>
    </row>
    <row r="36" spans="1:9" ht="15" customHeight="1">
      <c r="A36" s="65">
        <f t="shared" ref="A36:B46" si="3">A5</f>
        <v>1997</v>
      </c>
      <c r="B36" s="93">
        <f t="shared" si="3"/>
        <v>27986</v>
      </c>
      <c r="C36" s="67">
        <v>0</v>
      </c>
      <c r="D36" s="53"/>
      <c r="E36" s="53"/>
      <c r="F36" s="69"/>
      <c r="G36" s="264"/>
      <c r="H36" s="265"/>
      <c r="I36" s="94">
        <f t="shared" ref="I36:I64" si="4">$E$37*C36+$E$38</f>
        <v>27839.681818181816</v>
      </c>
    </row>
    <row r="37" spans="1:9" ht="15" customHeight="1">
      <c r="A37" s="65" t="e">
        <f t="shared" si="3"/>
        <v>#REF!</v>
      </c>
      <c r="B37" s="93">
        <f t="shared" si="3"/>
        <v>28065</v>
      </c>
      <c r="C37" s="67">
        <f>+C36+1</f>
        <v>1</v>
      </c>
      <c r="D37" s="53" t="s">
        <v>75</v>
      </c>
      <c r="E37" s="68">
        <f>INDEX(LINEST(B36:B46,C36:C46),1)</f>
        <v>-88.372727272727275</v>
      </c>
      <c r="F37" s="69"/>
      <c r="G37" s="53"/>
      <c r="H37" s="69"/>
      <c r="I37" s="70">
        <f t="shared" si="4"/>
        <v>27751.30909090909</v>
      </c>
    </row>
    <row r="38" spans="1:9" ht="15" customHeight="1">
      <c r="A38" s="65" t="e">
        <f t="shared" si="3"/>
        <v>#REF!</v>
      </c>
      <c r="B38" s="93">
        <f t="shared" si="3"/>
        <v>27645</v>
      </c>
      <c r="C38" s="67">
        <f t="shared" ref="C38:C64" si="5">C37+1</f>
        <v>2</v>
      </c>
      <c r="D38" s="53" t="s">
        <v>76</v>
      </c>
      <c r="E38" s="72">
        <f>INDEX(LINEST(B36:B46,C36:C46),2)</f>
        <v>27839.681818181816</v>
      </c>
      <c r="F38" s="69"/>
      <c r="G38" s="53"/>
      <c r="H38" s="69"/>
      <c r="I38" s="70">
        <f t="shared" si="4"/>
        <v>27662.936363636363</v>
      </c>
    </row>
    <row r="39" spans="1:9" ht="15" customHeight="1">
      <c r="A39" s="65" t="e">
        <f t="shared" si="3"/>
        <v>#REF!</v>
      </c>
      <c r="B39" s="93">
        <f t="shared" si="3"/>
        <v>27936</v>
      </c>
      <c r="C39" s="67">
        <f t="shared" si="5"/>
        <v>3</v>
      </c>
      <c r="D39" s="53" t="s">
        <v>77</v>
      </c>
      <c r="E39" s="73">
        <f>I35</f>
        <v>0.37785896221963816</v>
      </c>
      <c r="F39" s="69"/>
      <c r="G39" s="53"/>
      <c r="H39" s="69"/>
      <c r="I39" s="70">
        <f t="shared" si="4"/>
        <v>27574.563636363633</v>
      </c>
    </row>
    <row r="40" spans="1:9" ht="15" customHeight="1">
      <c r="A40" s="65" t="e">
        <f t="shared" si="3"/>
        <v>#REF!</v>
      </c>
      <c r="B40" s="93">
        <f t="shared" si="3"/>
        <v>27280</v>
      </c>
      <c r="C40" s="67">
        <f t="shared" si="5"/>
        <v>4</v>
      </c>
      <c r="D40" s="53"/>
      <c r="E40" s="53"/>
      <c r="F40" s="69"/>
      <c r="G40" s="53"/>
      <c r="H40" s="69"/>
      <c r="I40" s="70">
        <f t="shared" si="4"/>
        <v>27486.190909090907</v>
      </c>
    </row>
    <row r="41" spans="1:9" ht="15" customHeight="1">
      <c r="A41" s="65" t="e">
        <f t="shared" si="3"/>
        <v>#REF!</v>
      </c>
      <c r="B41" s="93">
        <f t="shared" si="3"/>
        <v>26476</v>
      </c>
      <c r="C41" s="67">
        <f t="shared" si="5"/>
        <v>5</v>
      </c>
      <c r="D41" s="53"/>
      <c r="E41" s="53"/>
      <c r="F41" s="69"/>
      <c r="G41" s="95"/>
      <c r="H41" s="69"/>
      <c r="I41" s="70">
        <f t="shared" si="4"/>
        <v>27397.81818181818</v>
      </c>
    </row>
    <row r="42" spans="1:9" ht="15" customHeight="1">
      <c r="A42" s="65" t="e">
        <f t="shared" si="3"/>
        <v>#REF!</v>
      </c>
      <c r="B42" s="93">
        <f t="shared" si="3"/>
        <v>27113</v>
      </c>
      <c r="C42" s="67">
        <f t="shared" si="5"/>
        <v>6</v>
      </c>
      <c r="D42" s="53"/>
      <c r="E42" s="53"/>
      <c r="F42" s="69"/>
      <c r="G42" s="53"/>
      <c r="H42" s="69"/>
      <c r="I42" s="70">
        <f t="shared" si="4"/>
        <v>27309.445454545454</v>
      </c>
    </row>
    <row r="43" spans="1:9" ht="15" customHeight="1">
      <c r="A43" s="65" t="e">
        <f t="shared" si="3"/>
        <v>#REF!</v>
      </c>
      <c r="B43" s="93">
        <f t="shared" si="3"/>
        <v>27168</v>
      </c>
      <c r="C43" s="67">
        <f t="shared" si="5"/>
        <v>7</v>
      </c>
      <c r="D43" s="53" t="s">
        <v>73</v>
      </c>
      <c r="E43" s="53"/>
      <c r="F43" s="69"/>
      <c r="G43" s="53"/>
      <c r="H43" s="69"/>
      <c r="I43" s="70">
        <f t="shared" si="4"/>
        <v>27221.072727272724</v>
      </c>
    </row>
    <row r="44" spans="1:9" ht="15" customHeight="1">
      <c r="A44" s="65" t="e">
        <f t="shared" si="3"/>
        <v>#REF!</v>
      </c>
      <c r="B44" s="93">
        <f t="shared" si="3"/>
        <v>27044</v>
      </c>
      <c r="C44" s="67">
        <f t="shared" si="5"/>
        <v>8</v>
      </c>
      <c r="D44" s="53"/>
      <c r="E44" s="53"/>
      <c r="F44" s="69"/>
      <c r="G44" s="53"/>
      <c r="H44" s="69"/>
      <c r="I44" s="70">
        <f t="shared" si="4"/>
        <v>27132.699999999997</v>
      </c>
    </row>
    <row r="45" spans="1:9" ht="15" customHeight="1">
      <c r="A45" s="65" t="e">
        <f t="shared" si="3"/>
        <v>#REF!</v>
      </c>
      <c r="B45" s="93">
        <f t="shared" si="3"/>
        <v>27340</v>
      </c>
      <c r="C45" s="67">
        <f t="shared" si="5"/>
        <v>9</v>
      </c>
      <c r="D45" s="53"/>
      <c r="E45" s="53"/>
      <c r="F45" s="69"/>
      <c r="G45" s="53"/>
      <c r="H45" s="69"/>
      <c r="I45" s="70">
        <f t="shared" si="4"/>
        <v>27044.327272727271</v>
      </c>
    </row>
    <row r="46" spans="1:9" ht="15" customHeight="1" thickBot="1">
      <c r="A46" s="97" t="e">
        <f t="shared" si="3"/>
        <v>#REF!</v>
      </c>
      <c r="B46" s="98">
        <f t="shared" si="3"/>
        <v>27323</v>
      </c>
      <c r="C46" s="99">
        <f t="shared" si="5"/>
        <v>10</v>
      </c>
      <c r="D46" s="100"/>
      <c r="E46" s="100"/>
      <c r="F46" s="100"/>
      <c r="G46" s="101"/>
      <c r="H46" s="101"/>
      <c r="I46" s="102">
        <f t="shared" si="4"/>
        <v>26955.954545454544</v>
      </c>
    </row>
    <row r="47" spans="1:9" ht="15" customHeight="1" thickTop="1">
      <c r="A47" s="80">
        <v>2008</v>
      </c>
      <c r="B47" s="81">
        <f t="shared" ref="B47:B64" si="6">ROUND(E$37*C47+E$38,0)</f>
        <v>26868</v>
      </c>
      <c r="C47" s="77">
        <f t="shared" si="5"/>
        <v>11</v>
      </c>
      <c r="D47" s="78"/>
      <c r="E47" s="78"/>
      <c r="F47" s="78"/>
      <c r="G47" s="256"/>
      <c r="H47" s="256"/>
      <c r="I47" s="79">
        <f t="shared" si="4"/>
        <v>26867.581818181818</v>
      </c>
    </row>
    <row r="48" spans="1:9" ht="15" customHeight="1">
      <c r="A48" s="80">
        <v>2009</v>
      </c>
      <c r="B48" s="81">
        <f t="shared" si="6"/>
        <v>26779</v>
      </c>
      <c r="C48" s="67">
        <f t="shared" si="5"/>
        <v>12</v>
      </c>
      <c r="D48" s="69"/>
      <c r="E48" s="69"/>
      <c r="F48" s="69"/>
      <c r="G48" s="69"/>
      <c r="H48" s="69"/>
      <c r="I48" s="70">
        <f t="shared" si="4"/>
        <v>26779.209090909088</v>
      </c>
    </row>
    <row r="49" spans="1:9" ht="15" customHeight="1">
      <c r="A49" s="80">
        <v>2010</v>
      </c>
      <c r="B49" s="81">
        <f t="shared" si="6"/>
        <v>26691</v>
      </c>
      <c r="C49" s="82">
        <f t="shared" si="5"/>
        <v>13</v>
      </c>
      <c r="D49" s="69"/>
      <c r="E49" s="69"/>
      <c r="F49" s="69"/>
      <c r="G49" s="69"/>
      <c r="H49" s="69"/>
      <c r="I49" s="70">
        <f t="shared" si="4"/>
        <v>26690.836363636361</v>
      </c>
    </row>
    <row r="50" spans="1:9" ht="15" customHeight="1">
      <c r="A50" s="80">
        <v>2011</v>
      </c>
      <c r="B50" s="81">
        <f t="shared" si="6"/>
        <v>26602</v>
      </c>
      <c r="C50" s="82">
        <f t="shared" si="5"/>
        <v>14</v>
      </c>
      <c r="D50" s="69"/>
      <c r="E50" s="69"/>
      <c r="F50" s="69"/>
      <c r="G50" s="69"/>
      <c r="H50" s="69"/>
      <c r="I50" s="70">
        <f t="shared" si="4"/>
        <v>26602.463636363635</v>
      </c>
    </row>
    <row r="51" spans="1:9" ht="15" customHeight="1">
      <c r="A51" s="80">
        <v>2012</v>
      </c>
      <c r="B51" s="81">
        <f t="shared" si="6"/>
        <v>26514</v>
      </c>
      <c r="C51" s="82">
        <f t="shared" si="5"/>
        <v>15</v>
      </c>
      <c r="D51" s="69"/>
      <c r="E51" s="69"/>
      <c r="F51" s="69"/>
      <c r="G51" s="69"/>
      <c r="H51" s="69"/>
      <c r="I51" s="70">
        <f t="shared" si="4"/>
        <v>26514.090909090908</v>
      </c>
    </row>
    <row r="52" spans="1:9" ht="15" customHeight="1">
      <c r="A52" s="80">
        <v>2013</v>
      </c>
      <c r="B52" s="81">
        <f t="shared" si="6"/>
        <v>26426</v>
      </c>
      <c r="C52" s="82">
        <f t="shared" si="5"/>
        <v>16</v>
      </c>
      <c r="D52" s="69"/>
      <c r="E52" s="69"/>
      <c r="F52" s="69"/>
      <c r="G52" s="69"/>
      <c r="H52" s="69"/>
      <c r="I52" s="70">
        <f t="shared" si="4"/>
        <v>26425.718181818178</v>
      </c>
    </row>
    <row r="53" spans="1:9" ht="15" customHeight="1">
      <c r="A53" s="80">
        <v>2014</v>
      </c>
      <c r="B53" s="81">
        <f t="shared" si="6"/>
        <v>26337</v>
      </c>
      <c r="C53" s="82">
        <f t="shared" si="5"/>
        <v>17</v>
      </c>
      <c r="D53" s="69"/>
      <c r="E53" s="69"/>
      <c r="F53" s="69"/>
      <c r="G53" s="69"/>
      <c r="H53" s="69"/>
      <c r="I53" s="70">
        <f t="shared" si="4"/>
        <v>26337.345454545452</v>
      </c>
    </row>
    <row r="54" spans="1:9" ht="15" customHeight="1">
      <c r="A54" s="80">
        <v>2015</v>
      </c>
      <c r="B54" s="81">
        <f t="shared" si="6"/>
        <v>26249</v>
      </c>
      <c r="C54" s="82">
        <f t="shared" si="5"/>
        <v>18</v>
      </c>
      <c r="D54" s="69"/>
      <c r="E54" s="69"/>
      <c r="F54" s="69"/>
      <c r="G54" s="69"/>
      <c r="H54" s="69"/>
      <c r="I54" s="70">
        <f t="shared" si="4"/>
        <v>26248.972727272725</v>
      </c>
    </row>
    <row r="55" spans="1:9" ht="15" customHeight="1">
      <c r="A55" s="80">
        <v>2016</v>
      </c>
      <c r="B55" s="81">
        <f t="shared" si="6"/>
        <v>26161</v>
      </c>
      <c r="C55" s="82">
        <f t="shared" si="5"/>
        <v>19</v>
      </c>
      <c r="D55" s="69"/>
      <c r="E55" s="69"/>
      <c r="F55" s="69"/>
      <c r="G55" s="69"/>
      <c r="H55" s="69"/>
      <c r="I55" s="70">
        <f t="shared" si="4"/>
        <v>26160.6</v>
      </c>
    </row>
    <row r="56" spans="1:9" ht="15" customHeight="1">
      <c r="A56" s="80">
        <v>2017</v>
      </c>
      <c r="B56" s="81">
        <f t="shared" si="6"/>
        <v>26072</v>
      </c>
      <c r="C56" s="82">
        <f t="shared" si="5"/>
        <v>20</v>
      </c>
      <c r="D56" s="69"/>
      <c r="E56" s="69"/>
      <c r="F56" s="69"/>
      <c r="G56" s="69"/>
      <c r="H56" s="69"/>
      <c r="I56" s="70">
        <f t="shared" si="4"/>
        <v>26072.227272727272</v>
      </c>
    </row>
    <row r="57" spans="1:9" ht="15" customHeight="1">
      <c r="A57" s="80">
        <v>2018</v>
      </c>
      <c r="B57" s="81">
        <f t="shared" si="6"/>
        <v>25984</v>
      </c>
      <c r="C57" s="82">
        <f t="shared" si="5"/>
        <v>21</v>
      </c>
      <c r="D57" s="69"/>
      <c r="E57" s="69"/>
      <c r="F57" s="69"/>
      <c r="G57" s="69"/>
      <c r="H57" s="69"/>
      <c r="I57" s="70">
        <f t="shared" si="4"/>
        <v>25983.854545454542</v>
      </c>
    </row>
    <row r="58" spans="1:9" ht="15" customHeight="1">
      <c r="A58" s="80">
        <v>2019</v>
      </c>
      <c r="B58" s="81">
        <f t="shared" si="6"/>
        <v>25895</v>
      </c>
      <c r="C58" s="82">
        <f t="shared" si="5"/>
        <v>22</v>
      </c>
      <c r="D58" s="69"/>
      <c r="E58" s="69"/>
      <c r="F58" s="69"/>
      <c r="G58" s="69"/>
      <c r="H58" s="69"/>
      <c r="I58" s="70">
        <f t="shared" si="4"/>
        <v>25895.481818181815</v>
      </c>
    </row>
    <row r="59" spans="1:9" ht="15" customHeight="1">
      <c r="A59" s="80">
        <v>2020</v>
      </c>
      <c r="B59" s="81">
        <f t="shared" si="6"/>
        <v>25807</v>
      </c>
      <c r="C59" s="82">
        <f t="shared" si="5"/>
        <v>23</v>
      </c>
      <c r="D59" s="69"/>
      <c r="E59" s="69"/>
      <c r="F59" s="69"/>
      <c r="G59" s="69"/>
      <c r="H59" s="69"/>
      <c r="I59" s="70">
        <f t="shared" si="4"/>
        <v>25807.109090909089</v>
      </c>
    </row>
    <row r="60" spans="1:9" ht="15" customHeight="1">
      <c r="A60" s="80">
        <v>2021</v>
      </c>
      <c r="B60" s="81">
        <f t="shared" si="6"/>
        <v>25719</v>
      </c>
      <c r="C60" s="82">
        <f t="shared" si="5"/>
        <v>24</v>
      </c>
      <c r="D60" s="69"/>
      <c r="E60" s="69"/>
      <c r="F60" s="69"/>
      <c r="G60" s="69"/>
      <c r="H60" s="69"/>
      <c r="I60" s="70">
        <f t="shared" si="4"/>
        <v>25718.736363636363</v>
      </c>
    </row>
    <row r="61" spans="1:9" ht="15" customHeight="1">
      <c r="A61" s="80">
        <v>2022</v>
      </c>
      <c r="B61" s="81">
        <f t="shared" si="6"/>
        <v>25630</v>
      </c>
      <c r="C61" s="82">
        <f t="shared" si="5"/>
        <v>25</v>
      </c>
      <c r="D61" s="69"/>
      <c r="E61" s="69"/>
      <c r="F61" s="69"/>
      <c r="G61" s="69"/>
      <c r="H61" s="69"/>
      <c r="I61" s="70">
        <f t="shared" si="4"/>
        <v>25630.363636363632</v>
      </c>
    </row>
    <row r="62" spans="1:9" ht="15" customHeight="1">
      <c r="A62" s="80">
        <v>2023</v>
      </c>
      <c r="B62" s="81">
        <f t="shared" si="6"/>
        <v>25542</v>
      </c>
      <c r="C62" s="82">
        <f t="shared" si="5"/>
        <v>26</v>
      </c>
      <c r="D62" s="69"/>
      <c r="E62" s="69"/>
      <c r="F62" s="69"/>
      <c r="G62" s="69"/>
      <c r="H62" s="69"/>
      <c r="I62" s="70">
        <f t="shared" si="4"/>
        <v>25541.990909090906</v>
      </c>
    </row>
    <row r="63" spans="1:9" ht="15" customHeight="1">
      <c r="A63" s="80">
        <v>2024</v>
      </c>
      <c r="B63" s="81">
        <f t="shared" si="6"/>
        <v>25454</v>
      </c>
      <c r="C63" s="67">
        <f t="shared" si="5"/>
        <v>27</v>
      </c>
      <c r="D63" s="69"/>
      <c r="E63" s="69"/>
      <c r="F63" s="69"/>
      <c r="G63" s="69"/>
      <c r="H63" s="69"/>
      <c r="I63" s="70">
        <f t="shared" si="4"/>
        <v>25453.618181818179</v>
      </c>
    </row>
    <row r="64" spans="1:9" ht="15" customHeight="1">
      <c r="A64" s="85">
        <v>2025</v>
      </c>
      <c r="B64" s="86">
        <f t="shared" si="6"/>
        <v>25365</v>
      </c>
      <c r="C64" s="87">
        <f t="shared" si="5"/>
        <v>28</v>
      </c>
      <c r="D64" s="89"/>
      <c r="E64" s="89"/>
      <c r="F64" s="89"/>
      <c r="G64" s="89"/>
      <c r="H64" s="89"/>
      <c r="I64" s="91">
        <f t="shared" si="4"/>
        <v>25365.245454545453</v>
      </c>
    </row>
    <row r="65" spans="1:11" ht="15" customHeight="1">
      <c r="A65" s="56" t="s">
        <v>79</v>
      </c>
      <c r="B65" s="57"/>
    </row>
    <row r="66" spans="1:11" ht="15" customHeight="1">
      <c r="A66" s="58" t="s">
        <v>32</v>
      </c>
      <c r="B66" s="59" t="s">
        <v>40</v>
      </c>
      <c r="C66" s="59" t="s">
        <v>34</v>
      </c>
      <c r="D66" s="59" t="s">
        <v>33</v>
      </c>
      <c r="E66" s="103"/>
      <c r="F66" s="60"/>
      <c r="G66" s="61"/>
      <c r="H66" s="63" t="s">
        <v>244</v>
      </c>
      <c r="I66" s="64">
        <f>RSQ(I67:I77,B67:B77)</f>
        <v>0.37987654827670619</v>
      </c>
    </row>
    <row r="67" spans="1:11" ht="15" customHeight="1">
      <c r="A67" s="65">
        <v>1997</v>
      </c>
      <c r="B67" s="104">
        <f t="shared" ref="B67:B77" si="7">B5</f>
        <v>27986</v>
      </c>
      <c r="C67" s="105">
        <f t="shared" ref="C67:C95" si="8">LN(B67)</f>
        <v>10.239459664115659</v>
      </c>
      <c r="D67" s="67">
        <v>0</v>
      </c>
      <c r="E67" s="106"/>
      <c r="F67" s="53"/>
      <c r="G67" s="69"/>
      <c r="H67" s="265"/>
      <c r="I67" s="109">
        <f t="shared" ref="I67:I95" si="9">ROUND($F$69*(1+$F$68)^(D67),1)</f>
        <v>27986</v>
      </c>
    </row>
    <row r="68" spans="1:11" ht="15" customHeight="1">
      <c r="A68" s="65" t="e">
        <f t="shared" ref="A68:A77" si="10">A6</f>
        <v>#REF!</v>
      </c>
      <c r="B68" s="104">
        <f t="shared" si="7"/>
        <v>28065</v>
      </c>
      <c r="C68" s="105">
        <f t="shared" si="8"/>
        <v>10.2422785273763</v>
      </c>
      <c r="D68" s="67">
        <f>+D67+1</f>
        <v>1</v>
      </c>
      <c r="E68" s="106" t="s">
        <v>37</v>
      </c>
      <c r="F68" s="73">
        <f>ROUND((B77/B67)^(1/D77)-1,5)</f>
        <v>-2.3900000000000002E-3</v>
      </c>
      <c r="G68" s="107"/>
      <c r="H68" s="108"/>
      <c r="I68" s="109">
        <f t="shared" si="9"/>
        <v>27919.1</v>
      </c>
    </row>
    <row r="69" spans="1:11" ht="15" customHeight="1">
      <c r="A69" s="65" t="e">
        <f t="shared" si="10"/>
        <v>#REF!</v>
      </c>
      <c r="B69" s="104">
        <f t="shared" si="7"/>
        <v>27645</v>
      </c>
      <c r="C69" s="105">
        <f t="shared" si="8"/>
        <v>10.227200158772034</v>
      </c>
      <c r="D69" s="67">
        <f t="shared" ref="D69:D95" si="11">D68+1</f>
        <v>2</v>
      </c>
      <c r="E69" s="106" t="s">
        <v>80</v>
      </c>
      <c r="F69" s="110">
        <f>B67</f>
        <v>27986</v>
      </c>
      <c r="G69" s="107"/>
      <c r="H69" s="108"/>
      <c r="I69" s="109">
        <f t="shared" si="9"/>
        <v>27852.400000000001</v>
      </c>
      <c r="K69" s="111"/>
    </row>
    <row r="70" spans="1:11" ht="15" customHeight="1">
      <c r="A70" s="65" t="e">
        <f t="shared" si="10"/>
        <v>#REF!</v>
      </c>
      <c r="B70" s="104">
        <f t="shared" si="7"/>
        <v>27936</v>
      </c>
      <c r="C70" s="105">
        <f t="shared" si="8"/>
        <v>10.237671458639328</v>
      </c>
      <c r="D70" s="67">
        <f t="shared" si="11"/>
        <v>3</v>
      </c>
      <c r="E70" s="106" t="s">
        <v>77</v>
      </c>
      <c r="F70" s="73">
        <f>I66</f>
        <v>0.37987654827670619</v>
      </c>
      <c r="G70" s="108"/>
      <c r="H70" s="108"/>
      <c r="I70" s="109">
        <f t="shared" si="9"/>
        <v>27785.8</v>
      </c>
    </row>
    <row r="71" spans="1:11" ht="15" customHeight="1">
      <c r="A71" s="65" t="e">
        <f t="shared" si="10"/>
        <v>#REF!</v>
      </c>
      <c r="B71" s="104">
        <f t="shared" si="7"/>
        <v>27280</v>
      </c>
      <c r="C71" s="105">
        <f t="shared" si="8"/>
        <v>10.213909111957399</v>
      </c>
      <c r="D71" s="67">
        <f t="shared" si="11"/>
        <v>4</v>
      </c>
      <c r="E71" s="106"/>
      <c r="F71" s="73"/>
      <c r="G71" s="108"/>
      <c r="H71" s="108"/>
      <c r="I71" s="109">
        <f t="shared" si="9"/>
        <v>27719.4</v>
      </c>
    </row>
    <row r="72" spans="1:11" ht="15" customHeight="1">
      <c r="A72" s="65" t="e">
        <f t="shared" si="10"/>
        <v>#REF!</v>
      </c>
      <c r="B72" s="104">
        <f t="shared" si="7"/>
        <v>26476</v>
      </c>
      <c r="C72" s="105">
        <f t="shared" si="8"/>
        <v>10.183993941238814</v>
      </c>
      <c r="D72" s="67">
        <f t="shared" si="11"/>
        <v>5</v>
      </c>
      <c r="E72" s="106" t="s">
        <v>81</v>
      </c>
      <c r="F72" s="72"/>
      <c r="G72" s="108"/>
      <c r="H72" s="108"/>
      <c r="I72" s="109">
        <f t="shared" si="9"/>
        <v>27653.200000000001</v>
      </c>
    </row>
    <row r="73" spans="1:11" ht="15" customHeight="1">
      <c r="A73" s="65" t="e">
        <f t="shared" si="10"/>
        <v>#REF!</v>
      </c>
      <c r="B73" s="104">
        <f t="shared" si="7"/>
        <v>27113</v>
      </c>
      <c r="C73" s="105">
        <f t="shared" si="8"/>
        <v>10.207768596643277</v>
      </c>
      <c r="D73" s="67">
        <f t="shared" si="11"/>
        <v>6</v>
      </c>
      <c r="E73" s="112"/>
      <c r="F73" s="113"/>
      <c r="G73" s="108"/>
      <c r="H73" s="108"/>
      <c r="I73" s="109">
        <f t="shared" si="9"/>
        <v>27587.1</v>
      </c>
    </row>
    <row r="74" spans="1:11" ht="15" customHeight="1">
      <c r="A74" s="65" t="e">
        <f t="shared" si="10"/>
        <v>#REF!</v>
      </c>
      <c r="B74" s="104">
        <f t="shared" si="7"/>
        <v>27168</v>
      </c>
      <c r="C74" s="105">
        <f t="shared" si="8"/>
        <v>10.209795089111074</v>
      </c>
      <c r="D74" s="67">
        <f t="shared" si="11"/>
        <v>7</v>
      </c>
      <c r="E74" s="114"/>
      <c r="F74" s="113"/>
      <c r="G74" s="108"/>
      <c r="H74" s="108"/>
      <c r="I74" s="109">
        <f t="shared" si="9"/>
        <v>27521.1</v>
      </c>
    </row>
    <row r="75" spans="1:11" ht="15" customHeight="1">
      <c r="A75" s="65" t="e">
        <f t="shared" si="10"/>
        <v>#REF!</v>
      </c>
      <c r="B75" s="104">
        <f t="shared" si="7"/>
        <v>27044</v>
      </c>
      <c r="C75" s="105">
        <f t="shared" si="8"/>
        <v>10.205220448210568</v>
      </c>
      <c r="D75" s="67">
        <f t="shared" si="11"/>
        <v>8</v>
      </c>
      <c r="E75" s="114"/>
      <c r="F75" s="113"/>
      <c r="G75" s="108"/>
      <c r="H75" s="108"/>
      <c r="I75" s="109">
        <f t="shared" si="9"/>
        <v>27455.4</v>
      </c>
    </row>
    <row r="76" spans="1:11" ht="15" customHeight="1">
      <c r="A76" s="65" t="e">
        <f t="shared" si="10"/>
        <v>#REF!</v>
      </c>
      <c r="B76" s="104">
        <f t="shared" si="7"/>
        <v>27340</v>
      </c>
      <c r="C76" s="105">
        <f t="shared" si="8"/>
        <v>10.216106110277941</v>
      </c>
      <c r="D76" s="67">
        <f t="shared" si="11"/>
        <v>9</v>
      </c>
      <c r="E76" s="108"/>
      <c r="F76" s="108"/>
      <c r="G76" s="115"/>
      <c r="H76" s="108"/>
      <c r="I76" s="109">
        <f t="shared" si="9"/>
        <v>27389.7</v>
      </c>
    </row>
    <row r="77" spans="1:11" s="100" customFormat="1" ht="15" customHeight="1" thickBot="1">
      <c r="A77" s="97" t="e">
        <f t="shared" si="10"/>
        <v>#REF!</v>
      </c>
      <c r="B77" s="116">
        <f t="shared" si="7"/>
        <v>27323</v>
      </c>
      <c r="C77" s="117">
        <f t="shared" si="8"/>
        <v>10.215484117319336</v>
      </c>
      <c r="D77" s="99">
        <f t="shared" si="11"/>
        <v>10</v>
      </c>
      <c r="E77" s="118"/>
      <c r="F77" s="118"/>
      <c r="G77" s="119"/>
      <c r="H77" s="118"/>
      <c r="I77" s="120">
        <f t="shared" si="9"/>
        <v>27324.3</v>
      </c>
    </row>
    <row r="78" spans="1:11" s="78" customFormat="1" ht="15" customHeight="1" thickTop="1">
      <c r="A78" s="80">
        <v>2008</v>
      </c>
      <c r="B78" s="81">
        <f t="shared" ref="B78:B95" si="12">ROUND(F$69*(1+F$68)^D78,0)</f>
        <v>27259</v>
      </c>
      <c r="C78" s="121">
        <f t="shared" si="8"/>
        <v>10.213139020791891</v>
      </c>
      <c r="D78" s="77">
        <f t="shared" si="11"/>
        <v>11</v>
      </c>
      <c r="E78" s="259"/>
      <c r="F78" s="259"/>
      <c r="G78" s="260"/>
      <c r="H78" s="259"/>
      <c r="I78" s="123">
        <f t="shared" si="9"/>
        <v>27259</v>
      </c>
    </row>
    <row r="79" spans="1:11" ht="15" customHeight="1">
      <c r="A79" s="80">
        <v>2009</v>
      </c>
      <c r="B79" s="81">
        <f t="shared" si="12"/>
        <v>27194</v>
      </c>
      <c r="C79" s="105">
        <f t="shared" si="8"/>
        <v>10.210751639715632</v>
      </c>
      <c r="D79" s="67">
        <f t="shared" si="11"/>
        <v>12</v>
      </c>
      <c r="E79" s="83"/>
      <c r="F79" s="69"/>
      <c r="G79" s="69"/>
      <c r="H79" s="69"/>
      <c r="I79" s="109">
        <f t="shared" si="9"/>
        <v>27193.8</v>
      </c>
    </row>
    <row r="80" spans="1:11" ht="15" customHeight="1">
      <c r="A80" s="80">
        <v>2010</v>
      </c>
      <c r="B80" s="81">
        <f t="shared" si="12"/>
        <v>27129</v>
      </c>
      <c r="C80" s="105">
        <f t="shared" si="8"/>
        <v>10.20835854540859</v>
      </c>
      <c r="D80" s="67">
        <f t="shared" si="11"/>
        <v>13</v>
      </c>
      <c r="E80" s="83"/>
      <c r="F80" s="69"/>
      <c r="G80" s="69"/>
      <c r="H80" s="69"/>
      <c r="I80" s="109">
        <f t="shared" si="9"/>
        <v>27128.799999999999</v>
      </c>
    </row>
    <row r="81" spans="1:9" ht="15" customHeight="1">
      <c r="A81" s="80">
        <v>2011</v>
      </c>
      <c r="B81" s="81">
        <f t="shared" si="12"/>
        <v>27064</v>
      </c>
      <c r="C81" s="105">
        <f t="shared" si="8"/>
        <v>10.205959710460544</v>
      </c>
      <c r="D81" s="67">
        <f t="shared" si="11"/>
        <v>14</v>
      </c>
      <c r="E81" s="83"/>
      <c r="F81" s="69"/>
      <c r="G81" s="69"/>
      <c r="H81" s="69"/>
      <c r="I81" s="109">
        <f t="shared" si="9"/>
        <v>27064</v>
      </c>
    </row>
    <row r="82" spans="1:9" ht="15" customHeight="1">
      <c r="A82" s="80">
        <v>2012</v>
      </c>
      <c r="B82" s="81">
        <f t="shared" si="12"/>
        <v>26999</v>
      </c>
      <c r="C82" s="105">
        <f t="shared" si="8"/>
        <v>10.203555107263542</v>
      </c>
      <c r="D82" s="67">
        <f t="shared" si="11"/>
        <v>15</v>
      </c>
      <c r="E82" s="83"/>
      <c r="F82" s="69"/>
      <c r="G82" s="69"/>
      <c r="H82" s="69"/>
      <c r="I82" s="109">
        <f t="shared" si="9"/>
        <v>26999.3</v>
      </c>
    </row>
    <row r="83" spans="1:9" ht="15" customHeight="1">
      <c r="A83" s="80">
        <v>2013</v>
      </c>
      <c r="B83" s="81">
        <f t="shared" si="12"/>
        <v>26935</v>
      </c>
      <c r="C83" s="105">
        <f t="shared" si="8"/>
        <v>10.201181835114634</v>
      </c>
      <c r="D83" s="67">
        <f t="shared" si="11"/>
        <v>16</v>
      </c>
      <c r="E83" s="83"/>
      <c r="F83" s="69"/>
      <c r="G83" s="69"/>
      <c r="H83" s="69"/>
      <c r="I83" s="109">
        <f t="shared" si="9"/>
        <v>26934.799999999999</v>
      </c>
    </row>
    <row r="84" spans="1:9" ht="15" customHeight="1">
      <c r="A84" s="80">
        <v>2014</v>
      </c>
      <c r="B84" s="81">
        <f t="shared" si="12"/>
        <v>26870</v>
      </c>
      <c r="C84" s="105">
        <f t="shared" si="8"/>
        <v>10.198765701609537</v>
      </c>
      <c r="D84" s="67">
        <f t="shared" si="11"/>
        <v>17</v>
      </c>
      <c r="E84" s="83"/>
      <c r="F84" s="69"/>
      <c r="G84" s="69"/>
      <c r="H84" s="69"/>
      <c r="I84" s="109">
        <f t="shared" si="9"/>
        <v>26870.400000000001</v>
      </c>
    </row>
    <row r="85" spans="1:9" ht="15" customHeight="1">
      <c r="A85" s="80">
        <v>2015</v>
      </c>
      <c r="B85" s="81">
        <f t="shared" si="12"/>
        <v>26806</v>
      </c>
      <c r="C85" s="105">
        <f t="shared" si="8"/>
        <v>10.196381022038443</v>
      </c>
      <c r="D85" s="67">
        <f t="shared" si="11"/>
        <v>18</v>
      </c>
      <c r="E85" s="83"/>
      <c r="F85" s="69"/>
      <c r="G85" s="69"/>
      <c r="H85" s="69"/>
      <c r="I85" s="109">
        <f t="shared" si="9"/>
        <v>26806.2</v>
      </c>
    </row>
    <row r="86" spans="1:9" ht="15" customHeight="1">
      <c r="A86" s="80">
        <v>2016</v>
      </c>
      <c r="B86" s="81">
        <f t="shared" si="12"/>
        <v>26742</v>
      </c>
      <c r="C86" s="105">
        <f t="shared" si="8"/>
        <v>10.193990642174612</v>
      </c>
      <c r="D86" s="67">
        <f t="shared" si="11"/>
        <v>19</v>
      </c>
      <c r="E86" s="83"/>
      <c r="F86" s="69"/>
      <c r="G86" s="69"/>
      <c r="H86" s="69"/>
      <c r="I86" s="109">
        <f t="shared" si="9"/>
        <v>26742.1</v>
      </c>
    </row>
    <row r="87" spans="1:9" ht="15" customHeight="1">
      <c r="A87" s="80">
        <v>2017</v>
      </c>
      <c r="B87" s="81">
        <f t="shared" si="12"/>
        <v>26678</v>
      </c>
      <c r="C87" s="105">
        <f t="shared" si="8"/>
        <v>10.19159453470099</v>
      </c>
      <c r="D87" s="67">
        <f t="shared" si="11"/>
        <v>20</v>
      </c>
      <c r="E87" s="83"/>
      <c r="F87" s="69"/>
      <c r="G87" s="69"/>
      <c r="H87" s="69"/>
      <c r="I87" s="109">
        <f t="shared" si="9"/>
        <v>26678.2</v>
      </c>
    </row>
    <row r="88" spans="1:9" ht="15" customHeight="1">
      <c r="A88" s="80">
        <v>2018</v>
      </c>
      <c r="B88" s="81">
        <f t="shared" si="12"/>
        <v>26614</v>
      </c>
      <c r="C88" s="105">
        <f t="shared" si="8"/>
        <v>10.189192672103689</v>
      </c>
      <c r="D88" s="67">
        <f t="shared" si="11"/>
        <v>21</v>
      </c>
      <c r="E88" s="83"/>
      <c r="F88" s="69"/>
      <c r="G88" s="69"/>
      <c r="H88" s="69"/>
      <c r="I88" s="109">
        <f t="shared" si="9"/>
        <v>26614.5</v>
      </c>
    </row>
    <row r="89" spans="1:9" ht="15" customHeight="1">
      <c r="A89" s="80">
        <v>2019</v>
      </c>
      <c r="B89" s="81">
        <f t="shared" si="12"/>
        <v>26551</v>
      </c>
      <c r="C89" s="105">
        <f t="shared" si="8"/>
        <v>10.186822690744211</v>
      </c>
      <c r="D89" s="67">
        <f t="shared" si="11"/>
        <v>22</v>
      </c>
      <c r="E89" s="83"/>
      <c r="F89" s="69"/>
      <c r="G89" s="69"/>
      <c r="H89" s="69"/>
      <c r="I89" s="109">
        <f t="shared" si="9"/>
        <v>26550.799999999999</v>
      </c>
    </row>
    <row r="90" spans="1:9" ht="15" customHeight="1">
      <c r="A90" s="80">
        <v>2020</v>
      </c>
      <c r="B90" s="81">
        <f t="shared" si="12"/>
        <v>26487</v>
      </c>
      <c r="C90" s="105">
        <f t="shared" si="8"/>
        <v>10.184409325569693</v>
      </c>
      <c r="D90" s="67">
        <f t="shared" si="11"/>
        <v>23</v>
      </c>
      <c r="E90" s="83"/>
      <c r="F90" s="69"/>
      <c r="G90" s="69"/>
      <c r="H90" s="69"/>
      <c r="I90" s="109">
        <f t="shared" si="9"/>
        <v>26487.4</v>
      </c>
    </row>
    <row r="91" spans="1:9" ht="15" customHeight="1">
      <c r="A91" s="80">
        <v>2021</v>
      </c>
      <c r="B91" s="81">
        <f t="shared" si="12"/>
        <v>26424</v>
      </c>
      <c r="C91" s="105">
        <f t="shared" si="8"/>
        <v>10.182027967070626</v>
      </c>
      <c r="D91" s="67">
        <f t="shared" si="11"/>
        <v>24</v>
      </c>
      <c r="E91" s="83"/>
      <c r="F91" s="69"/>
      <c r="G91" s="69"/>
      <c r="H91" s="69"/>
      <c r="I91" s="109">
        <f t="shared" si="9"/>
        <v>26424.1</v>
      </c>
    </row>
    <row r="92" spans="1:9" ht="15" customHeight="1">
      <c r="A92" s="80">
        <v>2022</v>
      </c>
      <c r="B92" s="81">
        <f t="shared" si="12"/>
        <v>26361</v>
      </c>
      <c r="C92" s="105">
        <f t="shared" si="8"/>
        <v>10.179640924163953</v>
      </c>
      <c r="D92" s="67">
        <f t="shared" si="11"/>
        <v>25</v>
      </c>
      <c r="E92" s="83"/>
      <c r="F92" s="69"/>
      <c r="G92" s="69"/>
      <c r="H92" s="69"/>
      <c r="I92" s="109">
        <f t="shared" si="9"/>
        <v>26360.9</v>
      </c>
    </row>
    <row r="93" spans="1:9" ht="15" customHeight="1">
      <c r="A93" s="80">
        <v>2023</v>
      </c>
      <c r="B93" s="81">
        <f t="shared" si="12"/>
        <v>26298</v>
      </c>
      <c r="C93" s="105">
        <f t="shared" si="8"/>
        <v>10.177248169646864</v>
      </c>
      <c r="D93" s="67">
        <f t="shared" si="11"/>
        <v>26</v>
      </c>
      <c r="E93" s="83"/>
      <c r="F93" s="69"/>
      <c r="G93" s="69"/>
      <c r="H93" s="69"/>
      <c r="I93" s="109">
        <f t="shared" si="9"/>
        <v>26297.9</v>
      </c>
    </row>
    <row r="94" spans="1:9" ht="15" customHeight="1">
      <c r="A94" s="80">
        <v>2024</v>
      </c>
      <c r="B94" s="81">
        <f t="shared" si="12"/>
        <v>26235</v>
      </c>
      <c r="C94" s="105">
        <f t="shared" si="8"/>
        <v>10.174849676120813</v>
      </c>
      <c r="D94" s="67">
        <f t="shared" si="11"/>
        <v>27</v>
      </c>
      <c r="E94" s="69"/>
      <c r="F94" s="69"/>
      <c r="G94" s="69"/>
      <c r="H94" s="69"/>
      <c r="I94" s="109">
        <f t="shared" si="9"/>
        <v>26235.1</v>
      </c>
    </row>
    <row r="95" spans="1:9" ht="15" customHeight="1">
      <c r="A95" s="85">
        <v>2025</v>
      </c>
      <c r="B95" s="86">
        <f t="shared" si="12"/>
        <v>26172</v>
      </c>
      <c r="C95" s="124">
        <f t="shared" si="8"/>
        <v>10.17244541598963</v>
      </c>
      <c r="D95" s="87">
        <f t="shared" si="11"/>
        <v>28</v>
      </c>
      <c r="E95" s="89"/>
      <c r="F95" s="89"/>
      <c r="G95" s="89"/>
      <c r="H95" s="89"/>
      <c r="I95" s="125">
        <f t="shared" si="9"/>
        <v>26172.400000000001</v>
      </c>
    </row>
    <row r="96" spans="1:9" ht="15" customHeight="1">
      <c r="A96" s="56" t="s">
        <v>82</v>
      </c>
      <c r="B96" s="57"/>
    </row>
    <row r="97" spans="1:9" ht="15" customHeight="1">
      <c r="A97" s="58" t="s">
        <v>32</v>
      </c>
      <c r="B97" s="59" t="s">
        <v>40</v>
      </c>
      <c r="C97" s="59" t="s">
        <v>83</v>
      </c>
      <c r="D97" s="59" t="s">
        <v>33</v>
      </c>
      <c r="E97" s="59" t="s">
        <v>35</v>
      </c>
      <c r="F97" s="103"/>
      <c r="G97" s="60"/>
      <c r="H97" s="63" t="s">
        <v>244</v>
      </c>
      <c r="I97" s="64" t="e">
        <f>RSQ(I98:I108,B98:B108)</f>
        <v>#VALUE!</v>
      </c>
    </row>
    <row r="98" spans="1:9" ht="15" customHeight="1">
      <c r="A98" s="65">
        <v>1997</v>
      </c>
      <c r="B98" s="104">
        <f t="shared" ref="B98:B108" si="13">B5</f>
        <v>27986</v>
      </c>
      <c r="C98" s="126"/>
      <c r="D98" s="67">
        <v>0</v>
      </c>
      <c r="E98" s="67"/>
      <c r="F98" s="106"/>
      <c r="G98" s="53"/>
      <c r="H98" s="265"/>
      <c r="I98" s="276" t="e">
        <f>$B$98+$G$103*D98^$G$99</f>
        <v>#VALUE!</v>
      </c>
    </row>
    <row r="99" spans="1:9" ht="15" customHeight="1">
      <c r="A99" s="65" t="e">
        <f t="shared" ref="A99:A108" si="14">A6</f>
        <v>#REF!</v>
      </c>
      <c r="B99" s="104">
        <f t="shared" si="13"/>
        <v>28065</v>
      </c>
      <c r="C99" s="126">
        <f t="shared" ref="C99:C108" si="15">LN(-B$98+B99)</f>
        <v>4.3694478524670215</v>
      </c>
      <c r="D99" s="67">
        <f>+D98+1</f>
        <v>1</v>
      </c>
      <c r="E99" s="67">
        <f t="shared" ref="E99:E108" si="16">LN(D99)</f>
        <v>0</v>
      </c>
      <c r="F99" s="106" t="s">
        <v>75</v>
      </c>
      <c r="G99" s="73" t="e">
        <f>INDEX(LINEST(C99:C108,E99:E108),1)</f>
        <v>#VALUE!</v>
      </c>
      <c r="H99" s="127"/>
      <c r="I99" s="278" t="e">
        <f>$B$98+$G$103*D99^$G$99</f>
        <v>#VALUE!</v>
      </c>
    </row>
    <row r="100" spans="1:9" ht="15" customHeight="1">
      <c r="A100" s="65" t="e">
        <f t="shared" si="14"/>
        <v>#REF!</v>
      </c>
      <c r="B100" s="104">
        <f t="shared" si="13"/>
        <v>27645</v>
      </c>
      <c r="C100" s="126" t="e">
        <f t="shared" si="15"/>
        <v>#NUM!</v>
      </c>
      <c r="D100" s="67">
        <f t="shared" ref="D100:D126" si="17">D99+1</f>
        <v>2</v>
      </c>
      <c r="E100" s="67">
        <f t="shared" si="16"/>
        <v>0.69314718055994529</v>
      </c>
      <c r="F100" s="106" t="s">
        <v>76</v>
      </c>
      <c r="G100" s="73" t="e">
        <f>INDEX(LINEST(C99:C108,E99:E108),2)</f>
        <v>#VALUE!</v>
      </c>
      <c r="H100" s="129" t="s">
        <v>84</v>
      </c>
      <c r="I100" s="128" t="e">
        <f t="shared" ref="I100:I126" si="18">$B$98+$G$103*D100^$G$99</f>
        <v>#VALUE!</v>
      </c>
    </row>
    <row r="101" spans="1:9" ht="15" customHeight="1">
      <c r="A101" s="65" t="e">
        <f t="shared" si="14"/>
        <v>#REF!</v>
      </c>
      <c r="B101" s="104">
        <f t="shared" si="13"/>
        <v>27936</v>
      </c>
      <c r="C101" s="126" t="e">
        <f t="shared" si="15"/>
        <v>#NUM!</v>
      </c>
      <c r="D101" s="67">
        <f t="shared" si="17"/>
        <v>3</v>
      </c>
      <c r="E101" s="67">
        <f t="shared" si="16"/>
        <v>1.0986122886681098</v>
      </c>
      <c r="F101" s="69"/>
      <c r="G101" s="130"/>
      <c r="H101" s="127"/>
      <c r="I101" s="128" t="e">
        <f t="shared" si="18"/>
        <v>#VALUE!</v>
      </c>
    </row>
    <row r="102" spans="1:9" ht="15" customHeight="1">
      <c r="A102" s="65" t="e">
        <f t="shared" si="14"/>
        <v>#REF!</v>
      </c>
      <c r="B102" s="104">
        <f t="shared" si="13"/>
        <v>27280</v>
      </c>
      <c r="C102" s="126" t="e">
        <f t="shared" si="15"/>
        <v>#NUM!</v>
      </c>
      <c r="D102" s="67">
        <f t="shared" si="17"/>
        <v>4</v>
      </c>
      <c r="E102" s="67">
        <f t="shared" si="16"/>
        <v>1.3862943611198906</v>
      </c>
      <c r="F102" s="106" t="s">
        <v>77</v>
      </c>
      <c r="G102" s="73" t="e">
        <f>I97</f>
        <v>#VALUE!</v>
      </c>
      <c r="H102" s="127"/>
      <c r="I102" s="128" t="e">
        <f t="shared" si="18"/>
        <v>#VALUE!</v>
      </c>
    </row>
    <row r="103" spans="1:9" ht="15" customHeight="1">
      <c r="A103" s="65" t="e">
        <f t="shared" si="14"/>
        <v>#REF!</v>
      </c>
      <c r="B103" s="104">
        <f t="shared" si="13"/>
        <v>26476</v>
      </c>
      <c r="C103" s="126" t="e">
        <f t="shared" si="15"/>
        <v>#NUM!</v>
      </c>
      <c r="D103" s="67">
        <f t="shared" si="17"/>
        <v>5</v>
      </c>
      <c r="E103" s="67">
        <f t="shared" si="16"/>
        <v>1.6094379124341003</v>
      </c>
      <c r="F103" s="106" t="s">
        <v>38</v>
      </c>
      <c r="G103" s="131" t="e">
        <f>EXP(G100)</f>
        <v>#VALUE!</v>
      </c>
      <c r="H103" s="127"/>
      <c r="I103" s="128" t="e">
        <f t="shared" si="18"/>
        <v>#VALUE!</v>
      </c>
    </row>
    <row r="104" spans="1:9" ht="15" customHeight="1">
      <c r="A104" s="65" t="e">
        <f t="shared" si="14"/>
        <v>#REF!</v>
      </c>
      <c r="B104" s="104">
        <f t="shared" si="13"/>
        <v>27113</v>
      </c>
      <c r="C104" s="126" t="e">
        <f t="shared" si="15"/>
        <v>#NUM!</v>
      </c>
      <c r="D104" s="67">
        <f t="shared" si="17"/>
        <v>6</v>
      </c>
      <c r="E104" s="67">
        <f t="shared" si="16"/>
        <v>1.791759469228055</v>
      </c>
      <c r="F104" s="106"/>
      <c r="G104" s="53"/>
      <c r="H104" s="127"/>
      <c r="I104" s="128" t="e">
        <f t="shared" si="18"/>
        <v>#VALUE!</v>
      </c>
    </row>
    <row r="105" spans="1:9" ht="15" customHeight="1">
      <c r="A105" s="65" t="e">
        <f t="shared" si="14"/>
        <v>#REF!</v>
      </c>
      <c r="B105" s="104">
        <f t="shared" si="13"/>
        <v>27168</v>
      </c>
      <c r="C105" s="126" t="e">
        <f t="shared" si="15"/>
        <v>#NUM!</v>
      </c>
      <c r="D105" s="67">
        <f t="shared" si="17"/>
        <v>7</v>
      </c>
      <c r="E105" s="67">
        <f t="shared" si="16"/>
        <v>1.9459101490553132</v>
      </c>
      <c r="F105" s="106"/>
      <c r="G105" s="53"/>
      <c r="H105" s="127"/>
      <c r="I105" s="128" t="e">
        <f t="shared" si="18"/>
        <v>#VALUE!</v>
      </c>
    </row>
    <row r="106" spans="1:9" ht="15" customHeight="1">
      <c r="A106" s="65" t="e">
        <f t="shared" si="14"/>
        <v>#REF!</v>
      </c>
      <c r="B106" s="104">
        <f t="shared" si="13"/>
        <v>27044</v>
      </c>
      <c r="C106" s="126" t="e">
        <f t="shared" si="15"/>
        <v>#NUM!</v>
      </c>
      <c r="D106" s="67">
        <f t="shared" si="17"/>
        <v>8</v>
      </c>
      <c r="E106" s="67">
        <f t="shared" si="16"/>
        <v>2.0794415416798357</v>
      </c>
      <c r="F106" s="132" t="s">
        <v>85</v>
      </c>
      <c r="G106" s="53"/>
      <c r="H106" s="127"/>
      <c r="I106" s="128" t="e">
        <f t="shared" si="18"/>
        <v>#VALUE!</v>
      </c>
    </row>
    <row r="107" spans="1:9" ht="15" customHeight="1">
      <c r="A107" s="65" t="e">
        <f t="shared" si="14"/>
        <v>#REF!</v>
      </c>
      <c r="B107" s="104">
        <f t="shared" si="13"/>
        <v>27340</v>
      </c>
      <c r="C107" s="126" t="e">
        <f t="shared" si="15"/>
        <v>#NUM!</v>
      </c>
      <c r="D107" s="67">
        <f t="shared" si="17"/>
        <v>9</v>
      </c>
      <c r="E107" s="67">
        <f t="shared" si="16"/>
        <v>2.1972245773362196</v>
      </c>
      <c r="F107" s="132" t="s">
        <v>86</v>
      </c>
      <c r="G107" s="53"/>
      <c r="H107" s="127"/>
      <c r="I107" s="128" t="e">
        <f t="shared" si="18"/>
        <v>#VALUE!</v>
      </c>
    </row>
    <row r="108" spans="1:9" s="100" customFormat="1" ht="15" customHeight="1" thickBot="1">
      <c r="A108" s="97" t="e">
        <f t="shared" si="14"/>
        <v>#REF!</v>
      </c>
      <c r="B108" s="116">
        <f t="shared" si="13"/>
        <v>27323</v>
      </c>
      <c r="C108" s="126" t="e">
        <f t="shared" si="15"/>
        <v>#NUM!</v>
      </c>
      <c r="D108" s="99">
        <f t="shared" si="17"/>
        <v>10</v>
      </c>
      <c r="E108" s="99">
        <f t="shared" si="16"/>
        <v>2.3025850929940459</v>
      </c>
      <c r="F108" s="182"/>
      <c r="G108" s="101"/>
      <c r="H108" s="143"/>
      <c r="I108" s="144" t="e">
        <f t="shared" si="18"/>
        <v>#VALUE!</v>
      </c>
    </row>
    <row r="109" spans="1:9" s="78" customFormat="1" ht="15" customHeight="1" thickTop="1">
      <c r="A109" s="80">
        <v>2008</v>
      </c>
      <c r="B109" s="81" t="e">
        <f t="shared" ref="B109:B126" si="19">ROUND(LOOKUP(0,D$99:D$109,B$99:B$109)+G$103*D109^G$99,0)</f>
        <v>#N/A</v>
      </c>
      <c r="C109" s="257"/>
      <c r="D109" s="77">
        <f t="shared" si="17"/>
        <v>11</v>
      </c>
      <c r="E109" s="77"/>
      <c r="F109" s="266"/>
      <c r="G109" s="256"/>
      <c r="H109" s="258"/>
      <c r="I109" s="133" t="e">
        <f t="shared" si="18"/>
        <v>#VALUE!</v>
      </c>
    </row>
    <row r="110" spans="1:9" ht="15" customHeight="1">
      <c r="A110" s="80">
        <v>2009</v>
      </c>
      <c r="B110" s="81" t="e">
        <f t="shared" si="19"/>
        <v>#N/A</v>
      </c>
      <c r="C110" s="134"/>
      <c r="D110" s="67">
        <f t="shared" si="17"/>
        <v>12</v>
      </c>
      <c r="E110" s="67"/>
      <c r="F110" s="83"/>
      <c r="G110" s="69"/>
      <c r="H110" s="84"/>
      <c r="I110" s="128" t="e">
        <f t="shared" si="18"/>
        <v>#VALUE!</v>
      </c>
    </row>
    <row r="111" spans="1:9" ht="15" customHeight="1">
      <c r="A111" s="80">
        <v>2010</v>
      </c>
      <c r="B111" s="81" t="e">
        <f t="shared" si="19"/>
        <v>#N/A</v>
      </c>
      <c r="C111" s="134"/>
      <c r="D111" s="67">
        <f t="shared" si="17"/>
        <v>13</v>
      </c>
      <c r="E111" s="67"/>
      <c r="F111" s="83"/>
      <c r="G111" s="69"/>
      <c r="H111" s="84"/>
      <c r="I111" s="128" t="e">
        <f t="shared" si="18"/>
        <v>#VALUE!</v>
      </c>
    </row>
    <row r="112" spans="1:9" ht="15" customHeight="1">
      <c r="A112" s="80">
        <v>2011</v>
      </c>
      <c r="B112" s="81" t="e">
        <f t="shared" si="19"/>
        <v>#N/A</v>
      </c>
      <c r="C112" s="134"/>
      <c r="D112" s="67">
        <f t="shared" si="17"/>
        <v>14</v>
      </c>
      <c r="E112" s="67"/>
      <c r="F112" s="83"/>
      <c r="G112" s="69"/>
      <c r="H112" s="84"/>
      <c r="I112" s="128" t="e">
        <f t="shared" si="18"/>
        <v>#VALUE!</v>
      </c>
    </row>
    <row r="113" spans="1:9" ht="15" customHeight="1">
      <c r="A113" s="80">
        <v>2012</v>
      </c>
      <c r="B113" s="81" t="e">
        <f t="shared" si="19"/>
        <v>#N/A</v>
      </c>
      <c r="C113" s="134"/>
      <c r="D113" s="67">
        <f t="shared" si="17"/>
        <v>15</v>
      </c>
      <c r="E113" s="67"/>
      <c r="F113" s="83"/>
      <c r="G113" s="69"/>
      <c r="H113" s="84"/>
      <c r="I113" s="128" t="e">
        <f t="shared" si="18"/>
        <v>#VALUE!</v>
      </c>
    </row>
    <row r="114" spans="1:9" ht="15" customHeight="1">
      <c r="A114" s="80">
        <v>2013</v>
      </c>
      <c r="B114" s="81" t="e">
        <f t="shared" si="19"/>
        <v>#N/A</v>
      </c>
      <c r="C114" s="134"/>
      <c r="D114" s="67">
        <f t="shared" si="17"/>
        <v>16</v>
      </c>
      <c r="E114" s="67"/>
      <c r="F114" s="83"/>
      <c r="G114" s="69"/>
      <c r="H114" s="84"/>
      <c r="I114" s="128" t="e">
        <f t="shared" si="18"/>
        <v>#VALUE!</v>
      </c>
    </row>
    <row r="115" spans="1:9" ht="15" customHeight="1">
      <c r="A115" s="80">
        <v>2014</v>
      </c>
      <c r="B115" s="81" t="e">
        <f t="shared" si="19"/>
        <v>#N/A</v>
      </c>
      <c r="C115" s="134"/>
      <c r="D115" s="67">
        <f t="shared" si="17"/>
        <v>17</v>
      </c>
      <c r="E115" s="67"/>
      <c r="F115" s="83"/>
      <c r="G115" s="69"/>
      <c r="H115" s="84"/>
      <c r="I115" s="128" t="e">
        <f t="shared" si="18"/>
        <v>#VALUE!</v>
      </c>
    </row>
    <row r="116" spans="1:9" ht="15" customHeight="1">
      <c r="A116" s="80">
        <v>2015</v>
      </c>
      <c r="B116" s="81" t="e">
        <f t="shared" si="19"/>
        <v>#N/A</v>
      </c>
      <c r="C116" s="134"/>
      <c r="D116" s="67">
        <f t="shared" si="17"/>
        <v>18</v>
      </c>
      <c r="E116" s="67"/>
      <c r="F116" s="83"/>
      <c r="G116" s="69"/>
      <c r="H116" s="84"/>
      <c r="I116" s="128" t="e">
        <f t="shared" si="18"/>
        <v>#VALUE!</v>
      </c>
    </row>
    <row r="117" spans="1:9" ht="15" customHeight="1">
      <c r="A117" s="80">
        <v>2016</v>
      </c>
      <c r="B117" s="81" t="e">
        <f t="shared" si="19"/>
        <v>#N/A</v>
      </c>
      <c r="C117" s="134"/>
      <c r="D117" s="67">
        <f t="shared" si="17"/>
        <v>19</v>
      </c>
      <c r="E117" s="67"/>
      <c r="F117" s="83"/>
      <c r="G117" s="69"/>
      <c r="H117" s="84"/>
      <c r="I117" s="128" t="e">
        <f t="shared" si="18"/>
        <v>#VALUE!</v>
      </c>
    </row>
    <row r="118" spans="1:9" ht="15" customHeight="1">
      <c r="A118" s="80">
        <v>2017</v>
      </c>
      <c r="B118" s="81" t="e">
        <f t="shared" si="19"/>
        <v>#N/A</v>
      </c>
      <c r="C118" s="134"/>
      <c r="D118" s="67">
        <f t="shared" si="17"/>
        <v>20</v>
      </c>
      <c r="E118" s="67"/>
      <c r="F118" s="83"/>
      <c r="G118" s="69"/>
      <c r="H118" s="84"/>
      <c r="I118" s="128" t="e">
        <f t="shared" si="18"/>
        <v>#VALUE!</v>
      </c>
    </row>
    <row r="119" spans="1:9" ht="15" customHeight="1">
      <c r="A119" s="80">
        <v>2018</v>
      </c>
      <c r="B119" s="81" t="e">
        <f t="shared" si="19"/>
        <v>#N/A</v>
      </c>
      <c r="C119" s="134"/>
      <c r="D119" s="67">
        <f t="shared" si="17"/>
        <v>21</v>
      </c>
      <c r="E119" s="67"/>
      <c r="F119" s="83"/>
      <c r="G119" s="69"/>
      <c r="H119" s="84"/>
      <c r="I119" s="128" t="e">
        <f t="shared" si="18"/>
        <v>#VALUE!</v>
      </c>
    </row>
    <row r="120" spans="1:9" ht="15" customHeight="1">
      <c r="A120" s="80">
        <v>2019</v>
      </c>
      <c r="B120" s="81" t="e">
        <f t="shared" si="19"/>
        <v>#N/A</v>
      </c>
      <c r="C120" s="134"/>
      <c r="D120" s="67">
        <f t="shared" si="17"/>
        <v>22</v>
      </c>
      <c r="E120" s="67"/>
      <c r="F120" s="83"/>
      <c r="G120" s="69"/>
      <c r="H120" s="84"/>
      <c r="I120" s="128" t="e">
        <f t="shared" si="18"/>
        <v>#VALUE!</v>
      </c>
    </row>
    <row r="121" spans="1:9" ht="15" customHeight="1">
      <c r="A121" s="80">
        <v>2020</v>
      </c>
      <c r="B121" s="81" t="e">
        <f t="shared" si="19"/>
        <v>#N/A</v>
      </c>
      <c r="C121" s="134"/>
      <c r="D121" s="67">
        <f t="shared" si="17"/>
        <v>23</v>
      </c>
      <c r="E121" s="67"/>
      <c r="F121" s="83"/>
      <c r="G121" s="69"/>
      <c r="H121" s="84"/>
      <c r="I121" s="128" t="e">
        <f t="shared" si="18"/>
        <v>#VALUE!</v>
      </c>
    </row>
    <row r="122" spans="1:9" ht="15" customHeight="1">
      <c r="A122" s="80">
        <v>2021</v>
      </c>
      <c r="B122" s="81" t="e">
        <f t="shared" si="19"/>
        <v>#N/A</v>
      </c>
      <c r="C122" s="134"/>
      <c r="D122" s="67">
        <f t="shared" si="17"/>
        <v>24</v>
      </c>
      <c r="E122" s="67"/>
      <c r="F122" s="83"/>
      <c r="G122" s="69"/>
      <c r="H122" s="84"/>
      <c r="I122" s="128" t="e">
        <f t="shared" si="18"/>
        <v>#VALUE!</v>
      </c>
    </row>
    <row r="123" spans="1:9" ht="15" customHeight="1">
      <c r="A123" s="80">
        <v>2022</v>
      </c>
      <c r="B123" s="81" t="e">
        <f t="shared" si="19"/>
        <v>#N/A</v>
      </c>
      <c r="C123" s="134"/>
      <c r="D123" s="67">
        <f t="shared" si="17"/>
        <v>25</v>
      </c>
      <c r="E123" s="67"/>
      <c r="F123" s="83"/>
      <c r="G123" s="69"/>
      <c r="H123" s="84"/>
      <c r="I123" s="128" t="e">
        <f t="shared" si="18"/>
        <v>#VALUE!</v>
      </c>
    </row>
    <row r="124" spans="1:9" ht="15" customHeight="1">
      <c r="A124" s="80">
        <v>2023</v>
      </c>
      <c r="B124" s="81" t="e">
        <f t="shared" si="19"/>
        <v>#N/A</v>
      </c>
      <c r="C124" s="134"/>
      <c r="D124" s="67">
        <f t="shared" si="17"/>
        <v>26</v>
      </c>
      <c r="E124" s="67"/>
      <c r="F124" s="83"/>
      <c r="G124" s="69"/>
      <c r="H124" s="84"/>
      <c r="I124" s="128" t="e">
        <f t="shared" si="18"/>
        <v>#VALUE!</v>
      </c>
    </row>
    <row r="125" spans="1:9" ht="15" customHeight="1">
      <c r="A125" s="80">
        <v>2024</v>
      </c>
      <c r="B125" s="81" t="e">
        <f t="shared" si="19"/>
        <v>#N/A</v>
      </c>
      <c r="C125" s="135"/>
      <c r="D125" s="67">
        <f t="shared" si="17"/>
        <v>27</v>
      </c>
      <c r="E125" s="67"/>
      <c r="F125" s="69"/>
      <c r="G125" s="69"/>
      <c r="H125" s="69"/>
      <c r="I125" s="136" t="e">
        <f t="shared" si="18"/>
        <v>#VALUE!</v>
      </c>
    </row>
    <row r="126" spans="1:9" ht="15" customHeight="1">
      <c r="A126" s="85">
        <v>2025</v>
      </c>
      <c r="B126" s="86" t="e">
        <f t="shared" si="19"/>
        <v>#N/A</v>
      </c>
      <c r="C126" s="137"/>
      <c r="D126" s="87">
        <f t="shared" si="17"/>
        <v>28</v>
      </c>
      <c r="E126" s="87"/>
      <c r="F126" s="89"/>
      <c r="G126" s="89"/>
      <c r="H126" s="89"/>
      <c r="I126" s="138" t="e">
        <f t="shared" si="18"/>
        <v>#VALUE!</v>
      </c>
    </row>
    <row r="127" spans="1:9" ht="15" customHeight="1">
      <c r="A127" s="56" t="s">
        <v>87</v>
      </c>
      <c r="B127" s="57"/>
    </row>
    <row r="128" spans="1:9" ht="15" customHeight="1">
      <c r="A128" s="58" t="s">
        <v>32</v>
      </c>
      <c r="B128" s="59" t="s">
        <v>40</v>
      </c>
      <c r="C128" s="59" t="s">
        <v>36</v>
      </c>
      <c r="D128" s="59" t="s">
        <v>33</v>
      </c>
      <c r="E128" s="103"/>
      <c r="F128" s="60"/>
      <c r="G128" s="61"/>
      <c r="H128" s="63" t="s">
        <v>244</v>
      </c>
      <c r="I128" s="64">
        <f>RSQ(I129:I139,B129:B139)</f>
        <v>0.37799515296880543</v>
      </c>
    </row>
    <row r="129" spans="1:9" ht="15" customHeight="1">
      <c r="A129" s="65">
        <v>1997</v>
      </c>
      <c r="B129" s="104">
        <f t="shared" ref="B129:B139" si="20">+B5</f>
        <v>27986</v>
      </c>
      <c r="C129" s="126">
        <f t="shared" ref="C129:C139" si="21">LN(F$133/B129-1)</f>
        <v>5.6298028616807569E-3</v>
      </c>
      <c r="D129" s="67">
        <v>0</v>
      </c>
      <c r="E129" s="106"/>
      <c r="F129" s="53"/>
      <c r="G129" s="69"/>
      <c r="H129" s="265"/>
      <c r="I129" s="267">
        <f t="shared" ref="I129:I157" si="22">$F$133/(1+EXP($F$131+$F$130*D129))</f>
        <v>27839.538859696189</v>
      </c>
    </row>
    <row r="130" spans="1:9" ht="15" customHeight="1">
      <c r="A130" s="65" t="e">
        <f t="shared" ref="A130:A139" si="23">A6</f>
        <v>#REF!</v>
      </c>
      <c r="B130" s="104">
        <f t="shared" si="20"/>
        <v>28065</v>
      </c>
      <c r="C130" s="126">
        <f t="shared" si="21"/>
        <v>0</v>
      </c>
      <c r="D130" s="67">
        <f>+D129+1</f>
        <v>1</v>
      </c>
      <c r="E130" s="106" t="s">
        <v>75</v>
      </c>
      <c r="F130" s="139">
        <f>INDEX(LINEST(C129:C139,D129:D139),1)</f>
        <v>6.3000096541504557E-3</v>
      </c>
      <c r="G130" s="140" t="s">
        <v>88</v>
      </c>
      <c r="H130" s="127"/>
      <c r="I130" s="128">
        <f t="shared" si="22"/>
        <v>27751.142208979214</v>
      </c>
    </row>
    <row r="131" spans="1:9" ht="15" customHeight="1">
      <c r="A131" s="65" t="e">
        <f t="shared" si="23"/>
        <v>#REF!</v>
      </c>
      <c r="B131" s="104">
        <f t="shared" si="20"/>
        <v>27645</v>
      </c>
      <c r="C131" s="126">
        <f t="shared" si="21"/>
        <v>2.9932753142462538E-2</v>
      </c>
      <c r="D131" s="67">
        <f t="shared" ref="D131:D157" si="24">D130+1</f>
        <v>2</v>
      </c>
      <c r="E131" s="106" t="s">
        <v>76</v>
      </c>
      <c r="F131" s="139">
        <f>INDEX(LINEST(C129:C139,D129:D139),2)</f>
        <v>1.6067414269548982E-2</v>
      </c>
      <c r="G131" s="69"/>
      <c r="H131" s="127"/>
      <c r="I131" s="128">
        <f t="shared" si="22"/>
        <v>27662.751785969031</v>
      </c>
    </row>
    <row r="132" spans="1:9" ht="15" customHeight="1">
      <c r="A132" s="65" t="e">
        <f t="shared" si="23"/>
        <v>#REF!</v>
      </c>
      <c r="B132" s="104">
        <f t="shared" si="20"/>
        <v>27936</v>
      </c>
      <c r="C132" s="126">
        <f t="shared" si="21"/>
        <v>9.1930096915421537E-3</v>
      </c>
      <c r="D132" s="67">
        <f t="shared" si="24"/>
        <v>3</v>
      </c>
      <c r="E132" s="106" t="s">
        <v>77</v>
      </c>
      <c r="F132" s="73">
        <f>I128</f>
        <v>0.37799515296880543</v>
      </c>
      <c r="G132" s="69"/>
      <c r="H132" s="127"/>
      <c r="I132" s="128">
        <f t="shared" si="22"/>
        <v>27574.369343906495</v>
      </c>
    </row>
    <row r="133" spans="1:9" ht="15" customHeight="1">
      <c r="A133" s="65" t="e">
        <f t="shared" si="23"/>
        <v>#REF!</v>
      </c>
      <c r="B133" s="104">
        <f t="shared" si="20"/>
        <v>27280</v>
      </c>
      <c r="C133" s="126">
        <f t="shared" si="21"/>
        <v>5.5956159978847272E-2</v>
      </c>
      <c r="D133" s="67">
        <f t="shared" si="24"/>
        <v>4</v>
      </c>
      <c r="E133" s="106" t="s">
        <v>39</v>
      </c>
      <c r="F133" s="110">
        <f>MAX(B129:B139)*2</f>
        <v>56130</v>
      </c>
      <c r="G133" s="69"/>
      <c r="H133" s="127"/>
      <c r="I133" s="128">
        <f t="shared" si="22"/>
        <v>27485.996635399122</v>
      </c>
    </row>
    <row r="134" spans="1:9" ht="15" customHeight="1">
      <c r="A134" s="65" t="e">
        <f t="shared" si="23"/>
        <v>#REF!</v>
      </c>
      <c r="B134" s="104">
        <f t="shared" si="20"/>
        <v>26476</v>
      </c>
      <c r="C134" s="126">
        <f t="shared" si="21"/>
        <v>0.11335836133915798</v>
      </c>
      <c r="D134" s="67">
        <f t="shared" si="24"/>
        <v>5</v>
      </c>
      <c r="E134" s="106"/>
      <c r="F134" s="53"/>
      <c r="G134" s="69"/>
      <c r="H134" s="127"/>
      <c r="I134" s="128">
        <f t="shared" si="22"/>
        <v>27397.635412282172</v>
      </c>
    </row>
    <row r="135" spans="1:9" ht="15" customHeight="1">
      <c r="A135" s="65" t="e">
        <f t="shared" si="23"/>
        <v>#REF!</v>
      </c>
      <c r="B135" s="104">
        <f t="shared" si="20"/>
        <v>27113</v>
      </c>
      <c r="C135" s="126">
        <f t="shared" si="21"/>
        <v>6.78685474697414E-2</v>
      </c>
      <c r="D135" s="67">
        <f t="shared" si="24"/>
        <v>6</v>
      </c>
      <c r="E135" s="106"/>
      <c r="F135" s="53"/>
      <c r="G135" s="69"/>
      <c r="H135" s="127"/>
      <c r="I135" s="128">
        <f t="shared" si="22"/>
        <v>27309.287425479775</v>
      </c>
    </row>
    <row r="136" spans="1:9" ht="15" customHeight="1">
      <c r="A136" s="65" t="e">
        <f t="shared" si="23"/>
        <v>#REF!</v>
      </c>
      <c r="B136" s="104">
        <f t="shared" si="20"/>
        <v>27168</v>
      </c>
      <c r="C136" s="126">
        <f t="shared" si="21"/>
        <v>6.3944815777474059E-2</v>
      </c>
      <c r="D136" s="67">
        <f t="shared" si="24"/>
        <v>7</v>
      </c>
      <c r="E136" s="132" t="s">
        <v>89</v>
      </c>
      <c r="F136" s="53"/>
      <c r="G136" s="69"/>
      <c r="H136" s="127"/>
      <c r="I136" s="128">
        <f t="shared" si="22"/>
        <v>27220.954424866286</v>
      </c>
    </row>
    <row r="137" spans="1:9" ht="15" customHeight="1">
      <c r="A137" s="65" t="e">
        <f t="shared" si="23"/>
        <v>#REF!</v>
      </c>
      <c r="B137" s="104">
        <f t="shared" si="20"/>
        <v>27044</v>
      </c>
      <c r="C137" s="126">
        <f t="shared" si="21"/>
        <v>7.2791789527086842E-2</v>
      </c>
      <c r="D137" s="67">
        <f t="shared" si="24"/>
        <v>8</v>
      </c>
      <c r="E137" s="132" t="s">
        <v>90</v>
      </c>
      <c r="F137" s="53"/>
      <c r="G137" s="69"/>
      <c r="H137" s="127"/>
      <c r="I137" s="128">
        <f t="shared" si="22"/>
        <v>27132.638159127764</v>
      </c>
    </row>
    <row r="138" spans="1:9" ht="15" customHeight="1">
      <c r="A138" s="65" t="e">
        <f t="shared" si="23"/>
        <v>#REF!</v>
      </c>
      <c r="B138" s="104">
        <f t="shared" si="20"/>
        <v>27340</v>
      </c>
      <c r="C138" s="126">
        <f t="shared" si="21"/>
        <v>5.1677273328280926E-2</v>
      </c>
      <c r="D138" s="67">
        <f t="shared" si="24"/>
        <v>9</v>
      </c>
      <c r="E138" s="132"/>
      <c r="F138" s="53"/>
      <c r="G138" s="69"/>
      <c r="H138" s="127"/>
      <c r="I138" s="128">
        <f t="shared" si="22"/>
        <v>27044.340375623673</v>
      </c>
    </row>
    <row r="139" spans="1:9" ht="15" customHeight="1" thickBot="1">
      <c r="A139" s="97" t="e">
        <f t="shared" si="23"/>
        <v>#REF!</v>
      </c>
      <c r="B139" s="116">
        <f t="shared" si="20"/>
        <v>27323</v>
      </c>
      <c r="C139" s="141">
        <f t="shared" si="21"/>
        <v>5.2889574827039855E-2</v>
      </c>
      <c r="D139" s="99">
        <f t="shared" si="24"/>
        <v>10</v>
      </c>
      <c r="E139" s="182"/>
      <c r="F139" s="101"/>
      <c r="G139" s="100"/>
      <c r="H139" s="143"/>
      <c r="I139" s="144">
        <f t="shared" si="22"/>
        <v>26956.062820248833</v>
      </c>
    </row>
    <row r="140" spans="1:9" ht="15" customHeight="1" thickTop="1">
      <c r="A140" s="80">
        <v>2008</v>
      </c>
      <c r="B140" s="81">
        <f t="shared" ref="B140:B157" si="25">ROUND(F$133/(1+EXP(F$131+F$130*D140)),0)</f>
        <v>26868</v>
      </c>
      <c r="C140" s="257"/>
      <c r="D140" s="77">
        <f t="shared" si="24"/>
        <v>11</v>
      </c>
      <c r="E140" s="266"/>
      <c r="F140" s="256"/>
      <c r="G140" s="78"/>
      <c r="H140" s="258"/>
      <c r="I140" s="133">
        <f t="shared" si="22"/>
        <v>26867.807237295554</v>
      </c>
    </row>
    <row r="141" spans="1:9" ht="15" customHeight="1">
      <c r="A141" s="80">
        <v>2009</v>
      </c>
      <c r="B141" s="81">
        <f t="shared" si="25"/>
        <v>26780</v>
      </c>
      <c r="C141" s="134"/>
      <c r="D141" s="67">
        <f t="shared" si="24"/>
        <v>12</v>
      </c>
      <c r="E141" s="83"/>
      <c r="F141" s="69"/>
      <c r="G141" s="69"/>
      <c r="H141" s="84"/>
      <c r="I141" s="128">
        <f t="shared" si="22"/>
        <v>26779.575369316099</v>
      </c>
    </row>
    <row r="142" spans="1:9" ht="15" customHeight="1">
      <c r="A142" s="80">
        <v>2010</v>
      </c>
      <c r="B142" s="81">
        <f t="shared" si="25"/>
        <v>26691</v>
      </c>
      <c r="C142" s="134"/>
      <c r="D142" s="67">
        <f t="shared" si="24"/>
        <v>13</v>
      </c>
      <c r="E142" s="83"/>
      <c r="F142" s="69"/>
      <c r="G142" s="69"/>
      <c r="H142" s="84"/>
      <c r="I142" s="128">
        <f t="shared" si="22"/>
        <v>26691.368956985392</v>
      </c>
    </row>
    <row r="143" spans="1:9" ht="15" customHeight="1">
      <c r="A143" s="80">
        <v>2011</v>
      </c>
      <c r="B143" s="81">
        <f t="shared" si="25"/>
        <v>26603</v>
      </c>
      <c r="C143" s="134"/>
      <c r="D143" s="67">
        <f t="shared" si="24"/>
        <v>14</v>
      </c>
      <c r="E143" s="83"/>
      <c r="F143" s="69"/>
      <c r="G143" s="69"/>
      <c r="H143" s="84"/>
      <c r="I143" s="128">
        <f t="shared" si="22"/>
        <v>26603.189738964124</v>
      </c>
    </row>
    <row r="144" spans="1:9" ht="15" customHeight="1">
      <c r="A144" s="80">
        <v>2012</v>
      </c>
      <c r="B144" s="81">
        <f t="shared" si="25"/>
        <v>26515</v>
      </c>
      <c r="C144" s="134"/>
      <c r="D144" s="67">
        <f t="shared" si="24"/>
        <v>15</v>
      </c>
      <c r="E144" s="83"/>
      <c r="F144" s="69"/>
      <c r="G144" s="69"/>
      <c r="H144" s="84"/>
      <c r="I144" s="128">
        <f t="shared" si="22"/>
        <v>26515.039451762055</v>
      </c>
    </row>
    <row r="145" spans="1:10" ht="15" customHeight="1">
      <c r="A145" s="80">
        <v>2013</v>
      </c>
      <c r="B145" s="81">
        <f t="shared" si="25"/>
        <v>26427</v>
      </c>
      <c r="C145" s="134"/>
      <c r="D145" s="67">
        <f t="shared" si="24"/>
        <v>16</v>
      </c>
      <c r="E145" s="83"/>
      <c r="F145" s="69"/>
      <c r="G145" s="69"/>
      <c r="H145" s="84"/>
      <c r="I145" s="128">
        <f t="shared" si="22"/>
        <v>26426.919829601822</v>
      </c>
    </row>
    <row r="146" spans="1:10" ht="15" customHeight="1">
      <c r="A146" s="80">
        <v>2014</v>
      </c>
      <c r="B146" s="81">
        <f t="shared" si="25"/>
        <v>26339</v>
      </c>
      <c r="C146" s="134"/>
      <c r="D146" s="67">
        <f t="shared" si="24"/>
        <v>17</v>
      </c>
      <c r="E146" s="83"/>
      <c r="F146" s="69"/>
      <c r="G146" s="69"/>
      <c r="H146" s="84"/>
      <c r="I146" s="128">
        <f t="shared" si="22"/>
        <v>26338.832604283052</v>
      </c>
    </row>
    <row r="147" spans="1:10" ht="15" customHeight="1">
      <c r="A147" s="80">
        <v>2015</v>
      </c>
      <c r="B147" s="81">
        <f t="shared" si="25"/>
        <v>26251</v>
      </c>
      <c r="C147" s="134"/>
      <c r="D147" s="67">
        <f t="shared" si="24"/>
        <v>18</v>
      </c>
      <c r="E147" s="83"/>
      <c r="F147" s="69"/>
      <c r="G147" s="69"/>
      <c r="H147" s="84"/>
      <c r="I147" s="128">
        <f t="shared" si="22"/>
        <v>26250.779505046899</v>
      </c>
    </row>
    <row r="148" spans="1:10" ht="15" customHeight="1">
      <c r="A148" s="80">
        <v>2016</v>
      </c>
      <c r="B148" s="81">
        <f t="shared" si="25"/>
        <v>26163</v>
      </c>
      <c r="C148" s="134"/>
      <c r="D148" s="67">
        <f t="shared" si="24"/>
        <v>19</v>
      </c>
      <c r="E148" s="83"/>
      <c r="F148" s="69"/>
      <c r="G148" s="69"/>
      <c r="H148" s="84"/>
      <c r="I148" s="128">
        <f t="shared" si="22"/>
        <v>26162.762258441013</v>
      </c>
    </row>
    <row r="149" spans="1:10" ht="15" customHeight="1">
      <c r="A149" s="80">
        <v>2017</v>
      </c>
      <c r="B149" s="81">
        <f t="shared" si="25"/>
        <v>26075</v>
      </c>
      <c r="C149" s="134"/>
      <c r="D149" s="67">
        <f t="shared" si="24"/>
        <v>20</v>
      </c>
      <c r="E149" s="83"/>
      <c r="F149" s="69"/>
      <c r="G149" s="69"/>
      <c r="H149" s="84"/>
      <c r="I149" s="128">
        <f t="shared" si="22"/>
        <v>26074.782588184935</v>
      </c>
    </row>
    <row r="150" spans="1:10" ht="15" customHeight="1">
      <c r="A150" s="80">
        <v>2018</v>
      </c>
      <c r="B150" s="81">
        <f t="shared" si="25"/>
        <v>25987</v>
      </c>
      <c r="C150" s="134"/>
      <c r="D150" s="67">
        <f t="shared" si="24"/>
        <v>21</v>
      </c>
      <c r="E150" s="83"/>
      <c r="F150" s="69"/>
      <c r="G150" s="69"/>
      <c r="H150" s="84"/>
      <c r="I150" s="128">
        <f t="shared" si="22"/>
        <v>25986.842215036038</v>
      </c>
    </row>
    <row r="151" spans="1:10" ht="15" customHeight="1">
      <c r="A151" s="80">
        <v>2019</v>
      </c>
      <c r="B151" s="81">
        <f t="shared" si="25"/>
        <v>25899</v>
      </c>
      <c r="C151" s="134"/>
      <c r="D151" s="67">
        <f t="shared" si="24"/>
        <v>22</v>
      </c>
      <c r="E151" s="83"/>
      <c r="F151" s="69"/>
      <c r="G151" s="69"/>
      <c r="H151" s="84"/>
      <c r="I151" s="128">
        <f t="shared" si="22"/>
        <v>25898.942856655838</v>
      </c>
    </row>
    <row r="152" spans="1:10" ht="15" customHeight="1">
      <c r="A152" s="80">
        <v>2020</v>
      </c>
      <c r="B152" s="81">
        <f t="shared" si="25"/>
        <v>25811</v>
      </c>
      <c r="C152" s="134"/>
      <c r="D152" s="67">
        <f t="shared" si="24"/>
        <v>23</v>
      </c>
      <c r="E152" s="83"/>
      <c r="F152" s="69"/>
      <c r="G152" s="69"/>
      <c r="H152" s="84"/>
      <c r="I152" s="128">
        <f t="shared" si="22"/>
        <v>25811.086227476964</v>
      </c>
    </row>
    <row r="153" spans="1:10" ht="15" customHeight="1">
      <c r="A153" s="80">
        <v>2021</v>
      </c>
      <c r="B153" s="81">
        <f t="shared" si="25"/>
        <v>25723</v>
      </c>
      <c r="C153" s="134"/>
      <c r="D153" s="67">
        <f t="shared" si="24"/>
        <v>24</v>
      </c>
      <c r="E153" s="83"/>
      <c r="F153" s="69"/>
      <c r="G153" s="69"/>
      <c r="H153" s="84"/>
      <c r="I153" s="128">
        <f t="shared" si="22"/>
        <v>25723.274038570566</v>
      </c>
    </row>
    <row r="154" spans="1:10" ht="15" customHeight="1">
      <c r="A154" s="80">
        <v>2022</v>
      </c>
      <c r="B154" s="81">
        <f t="shared" si="25"/>
        <v>25636</v>
      </c>
      <c r="C154" s="134"/>
      <c r="D154" s="67">
        <f t="shared" si="24"/>
        <v>25</v>
      </c>
      <c r="E154" s="83"/>
      <c r="F154" s="69"/>
      <c r="G154" s="69"/>
      <c r="H154" s="84"/>
      <c r="I154" s="128">
        <f t="shared" si="22"/>
        <v>25635.507997514291</v>
      </c>
    </row>
    <row r="155" spans="1:10" ht="15" customHeight="1">
      <c r="A155" s="80">
        <v>2023</v>
      </c>
      <c r="B155" s="81">
        <f t="shared" si="25"/>
        <v>25548</v>
      </c>
      <c r="C155" s="134"/>
      <c r="D155" s="67">
        <f t="shared" si="24"/>
        <v>26</v>
      </c>
      <c r="E155" s="83"/>
      <c r="F155" s="69"/>
      <c r="G155" s="69"/>
      <c r="H155" s="84"/>
      <c r="I155" s="128">
        <f t="shared" si="22"/>
        <v>25547.789808260924</v>
      </c>
    </row>
    <row r="156" spans="1:10" ht="15" customHeight="1">
      <c r="A156" s="80">
        <v>2024</v>
      </c>
      <c r="B156" s="81">
        <f t="shared" si="25"/>
        <v>25460</v>
      </c>
      <c r="C156" s="135"/>
      <c r="D156" s="67">
        <f t="shared" si="24"/>
        <v>27</v>
      </c>
      <c r="E156" s="69"/>
      <c r="F156" s="69"/>
      <c r="G156" s="69"/>
      <c r="H156" s="69"/>
      <c r="I156" s="136">
        <f t="shared" si="22"/>
        <v>25460.121171007526</v>
      </c>
    </row>
    <row r="157" spans="1:10" ht="15" customHeight="1">
      <c r="A157" s="85">
        <v>2025</v>
      </c>
      <c r="B157" s="86">
        <f t="shared" si="25"/>
        <v>25373</v>
      </c>
      <c r="C157" s="137"/>
      <c r="D157" s="87">
        <f t="shared" si="24"/>
        <v>28</v>
      </c>
      <c r="E157" s="89"/>
      <c r="F157" s="89"/>
      <c r="G157" s="89"/>
      <c r="H157" s="89"/>
      <c r="I157" s="138">
        <f t="shared" si="22"/>
        <v>25372.503782065247</v>
      </c>
    </row>
    <row r="158" spans="1:10" ht="15" customHeight="1">
      <c r="A158" s="56" t="s">
        <v>245</v>
      </c>
      <c r="B158" s="57"/>
    </row>
    <row r="159" spans="1:10" ht="15" customHeight="1">
      <c r="A159" s="56"/>
      <c r="B159" s="57"/>
    </row>
    <row r="160" spans="1:10" ht="24">
      <c r="A160" s="145" t="s">
        <v>32</v>
      </c>
      <c r="B160" s="146" t="s">
        <v>91</v>
      </c>
      <c r="C160" s="147" t="s">
        <v>72</v>
      </c>
      <c r="D160" s="147" t="s">
        <v>92</v>
      </c>
      <c r="E160" s="147" t="s">
        <v>93</v>
      </c>
      <c r="F160" s="147" t="s">
        <v>94</v>
      </c>
      <c r="G160" s="147" t="s">
        <v>95</v>
      </c>
      <c r="H160" s="148" t="s">
        <v>96</v>
      </c>
      <c r="I160" s="149" t="s">
        <v>246</v>
      </c>
      <c r="J160" s="150" t="s">
        <v>247</v>
      </c>
    </row>
    <row r="161" spans="1:12" ht="20.100000000000001" customHeight="1">
      <c r="A161" s="65">
        <v>2008</v>
      </c>
      <c r="B161" s="151">
        <f t="shared" ref="B161:B178" si="26">B16</f>
        <v>27257</v>
      </c>
      <c r="C161" s="152">
        <f t="shared" ref="C161:C178" si="27">B47</f>
        <v>26868</v>
      </c>
      <c r="D161" s="152">
        <f t="shared" ref="D161:D178" si="28">B78</f>
        <v>27259</v>
      </c>
      <c r="E161" s="268"/>
      <c r="F161" s="152">
        <f t="shared" ref="F161:F178" si="29">B140</f>
        <v>26868</v>
      </c>
      <c r="G161" s="152">
        <f t="shared" ref="G161:G178" si="30">ROUND(AVERAGE(B161:F161),1)</f>
        <v>27063</v>
      </c>
      <c r="H161" s="152">
        <f t="shared" ref="H161:H178" si="31">ROUND((SUM(B161:F161)-MAX(B161:F161)-MIN(B161:F161))/(COUNT(B161:F161)-2),1)</f>
        <v>27062.5</v>
      </c>
      <c r="I161" s="153">
        <f t="shared" ref="I161:I178" si="32">ROUND(SUMIF(B$179:H$179,"○",B161:H161),0)</f>
        <v>27063</v>
      </c>
      <c r="J161" s="261"/>
    </row>
    <row r="162" spans="1:12" ht="20.100000000000001" customHeight="1">
      <c r="A162" s="80">
        <v>2009</v>
      </c>
      <c r="B162" s="151">
        <f t="shared" si="26"/>
        <v>27190</v>
      </c>
      <c r="C162" s="152">
        <f t="shared" si="27"/>
        <v>26779</v>
      </c>
      <c r="D162" s="152">
        <f t="shared" si="28"/>
        <v>27194</v>
      </c>
      <c r="E162" s="268"/>
      <c r="F162" s="152">
        <f t="shared" si="29"/>
        <v>26780</v>
      </c>
      <c r="G162" s="152">
        <f t="shared" si="30"/>
        <v>26985.8</v>
      </c>
      <c r="H162" s="152">
        <f t="shared" si="31"/>
        <v>26985</v>
      </c>
      <c r="I162" s="153">
        <f t="shared" si="32"/>
        <v>26986</v>
      </c>
      <c r="J162" s="154"/>
    </row>
    <row r="163" spans="1:12" ht="20.100000000000001" customHeight="1">
      <c r="A163" s="80">
        <v>2010</v>
      </c>
      <c r="B163" s="151">
        <f t="shared" si="26"/>
        <v>27124</v>
      </c>
      <c r="C163" s="152">
        <f t="shared" si="27"/>
        <v>26691</v>
      </c>
      <c r="D163" s="152">
        <f t="shared" si="28"/>
        <v>27129</v>
      </c>
      <c r="E163" s="268"/>
      <c r="F163" s="152">
        <f t="shared" si="29"/>
        <v>26691</v>
      </c>
      <c r="G163" s="152">
        <f t="shared" si="30"/>
        <v>26908.799999999999</v>
      </c>
      <c r="H163" s="152">
        <f t="shared" si="31"/>
        <v>26907.5</v>
      </c>
      <c r="I163" s="153">
        <f t="shared" si="32"/>
        <v>26909</v>
      </c>
      <c r="J163" s="154"/>
    </row>
    <row r="164" spans="1:12" ht="20.100000000000001" customHeight="1">
      <c r="A164" s="80">
        <v>2011</v>
      </c>
      <c r="B164" s="151">
        <f t="shared" si="26"/>
        <v>27058</v>
      </c>
      <c r="C164" s="152">
        <f t="shared" si="27"/>
        <v>26602</v>
      </c>
      <c r="D164" s="152">
        <f t="shared" si="28"/>
        <v>27064</v>
      </c>
      <c r="E164" s="268"/>
      <c r="F164" s="152">
        <f t="shared" si="29"/>
        <v>26603</v>
      </c>
      <c r="G164" s="152">
        <f t="shared" si="30"/>
        <v>26831.8</v>
      </c>
      <c r="H164" s="152">
        <f t="shared" si="31"/>
        <v>26830.5</v>
      </c>
      <c r="I164" s="153">
        <f t="shared" si="32"/>
        <v>26832</v>
      </c>
      <c r="J164" s="154"/>
    </row>
    <row r="165" spans="1:12" ht="20.100000000000001" customHeight="1">
      <c r="A165" s="80">
        <v>2012</v>
      </c>
      <c r="B165" s="151">
        <f t="shared" si="26"/>
        <v>26992</v>
      </c>
      <c r="C165" s="152">
        <f t="shared" si="27"/>
        <v>26514</v>
      </c>
      <c r="D165" s="152">
        <f t="shared" si="28"/>
        <v>26999</v>
      </c>
      <c r="E165" s="268"/>
      <c r="F165" s="152">
        <f t="shared" si="29"/>
        <v>26515</v>
      </c>
      <c r="G165" s="152">
        <f t="shared" si="30"/>
        <v>26755</v>
      </c>
      <c r="H165" s="152">
        <f t="shared" si="31"/>
        <v>26753.5</v>
      </c>
      <c r="I165" s="153">
        <f t="shared" si="32"/>
        <v>26755</v>
      </c>
      <c r="J165" s="154"/>
    </row>
    <row r="166" spans="1:12" ht="20.100000000000001" customHeight="1">
      <c r="A166" s="80">
        <v>2013</v>
      </c>
      <c r="B166" s="151">
        <f t="shared" si="26"/>
        <v>26925</v>
      </c>
      <c r="C166" s="152">
        <f t="shared" si="27"/>
        <v>26426</v>
      </c>
      <c r="D166" s="152">
        <f t="shared" si="28"/>
        <v>26935</v>
      </c>
      <c r="E166" s="268"/>
      <c r="F166" s="152">
        <f t="shared" si="29"/>
        <v>26427</v>
      </c>
      <c r="G166" s="152">
        <f t="shared" si="30"/>
        <v>26678.3</v>
      </c>
      <c r="H166" s="152">
        <f t="shared" si="31"/>
        <v>26676</v>
      </c>
      <c r="I166" s="153">
        <f t="shared" si="32"/>
        <v>26678</v>
      </c>
      <c r="J166" s="154"/>
    </row>
    <row r="167" spans="1:12" ht="20.100000000000001" customHeight="1">
      <c r="A167" s="80">
        <v>2014</v>
      </c>
      <c r="B167" s="151">
        <f t="shared" si="26"/>
        <v>26859</v>
      </c>
      <c r="C167" s="152">
        <f t="shared" si="27"/>
        <v>26337</v>
      </c>
      <c r="D167" s="152">
        <f t="shared" si="28"/>
        <v>26870</v>
      </c>
      <c r="E167" s="268"/>
      <c r="F167" s="152">
        <f t="shared" si="29"/>
        <v>26339</v>
      </c>
      <c r="G167" s="152">
        <f t="shared" si="30"/>
        <v>26601.3</v>
      </c>
      <c r="H167" s="152">
        <f t="shared" si="31"/>
        <v>26599</v>
      </c>
      <c r="I167" s="153">
        <f t="shared" si="32"/>
        <v>26601</v>
      </c>
      <c r="J167" s="154"/>
    </row>
    <row r="168" spans="1:12" ht="20.100000000000001" customHeight="1">
      <c r="A168" s="80">
        <v>2015</v>
      </c>
      <c r="B168" s="151">
        <f t="shared" si="26"/>
        <v>26793</v>
      </c>
      <c r="C168" s="152">
        <f t="shared" si="27"/>
        <v>26249</v>
      </c>
      <c r="D168" s="152">
        <f t="shared" si="28"/>
        <v>26806</v>
      </c>
      <c r="E168" s="268"/>
      <c r="F168" s="152">
        <f t="shared" si="29"/>
        <v>26251</v>
      </c>
      <c r="G168" s="152">
        <f t="shared" si="30"/>
        <v>26524.799999999999</v>
      </c>
      <c r="H168" s="152">
        <f t="shared" si="31"/>
        <v>26522</v>
      </c>
      <c r="I168" s="153">
        <f t="shared" si="32"/>
        <v>26525</v>
      </c>
      <c r="J168" s="154"/>
    </row>
    <row r="169" spans="1:12" ht="20.100000000000001" customHeight="1">
      <c r="A169" s="80">
        <v>2016</v>
      </c>
      <c r="B169" s="151">
        <f t="shared" si="26"/>
        <v>26726</v>
      </c>
      <c r="C169" s="152">
        <f t="shared" si="27"/>
        <v>26161</v>
      </c>
      <c r="D169" s="152">
        <f t="shared" si="28"/>
        <v>26742</v>
      </c>
      <c r="E169" s="268"/>
      <c r="F169" s="152">
        <f t="shared" si="29"/>
        <v>26163</v>
      </c>
      <c r="G169" s="152">
        <f t="shared" si="30"/>
        <v>26448</v>
      </c>
      <c r="H169" s="152">
        <f t="shared" si="31"/>
        <v>26444.5</v>
      </c>
      <c r="I169" s="153">
        <f t="shared" si="32"/>
        <v>26448</v>
      </c>
      <c r="J169" s="154"/>
    </row>
    <row r="170" spans="1:12" ht="20.100000000000001" customHeight="1">
      <c r="A170" s="80">
        <v>2017</v>
      </c>
      <c r="B170" s="151">
        <f t="shared" si="26"/>
        <v>26660</v>
      </c>
      <c r="C170" s="152">
        <f t="shared" si="27"/>
        <v>26072</v>
      </c>
      <c r="D170" s="152">
        <f t="shared" si="28"/>
        <v>26678</v>
      </c>
      <c r="E170" s="268"/>
      <c r="F170" s="152">
        <f t="shared" si="29"/>
        <v>26075</v>
      </c>
      <c r="G170" s="152">
        <f t="shared" si="30"/>
        <v>26371.3</v>
      </c>
      <c r="H170" s="152">
        <f t="shared" si="31"/>
        <v>26367.5</v>
      </c>
      <c r="I170" s="153">
        <f t="shared" si="32"/>
        <v>26371</v>
      </c>
      <c r="J170" s="154"/>
    </row>
    <row r="171" spans="1:12" ht="20.100000000000001" customHeight="1">
      <c r="A171" s="80">
        <v>2018</v>
      </c>
      <c r="B171" s="151">
        <f t="shared" si="26"/>
        <v>26594</v>
      </c>
      <c r="C171" s="152">
        <f t="shared" si="27"/>
        <v>25984</v>
      </c>
      <c r="D171" s="152">
        <f t="shared" si="28"/>
        <v>26614</v>
      </c>
      <c r="E171" s="268"/>
      <c r="F171" s="152">
        <f t="shared" si="29"/>
        <v>25987</v>
      </c>
      <c r="G171" s="152">
        <f t="shared" si="30"/>
        <v>26294.799999999999</v>
      </c>
      <c r="H171" s="152">
        <f t="shared" si="31"/>
        <v>26290.5</v>
      </c>
      <c r="I171" s="153">
        <f t="shared" si="32"/>
        <v>26295</v>
      </c>
      <c r="J171" s="154"/>
    </row>
    <row r="172" spans="1:12" ht="20.100000000000001" customHeight="1">
      <c r="A172" s="80">
        <v>2019</v>
      </c>
      <c r="B172" s="151">
        <f t="shared" si="26"/>
        <v>26527</v>
      </c>
      <c r="C172" s="152">
        <f t="shared" si="27"/>
        <v>25895</v>
      </c>
      <c r="D172" s="152">
        <f t="shared" si="28"/>
        <v>26551</v>
      </c>
      <c r="E172" s="268"/>
      <c r="F172" s="152">
        <f t="shared" si="29"/>
        <v>25899</v>
      </c>
      <c r="G172" s="152">
        <f t="shared" si="30"/>
        <v>26218</v>
      </c>
      <c r="H172" s="152">
        <f t="shared" si="31"/>
        <v>26213</v>
      </c>
      <c r="I172" s="153">
        <f t="shared" si="32"/>
        <v>26218</v>
      </c>
      <c r="J172" s="154"/>
    </row>
    <row r="173" spans="1:12" ht="20.100000000000001" customHeight="1">
      <c r="A173" s="80">
        <v>2020</v>
      </c>
      <c r="B173" s="151">
        <f t="shared" si="26"/>
        <v>26461</v>
      </c>
      <c r="C173" s="152">
        <f t="shared" si="27"/>
        <v>25807</v>
      </c>
      <c r="D173" s="152">
        <f t="shared" si="28"/>
        <v>26487</v>
      </c>
      <c r="E173" s="268"/>
      <c r="F173" s="152">
        <f t="shared" si="29"/>
        <v>25811</v>
      </c>
      <c r="G173" s="152">
        <f t="shared" si="30"/>
        <v>26141.5</v>
      </c>
      <c r="H173" s="152">
        <f t="shared" si="31"/>
        <v>26136</v>
      </c>
      <c r="I173" s="153">
        <f t="shared" si="32"/>
        <v>26142</v>
      </c>
      <c r="J173" s="154"/>
    </row>
    <row r="174" spans="1:12" ht="20.100000000000001" customHeight="1">
      <c r="A174" s="80">
        <v>2021</v>
      </c>
      <c r="B174" s="151">
        <f t="shared" si="26"/>
        <v>26395</v>
      </c>
      <c r="C174" s="152">
        <f t="shared" si="27"/>
        <v>25719</v>
      </c>
      <c r="D174" s="152">
        <f t="shared" si="28"/>
        <v>26424</v>
      </c>
      <c r="E174" s="268"/>
      <c r="F174" s="152">
        <f t="shared" si="29"/>
        <v>25723</v>
      </c>
      <c r="G174" s="152">
        <f t="shared" si="30"/>
        <v>26065.3</v>
      </c>
      <c r="H174" s="152">
        <f t="shared" si="31"/>
        <v>26059</v>
      </c>
      <c r="I174" s="153">
        <f t="shared" si="32"/>
        <v>26065</v>
      </c>
      <c r="J174" s="154"/>
    </row>
    <row r="175" spans="1:12" ht="20.100000000000001" customHeight="1">
      <c r="A175" s="80">
        <v>2022</v>
      </c>
      <c r="B175" s="151">
        <f t="shared" si="26"/>
        <v>26329</v>
      </c>
      <c r="C175" s="152">
        <f t="shared" si="27"/>
        <v>25630</v>
      </c>
      <c r="D175" s="152">
        <f t="shared" si="28"/>
        <v>26361</v>
      </c>
      <c r="E175" s="268"/>
      <c r="F175" s="152">
        <f t="shared" si="29"/>
        <v>25636</v>
      </c>
      <c r="G175" s="152">
        <f t="shared" si="30"/>
        <v>25989</v>
      </c>
      <c r="H175" s="152">
        <f t="shared" si="31"/>
        <v>25982.5</v>
      </c>
      <c r="I175" s="153">
        <f t="shared" si="32"/>
        <v>25989</v>
      </c>
      <c r="J175" s="154"/>
    </row>
    <row r="176" spans="1:12" ht="20.100000000000001" customHeight="1">
      <c r="A176" s="80">
        <v>2023</v>
      </c>
      <c r="B176" s="151">
        <f t="shared" si="26"/>
        <v>26262</v>
      </c>
      <c r="C176" s="152">
        <f t="shared" si="27"/>
        <v>25542</v>
      </c>
      <c r="D176" s="152">
        <f t="shared" si="28"/>
        <v>26298</v>
      </c>
      <c r="E176" s="268"/>
      <c r="F176" s="152">
        <f t="shared" si="29"/>
        <v>25548</v>
      </c>
      <c r="G176" s="152">
        <f t="shared" si="30"/>
        <v>25912.5</v>
      </c>
      <c r="H176" s="152">
        <f t="shared" si="31"/>
        <v>25905</v>
      </c>
      <c r="I176" s="153">
        <f t="shared" si="32"/>
        <v>25913</v>
      </c>
      <c r="J176" s="154"/>
      <c r="L176" s="55">
        <v>806200</v>
      </c>
    </row>
    <row r="177" spans="1:41" ht="20.100000000000001" customHeight="1">
      <c r="A177" s="80">
        <v>2024</v>
      </c>
      <c r="B177" s="151">
        <f t="shared" si="26"/>
        <v>26196</v>
      </c>
      <c r="C177" s="152">
        <f t="shared" si="27"/>
        <v>25454</v>
      </c>
      <c r="D177" s="152">
        <f t="shared" si="28"/>
        <v>26235</v>
      </c>
      <c r="E177" s="268"/>
      <c r="F177" s="152">
        <f t="shared" si="29"/>
        <v>25460</v>
      </c>
      <c r="G177" s="152">
        <f t="shared" si="30"/>
        <v>25836.3</v>
      </c>
      <c r="H177" s="152">
        <f t="shared" si="31"/>
        <v>25828</v>
      </c>
      <c r="I177" s="153">
        <f t="shared" si="32"/>
        <v>25836</v>
      </c>
      <c r="J177" s="154"/>
      <c r="K177" s="55">
        <v>51000</v>
      </c>
      <c r="L177" s="75">
        <f>+K177+E177</f>
        <v>51000</v>
      </c>
      <c r="M177" s="75"/>
    </row>
    <row r="178" spans="1:41" ht="20.100000000000001" customHeight="1">
      <c r="A178" s="80">
        <v>2025</v>
      </c>
      <c r="B178" s="151">
        <f t="shared" si="26"/>
        <v>26130</v>
      </c>
      <c r="C178" s="152">
        <f t="shared" si="27"/>
        <v>25365</v>
      </c>
      <c r="D178" s="152">
        <f t="shared" si="28"/>
        <v>26172</v>
      </c>
      <c r="E178" s="268"/>
      <c r="F178" s="152">
        <f t="shared" si="29"/>
        <v>25373</v>
      </c>
      <c r="G178" s="152">
        <f t="shared" si="30"/>
        <v>25760</v>
      </c>
      <c r="H178" s="152">
        <f t="shared" si="31"/>
        <v>25751.5</v>
      </c>
      <c r="I178" s="153">
        <f t="shared" si="32"/>
        <v>25760</v>
      </c>
      <c r="J178" s="154"/>
      <c r="L178" s="75">
        <f>+L176-L177</f>
        <v>755200</v>
      </c>
      <c r="M178" s="75"/>
    </row>
    <row r="179" spans="1:41" ht="20.100000000000001" customHeight="1">
      <c r="A179" s="155" t="s">
        <v>97</v>
      </c>
      <c r="B179" s="156"/>
      <c r="C179" s="157"/>
      <c r="D179" s="157"/>
      <c r="E179" s="157"/>
      <c r="F179" s="156"/>
      <c r="G179" s="269" t="s">
        <v>248</v>
      </c>
      <c r="H179" s="157"/>
      <c r="I179" s="159"/>
      <c r="J179" s="160"/>
      <c r="K179" s="161"/>
      <c r="L179" s="162">
        <f>B129</f>
        <v>27986</v>
      </c>
      <c r="M179" s="162">
        <f>+B130</f>
        <v>28065</v>
      </c>
      <c r="N179" s="162">
        <f>B131</f>
        <v>27645</v>
      </c>
      <c r="O179" s="161">
        <f>B132</f>
        <v>27936</v>
      </c>
      <c r="P179" s="162">
        <f>B133</f>
        <v>27280</v>
      </c>
      <c r="Q179" s="161">
        <f>B134</f>
        <v>26476</v>
      </c>
      <c r="R179" s="162">
        <f>B135</f>
        <v>27113</v>
      </c>
      <c r="S179" s="162">
        <f>B136</f>
        <v>27168</v>
      </c>
      <c r="T179" s="162">
        <f>B137</f>
        <v>27044</v>
      </c>
      <c r="U179" s="162">
        <f>B138</f>
        <v>27340</v>
      </c>
      <c r="V179" s="162">
        <f>B139</f>
        <v>27323</v>
      </c>
      <c r="W179" s="162">
        <f>B16</f>
        <v>27257</v>
      </c>
      <c r="X179" s="162"/>
      <c r="Y179" s="161"/>
      <c r="Z179" s="161"/>
      <c r="AA179" s="161"/>
      <c r="AB179" s="161"/>
      <c r="AC179" s="161"/>
      <c r="AD179" s="161"/>
      <c r="AE179" s="161"/>
      <c r="AF179" s="161"/>
      <c r="AG179" s="161"/>
      <c r="AH179" s="161"/>
      <c r="AI179" s="161"/>
      <c r="AJ179" s="161"/>
      <c r="AK179" s="161"/>
      <c r="AL179" s="161"/>
      <c r="AM179" s="161"/>
      <c r="AN179" s="161"/>
    </row>
    <row r="180" spans="1:41" ht="20.100000000000001" hidden="1" customHeight="1">
      <c r="A180" s="85"/>
      <c r="B180" s="163"/>
      <c r="C180" s="164"/>
      <c r="D180" s="164"/>
      <c r="E180" s="164"/>
      <c r="F180" s="164"/>
      <c r="G180" s="164"/>
      <c r="H180" s="164"/>
      <c r="I180" s="165"/>
      <c r="J180" s="166"/>
      <c r="K180" s="161"/>
      <c r="L180" s="161"/>
      <c r="M180" s="161"/>
      <c r="N180" s="161"/>
      <c r="O180" s="161"/>
      <c r="P180" s="161"/>
      <c r="Q180" s="161"/>
      <c r="R180" s="161"/>
      <c r="S180" s="161"/>
      <c r="T180" s="161"/>
      <c r="U180" s="161"/>
      <c r="V180" s="161"/>
      <c r="W180" s="161"/>
      <c r="X180" s="161"/>
      <c r="Y180" s="161"/>
      <c r="Z180" s="161"/>
      <c r="AA180" s="161"/>
      <c r="AB180" s="161"/>
      <c r="AC180" s="161"/>
      <c r="AD180" s="161"/>
      <c r="AE180" s="161"/>
      <c r="AF180" s="161"/>
      <c r="AG180" s="161"/>
      <c r="AH180" s="161"/>
      <c r="AI180" s="161"/>
      <c r="AJ180" s="161"/>
      <c r="AK180" s="161"/>
      <c r="AL180" s="161"/>
      <c r="AM180" s="161"/>
      <c r="AN180" s="161"/>
    </row>
    <row r="181" spans="1:41" s="161" customFormat="1" ht="20.100000000000001" customHeight="1">
      <c r="A181" s="167" t="s">
        <v>98</v>
      </c>
      <c r="B181" s="168">
        <f>I4</f>
        <v>0.37785896221963761</v>
      </c>
      <c r="C181" s="169">
        <f>I35</f>
        <v>0.37785896221963816</v>
      </c>
      <c r="D181" s="169">
        <f>I66</f>
        <v>0.37987654827670619</v>
      </c>
      <c r="E181" s="169"/>
      <c r="F181" s="169">
        <f>I128</f>
        <v>0.37799515296880543</v>
      </c>
      <c r="G181" s="170"/>
      <c r="H181" s="171"/>
      <c r="I181" s="172"/>
      <c r="J181" s="173"/>
      <c r="K181" s="174">
        <f>MAX(B181:I181,F181)</f>
        <v>0.37987654827670619</v>
      </c>
      <c r="L181" s="161">
        <v>1997</v>
      </c>
      <c r="M181" s="161">
        <f>+L181+1</f>
        <v>1998</v>
      </c>
      <c r="N181" s="161">
        <f>+M181+1</f>
        <v>1999</v>
      </c>
      <c r="O181" s="161">
        <f t="shared" ref="O181:AO181" si="33">+N181+1</f>
        <v>2000</v>
      </c>
      <c r="P181" s="161">
        <f t="shared" si="33"/>
        <v>2001</v>
      </c>
      <c r="Q181" s="161">
        <f t="shared" si="33"/>
        <v>2002</v>
      </c>
      <c r="R181" s="161">
        <f t="shared" si="33"/>
        <v>2003</v>
      </c>
      <c r="S181" s="161">
        <f t="shared" si="33"/>
        <v>2004</v>
      </c>
      <c r="T181" s="161">
        <f t="shared" si="33"/>
        <v>2005</v>
      </c>
      <c r="U181" s="161">
        <f t="shared" si="33"/>
        <v>2006</v>
      </c>
      <c r="V181" s="161">
        <f t="shared" si="33"/>
        <v>2007</v>
      </c>
      <c r="W181" s="161">
        <f t="shared" si="33"/>
        <v>2008</v>
      </c>
      <c r="X181" s="161">
        <f t="shared" si="33"/>
        <v>2009</v>
      </c>
      <c r="Y181" s="161">
        <f t="shared" si="33"/>
        <v>2010</v>
      </c>
      <c r="Z181" s="161">
        <f t="shared" si="33"/>
        <v>2011</v>
      </c>
      <c r="AA181" s="161">
        <f t="shared" si="33"/>
        <v>2012</v>
      </c>
      <c r="AB181" s="161">
        <f t="shared" si="33"/>
        <v>2013</v>
      </c>
      <c r="AC181" s="161">
        <f t="shared" si="33"/>
        <v>2014</v>
      </c>
      <c r="AD181" s="161">
        <f t="shared" si="33"/>
        <v>2015</v>
      </c>
      <c r="AE181" s="161">
        <f t="shared" si="33"/>
        <v>2016</v>
      </c>
      <c r="AF181" s="161">
        <f t="shared" si="33"/>
        <v>2017</v>
      </c>
      <c r="AG181" s="161">
        <f t="shared" si="33"/>
        <v>2018</v>
      </c>
      <c r="AH181" s="161">
        <f t="shared" si="33"/>
        <v>2019</v>
      </c>
      <c r="AI181" s="161">
        <f t="shared" si="33"/>
        <v>2020</v>
      </c>
      <c r="AJ181" s="161">
        <f t="shared" si="33"/>
        <v>2021</v>
      </c>
      <c r="AK181" s="161">
        <f t="shared" si="33"/>
        <v>2022</v>
      </c>
      <c r="AL181" s="161">
        <f t="shared" si="33"/>
        <v>2023</v>
      </c>
      <c r="AM181" s="161">
        <f t="shared" si="33"/>
        <v>2024</v>
      </c>
      <c r="AN181" s="161">
        <f t="shared" si="33"/>
        <v>2025</v>
      </c>
      <c r="AO181" s="161">
        <f t="shared" si="33"/>
        <v>2026</v>
      </c>
    </row>
    <row r="182" spans="1:41" ht="20.100000000000001" customHeight="1">
      <c r="K182" s="161" t="s">
        <v>99</v>
      </c>
      <c r="L182" s="161"/>
      <c r="M182" s="161"/>
      <c r="N182" s="161"/>
      <c r="O182" s="161"/>
      <c r="P182" s="161"/>
      <c r="Q182" s="161"/>
      <c r="R182" s="161"/>
      <c r="S182" s="161"/>
      <c r="T182" s="161"/>
      <c r="U182" s="161"/>
      <c r="V182" s="162">
        <f>+V179</f>
        <v>27323</v>
      </c>
      <c r="W182" s="175">
        <f>+B16</f>
        <v>27257</v>
      </c>
      <c r="X182" s="162">
        <f>B17</f>
        <v>27190</v>
      </c>
      <c r="Y182" s="162">
        <f>B18</f>
        <v>27124</v>
      </c>
      <c r="Z182" s="162">
        <f>B19</f>
        <v>27058</v>
      </c>
      <c r="AA182" s="162">
        <f>B20</f>
        <v>26992</v>
      </c>
      <c r="AB182" s="162">
        <f>B21</f>
        <v>26925</v>
      </c>
      <c r="AC182" s="162">
        <f>B22</f>
        <v>26859</v>
      </c>
      <c r="AD182" s="162">
        <f>B23</f>
        <v>26793</v>
      </c>
      <c r="AE182" s="162">
        <f>B24</f>
        <v>26726</v>
      </c>
      <c r="AF182" s="162">
        <f>B25</f>
        <v>26660</v>
      </c>
      <c r="AG182" s="162">
        <f>B26</f>
        <v>26594</v>
      </c>
      <c r="AH182" s="162">
        <f>B27</f>
        <v>26527</v>
      </c>
      <c r="AI182" s="162">
        <f>B28</f>
        <v>26461</v>
      </c>
      <c r="AJ182" s="162">
        <f>B29</f>
        <v>26395</v>
      </c>
      <c r="AK182" s="162">
        <f>B30</f>
        <v>26329</v>
      </c>
      <c r="AL182" s="162">
        <f>B31</f>
        <v>26262</v>
      </c>
      <c r="AM182" s="162">
        <f>B32</f>
        <v>26196</v>
      </c>
      <c r="AN182" s="162">
        <f>B33</f>
        <v>26130</v>
      </c>
      <c r="AO182" s="161" t="s">
        <v>99</v>
      </c>
    </row>
    <row r="183" spans="1:41" ht="20.100000000000001" customHeight="1">
      <c r="K183" s="161" t="s">
        <v>100</v>
      </c>
      <c r="L183" s="161"/>
      <c r="M183" s="161"/>
      <c r="N183" s="161"/>
      <c r="O183" s="161"/>
      <c r="P183" s="161"/>
      <c r="Q183" s="161"/>
      <c r="R183" s="161"/>
      <c r="S183" s="161"/>
      <c r="T183" s="161"/>
      <c r="U183" s="161"/>
      <c r="V183" s="162">
        <f>+V182</f>
        <v>27323</v>
      </c>
      <c r="W183" s="175">
        <f>+B47</f>
        <v>26868</v>
      </c>
      <c r="X183" s="162">
        <f>B48</f>
        <v>26779</v>
      </c>
      <c r="Y183" s="162">
        <f>B49</f>
        <v>26691</v>
      </c>
      <c r="Z183" s="162">
        <f>B50</f>
        <v>26602</v>
      </c>
      <c r="AA183" s="162">
        <f>B51</f>
        <v>26514</v>
      </c>
      <c r="AB183" s="162">
        <f>B52</f>
        <v>26426</v>
      </c>
      <c r="AC183" s="162">
        <f>B53</f>
        <v>26337</v>
      </c>
      <c r="AD183" s="162">
        <f>B54</f>
        <v>26249</v>
      </c>
      <c r="AE183" s="162">
        <f>B55</f>
        <v>26161</v>
      </c>
      <c r="AF183" s="162">
        <f>B56</f>
        <v>26072</v>
      </c>
      <c r="AG183" s="162">
        <f>B57</f>
        <v>25984</v>
      </c>
      <c r="AH183" s="162">
        <f>B58</f>
        <v>25895</v>
      </c>
      <c r="AI183" s="162">
        <f>B59</f>
        <v>25807</v>
      </c>
      <c r="AJ183" s="162">
        <f>B60</f>
        <v>25719</v>
      </c>
      <c r="AK183" s="162">
        <f>B61</f>
        <v>25630</v>
      </c>
      <c r="AL183" s="162">
        <f>B62</f>
        <v>25542</v>
      </c>
      <c r="AM183" s="162">
        <f>B63</f>
        <v>25454</v>
      </c>
      <c r="AN183" s="162">
        <f>B64</f>
        <v>25365</v>
      </c>
      <c r="AO183" s="161" t="s">
        <v>100</v>
      </c>
    </row>
    <row r="184" spans="1:41" ht="20.100000000000001" customHeight="1">
      <c r="K184" s="161" t="s">
        <v>101</v>
      </c>
      <c r="L184" s="161"/>
      <c r="M184" s="161"/>
      <c r="N184" s="161"/>
      <c r="O184" s="161"/>
      <c r="P184" s="161"/>
      <c r="Q184" s="161"/>
      <c r="R184" s="161"/>
      <c r="S184" s="161"/>
      <c r="T184" s="161"/>
      <c r="U184" s="161"/>
      <c r="V184" s="162">
        <f>+V183</f>
        <v>27323</v>
      </c>
      <c r="W184" s="175">
        <f>+B78</f>
        <v>27259</v>
      </c>
      <c r="X184" s="162">
        <f>B79</f>
        <v>27194</v>
      </c>
      <c r="Y184" s="162">
        <f>B80</f>
        <v>27129</v>
      </c>
      <c r="Z184" s="162">
        <f>B81</f>
        <v>27064</v>
      </c>
      <c r="AA184" s="162">
        <f>B82</f>
        <v>26999</v>
      </c>
      <c r="AB184" s="162">
        <f>B83</f>
        <v>26935</v>
      </c>
      <c r="AC184" s="162">
        <f>B84</f>
        <v>26870</v>
      </c>
      <c r="AD184" s="162">
        <f>B85</f>
        <v>26806</v>
      </c>
      <c r="AE184" s="162">
        <f>B86</f>
        <v>26742</v>
      </c>
      <c r="AF184" s="162">
        <f>B87</f>
        <v>26678</v>
      </c>
      <c r="AG184" s="162">
        <f>B88</f>
        <v>26614</v>
      </c>
      <c r="AH184" s="162">
        <f>B89</f>
        <v>26551</v>
      </c>
      <c r="AI184" s="162">
        <f>B90</f>
        <v>26487</v>
      </c>
      <c r="AJ184" s="162">
        <f>B91</f>
        <v>26424</v>
      </c>
      <c r="AK184" s="162">
        <f>B92</f>
        <v>26361</v>
      </c>
      <c r="AL184" s="162">
        <f>B93</f>
        <v>26298</v>
      </c>
      <c r="AM184" s="162">
        <f>B94</f>
        <v>26235</v>
      </c>
      <c r="AN184" s="162">
        <f>B95</f>
        <v>26172</v>
      </c>
      <c r="AO184" s="161" t="s">
        <v>101</v>
      </c>
    </row>
    <row r="185" spans="1:41" ht="20.100000000000001" customHeight="1">
      <c r="K185" s="161" t="s">
        <v>102</v>
      </c>
      <c r="L185" s="161"/>
      <c r="M185" s="161"/>
      <c r="N185" s="161"/>
      <c r="O185" s="161"/>
      <c r="P185" s="161"/>
      <c r="Q185" s="161"/>
      <c r="R185" s="161"/>
      <c r="S185" s="161"/>
      <c r="T185" s="161"/>
      <c r="U185" s="161"/>
      <c r="V185" s="162">
        <f>+V184</f>
        <v>27323</v>
      </c>
      <c r="W185" s="175"/>
      <c r="X185" s="161"/>
      <c r="Y185" s="161"/>
      <c r="Z185" s="161"/>
      <c r="AA185" s="161"/>
      <c r="AB185" s="161"/>
      <c r="AC185" s="161"/>
      <c r="AD185" s="161"/>
      <c r="AE185" s="161"/>
      <c r="AF185" s="161"/>
      <c r="AG185" s="161"/>
      <c r="AH185" s="161"/>
      <c r="AI185" s="161"/>
      <c r="AJ185" s="161"/>
      <c r="AK185" s="161"/>
      <c r="AL185" s="161"/>
      <c r="AM185" s="161"/>
      <c r="AN185" s="161"/>
      <c r="AO185" s="161" t="s">
        <v>102</v>
      </c>
    </row>
    <row r="186" spans="1:41" ht="20.100000000000001" customHeight="1">
      <c r="K186" s="161" t="s">
        <v>103</v>
      </c>
      <c r="L186" s="161"/>
      <c r="M186" s="161"/>
      <c r="N186" s="161"/>
      <c r="O186" s="161"/>
      <c r="P186" s="161"/>
      <c r="Q186" s="161"/>
      <c r="R186" s="161"/>
      <c r="S186" s="161"/>
      <c r="T186" s="161"/>
      <c r="U186" s="161"/>
      <c r="V186" s="162">
        <f>+V185</f>
        <v>27323</v>
      </c>
      <c r="W186" s="175">
        <f>+B140</f>
        <v>26868</v>
      </c>
      <c r="X186" s="162">
        <f>B141</f>
        <v>26780</v>
      </c>
      <c r="Y186" s="162">
        <f>B142</f>
        <v>26691</v>
      </c>
      <c r="Z186" s="162">
        <f>B143</f>
        <v>26603</v>
      </c>
      <c r="AA186" s="162">
        <f>B144</f>
        <v>26515</v>
      </c>
      <c r="AB186" s="162">
        <f>B145</f>
        <v>26427</v>
      </c>
      <c r="AC186" s="162">
        <f>B146</f>
        <v>26339</v>
      </c>
      <c r="AD186" s="162">
        <f>B147</f>
        <v>26251</v>
      </c>
      <c r="AE186" s="162">
        <f>B148</f>
        <v>26163</v>
      </c>
      <c r="AF186" s="162">
        <f>B149</f>
        <v>26075</v>
      </c>
      <c r="AG186" s="162">
        <f>B150</f>
        <v>25987</v>
      </c>
      <c r="AH186" s="162">
        <f>B151</f>
        <v>25899</v>
      </c>
      <c r="AI186" s="162">
        <f>B152</f>
        <v>25811</v>
      </c>
      <c r="AJ186" s="162">
        <f>B153</f>
        <v>25723</v>
      </c>
      <c r="AK186" s="162">
        <f>B154</f>
        <v>25636</v>
      </c>
      <c r="AL186" s="162">
        <f>B155</f>
        <v>25548</v>
      </c>
      <c r="AM186" s="162">
        <f>B156</f>
        <v>25460</v>
      </c>
      <c r="AN186" s="162">
        <f>B157</f>
        <v>25373</v>
      </c>
      <c r="AO186" s="161" t="s">
        <v>103</v>
      </c>
    </row>
    <row r="187" spans="1:41" ht="20.100000000000001" customHeight="1">
      <c r="K187" s="161" t="s">
        <v>95</v>
      </c>
      <c r="L187" s="161"/>
      <c r="M187" s="161"/>
      <c r="N187" s="161"/>
      <c r="O187" s="161"/>
      <c r="P187" s="161"/>
      <c r="Q187" s="161"/>
      <c r="R187" s="161"/>
      <c r="S187" s="161"/>
      <c r="T187" s="161"/>
      <c r="U187" s="161"/>
      <c r="V187" s="162">
        <f>+V186</f>
        <v>27323</v>
      </c>
      <c r="W187" s="175">
        <f>+G161</f>
        <v>27063</v>
      </c>
      <c r="X187" s="206">
        <f>+G162</f>
        <v>26985.8</v>
      </c>
      <c r="Y187" s="206">
        <f>+G163</f>
        <v>26908.799999999999</v>
      </c>
      <c r="Z187" s="206">
        <f>+F164</f>
        <v>26603</v>
      </c>
      <c r="AA187" s="206">
        <f>+F165</f>
        <v>26515</v>
      </c>
      <c r="AB187" s="206">
        <f>+F166</f>
        <v>26427</v>
      </c>
      <c r="AC187" s="206">
        <f>+F167</f>
        <v>26339</v>
      </c>
      <c r="AD187" s="206">
        <f>+F168</f>
        <v>26251</v>
      </c>
      <c r="AE187" s="206">
        <f>+F169</f>
        <v>26163</v>
      </c>
      <c r="AF187" s="206">
        <f>+F170</f>
        <v>26075</v>
      </c>
      <c r="AG187" s="206">
        <f>+F171</f>
        <v>25987</v>
      </c>
      <c r="AH187" s="206">
        <f>+F172</f>
        <v>25899</v>
      </c>
      <c r="AI187" s="206">
        <f>+F173</f>
        <v>25811</v>
      </c>
      <c r="AJ187" s="206">
        <f>+F174</f>
        <v>25723</v>
      </c>
      <c r="AK187" s="206">
        <f>+F175</f>
        <v>25636</v>
      </c>
      <c r="AL187" s="206">
        <f>+F176</f>
        <v>25548</v>
      </c>
      <c r="AM187" s="206">
        <f>+F177</f>
        <v>25460</v>
      </c>
      <c r="AN187" s="206">
        <f>+F178</f>
        <v>25373</v>
      </c>
      <c r="AO187" s="161" t="s">
        <v>95</v>
      </c>
    </row>
    <row r="188" spans="1:41" ht="20.100000000000001" customHeight="1"/>
    <row r="189" spans="1:41" ht="20.100000000000001" customHeight="1"/>
    <row r="190" spans="1:41" ht="20.100000000000001" customHeight="1"/>
    <row r="191" spans="1:41" ht="20.100000000000001" customHeight="1"/>
    <row r="192" spans="1:41" ht="20.100000000000001" customHeight="1"/>
    <row r="193" ht="20.100000000000001" customHeight="1"/>
    <row r="194" ht="20.100000000000001" customHeight="1"/>
    <row r="195" ht="20.100000000000001" customHeight="1"/>
    <row r="196" ht="20.100000000000001" customHeight="1"/>
    <row r="197" ht="20.100000000000001" customHeight="1"/>
    <row r="198" ht="20.100000000000001" customHeight="1"/>
    <row r="199" ht="20.100000000000001" customHeight="1"/>
    <row r="200" ht="20.100000000000001" customHeight="1"/>
    <row r="201" ht="20.100000000000001" customHeight="1"/>
    <row r="202" ht="20.100000000000001" customHeight="1"/>
    <row r="203" ht="20.100000000000001" customHeight="1"/>
    <row r="204" ht="20.100000000000001" customHeight="1"/>
  </sheetData>
  <phoneticPr fontId="50" type="noConversion"/>
  <pageMargins left="0.74803149606299213" right="0.74803149606299213" top="0.78740157480314965" bottom="0.78740157480314965" header="0.51181102362204722" footer="0.51181102362204722"/>
  <pageSetup paperSize="9" scale="70" fitToHeight="3" orientation="portrait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>
  <sheetPr codeName="Sheet56">
    <tabColor indexed="61"/>
  </sheetPr>
  <dimension ref="A1:AO179"/>
  <sheetViews>
    <sheetView workbookViewId="0"/>
  </sheetViews>
  <sheetFormatPr defaultRowHeight="15" customHeight="1"/>
  <cols>
    <col min="1" max="1" width="8.88671875" style="55"/>
    <col min="2" max="2" width="9.21875" style="55" customWidth="1"/>
    <col min="3" max="3" width="9.5546875" style="55" customWidth="1"/>
    <col min="4" max="4" width="9" style="55" customWidth="1"/>
    <col min="5" max="5" width="11.33203125" style="55" customWidth="1"/>
    <col min="6" max="6" width="9.44140625" style="55" customWidth="1"/>
    <col min="7" max="7" width="15.109375" style="55" bestFit="1" customWidth="1"/>
    <col min="8" max="8" width="12.88671875" style="55" bestFit="1" customWidth="1"/>
    <col min="9" max="9" width="11.5546875" style="55" bestFit="1" customWidth="1"/>
    <col min="10" max="16384" width="8.88671875" style="55"/>
  </cols>
  <sheetData>
    <row r="1" spans="1:12" ht="15" customHeight="1">
      <c r="A1" s="54" t="s">
        <v>314</v>
      </c>
    </row>
    <row r="2" spans="1:12" ht="15" customHeight="1">
      <c r="A2" s="54"/>
    </row>
    <row r="3" spans="1:12" ht="15" customHeight="1">
      <c r="A3" s="56" t="s">
        <v>74</v>
      </c>
      <c r="B3" s="57"/>
    </row>
    <row r="4" spans="1:12" ht="15" customHeight="1">
      <c r="A4" s="58" t="s">
        <v>32</v>
      </c>
      <c r="B4" s="59" t="s">
        <v>40</v>
      </c>
      <c r="C4" s="59" t="s">
        <v>33</v>
      </c>
      <c r="D4" s="60"/>
      <c r="E4" s="60"/>
      <c r="F4" s="61"/>
      <c r="G4" s="62"/>
      <c r="H4" s="63" t="s">
        <v>310</v>
      </c>
      <c r="I4" s="64">
        <f>RSQ(I6:I11,B6:B11)</f>
        <v>0.97920727853074385</v>
      </c>
    </row>
    <row r="5" spans="1:12" ht="15" customHeight="1">
      <c r="A5" s="176">
        <v>2002</v>
      </c>
      <c r="B5" s="183">
        <f>+삼화동10!B10</f>
        <v>5125</v>
      </c>
      <c r="C5" s="177">
        <v>0</v>
      </c>
      <c r="D5" s="178"/>
      <c r="E5" s="178"/>
      <c r="F5" s="179"/>
      <c r="G5" s="262"/>
      <c r="H5" s="263"/>
      <c r="I5" s="70">
        <f t="shared" ref="I5:I28" si="0">$E$6*C5+$E$7</f>
        <v>5125</v>
      </c>
    </row>
    <row r="6" spans="1:12" ht="15" customHeight="1">
      <c r="A6" s="65">
        <v>2003</v>
      </c>
      <c r="B6" s="184">
        <f>+삼화동10!B11</f>
        <v>4944</v>
      </c>
      <c r="C6" s="67">
        <f>+C5+1</f>
        <v>1</v>
      </c>
      <c r="D6" s="53" t="s">
        <v>75</v>
      </c>
      <c r="E6" s="68">
        <f>(B10-B5)/C10</f>
        <v>-182.6</v>
      </c>
      <c r="F6" s="69"/>
      <c r="G6" s="53"/>
      <c r="H6" s="69"/>
      <c r="I6" s="70">
        <f t="shared" si="0"/>
        <v>4942.3999999999996</v>
      </c>
      <c r="J6" s="71">
        <v>570570</v>
      </c>
      <c r="K6" s="55">
        <v>570570</v>
      </c>
      <c r="L6" s="55">
        <v>766</v>
      </c>
    </row>
    <row r="7" spans="1:12" ht="15" customHeight="1">
      <c r="A7" s="65">
        <v>2004</v>
      </c>
      <c r="B7" s="184">
        <f>+삼화동10!B12</f>
        <v>4840</v>
      </c>
      <c r="C7" s="67">
        <f t="shared" ref="C7:C28" si="1">C6+1</f>
        <v>2</v>
      </c>
      <c r="D7" s="53" t="s">
        <v>76</v>
      </c>
      <c r="E7" s="72">
        <f>B5</f>
        <v>5125</v>
      </c>
      <c r="F7" s="69"/>
      <c r="G7" s="53"/>
      <c r="H7" s="69"/>
      <c r="I7" s="70">
        <f t="shared" si="0"/>
        <v>4759.8</v>
      </c>
      <c r="J7" s="71">
        <v>583230</v>
      </c>
      <c r="K7" s="55">
        <v>583230</v>
      </c>
      <c r="L7" s="55">
        <v>1094</v>
      </c>
    </row>
    <row r="8" spans="1:12" ht="15" customHeight="1">
      <c r="A8" s="65">
        <v>2005</v>
      </c>
      <c r="B8" s="184">
        <f>+삼화동10!B13</f>
        <v>4706</v>
      </c>
      <c r="C8" s="67">
        <f t="shared" si="1"/>
        <v>3</v>
      </c>
      <c r="D8" s="53" t="s">
        <v>77</v>
      </c>
      <c r="E8" s="73">
        <f>I4</f>
        <v>0.97920727853074385</v>
      </c>
      <c r="F8" s="69"/>
      <c r="G8" s="53"/>
      <c r="H8" s="69"/>
      <c r="I8" s="70">
        <f t="shared" si="0"/>
        <v>4577.2</v>
      </c>
      <c r="J8" s="71">
        <v>590162</v>
      </c>
      <c r="K8" s="55">
        <v>590162</v>
      </c>
      <c r="L8" s="55">
        <v>1277</v>
      </c>
    </row>
    <row r="9" spans="1:12" ht="15" customHeight="1">
      <c r="A9" s="65">
        <v>2006</v>
      </c>
      <c r="B9" s="184">
        <f>+삼화동10!B14</f>
        <v>4467</v>
      </c>
      <c r="C9" s="67">
        <f t="shared" si="1"/>
        <v>4</v>
      </c>
      <c r="D9" s="53"/>
      <c r="E9" s="53"/>
      <c r="F9" s="69"/>
      <c r="G9" s="53"/>
      <c r="H9" s="69"/>
      <c r="I9" s="70">
        <f t="shared" si="0"/>
        <v>4394.6000000000004</v>
      </c>
      <c r="J9" s="71">
        <v>600343</v>
      </c>
      <c r="K9" s="55">
        <v>600343</v>
      </c>
      <c r="L9" s="55">
        <v>1147</v>
      </c>
    </row>
    <row r="10" spans="1:12" ht="15" customHeight="1" thickBot="1">
      <c r="A10" s="97">
        <v>2007</v>
      </c>
      <c r="B10" s="185">
        <f>+삼화동10!B15</f>
        <v>4212</v>
      </c>
      <c r="C10" s="99">
        <f t="shared" si="1"/>
        <v>5</v>
      </c>
      <c r="D10" s="101" t="s">
        <v>73</v>
      </c>
      <c r="E10" s="101"/>
      <c r="F10" s="100"/>
      <c r="G10" s="101"/>
      <c r="H10" s="100"/>
      <c r="I10" s="102">
        <f t="shared" si="0"/>
        <v>4212</v>
      </c>
      <c r="J10" s="71">
        <v>611921</v>
      </c>
      <c r="K10" s="55">
        <v>611921</v>
      </c>
      <c r="L10" s="55">
        <v>1355</v>
      </c>
    </row>
    <row r="11" spans="1:12" ht="15" customHeight="1" thickTop="1">
      <c r="A11" s="255">
        <v>2008</v>
      </c>
      <c r="B11" s="81">
        <f t="shared" ref="B11:B28" si="2">ROUND($E$6*C11+$E$7,0)</f>
        <v>4029</v>
      </c>
      <c r="C11" s="77">
        <f t="shared" si="1"/>
        <v>6</v>
      </c>
      <c r="D11" s="256"/>
      <c r="E11" s="256"/>
      <c r="F11" s="78"/>
      <c r="G11" s="256"/>
      <c r="H11" s="78"/>
      <c r="I11" s="79">
        <f t="shared" si="0"/>
        <v>4029.4</v>
      </c>
      <c r="J11" s="74">
        <v>622238</v>
      </c>
      <c r="K11" s="55">
        <v>622238</v>
      </c>
      <c r="L11" s="55">
        <v>1717</v>
      </c>
    </row>
    <row r="12" spans="1:12" ht="15" customHeight="1">
      <c r="A12" s="80">
        <v>2009</v>
      </c>
      <c r="B12" s="81">
        <f t="shared" si="2"/>
        <v>3847</v>
      </c>
      <c r="C12" s="67">
        <f t="shared" si="1"/>
        <v>7</v>
      </c>
      <c r="D12" s="69"/>
      <c r="E12" s="69"/>
      <c r="F12" s="69"/>
      <c r="G12" s="69"/>
      <c r="H12" s="69"/>
      <c r="I12" s="70">
        <f t="shared" si="0"/>
        <v>3846.8</v>
      </c>
    </row>
    <row r="13" spans="1:12" ht="15" customHeight="1">
      <c r="A13" s="186">
        <v>2010</v>
      </c>
      <c r="B13" s="187">
        <f t="shared" si="2"/>
        <v>3664</v>
      </c>
      <c r="C13" s="188">
        <f t="shared" si="1"/>
        <v>8</v>
      </c>
      <c r="D13" s="189"/>
      <c r="E13" s="189"/>
      <c r="F13" s="189"/>
      <c r="G13" s="189"/>
      <c r="H13" s="189"/>
      <c r="I13" s="190">
        <f t="shared" si="0"/>
        <v>3664.2</v>
      </c>
    </row>
    <row r="14" spans="1:12" ht="15" customHeight="1">
      <c r="A14" s="80">
        <v>2011</v>
      </c>
      <c r="B14" s="81">
        <f t="shared" si="2"/>
        <v>3482</v>
      </c>
      <c r="C14" s="82">
        <f t="shared" si="1"/>
        <v>9</v>
      </c>
      <c r="D14" s="69"/>
      <c r="E14" s="69"/>
      <c r="F14" s="69"/>
      <c r="G14" s="69"/>
      <c r="H14" s="69"/>
      <c r="I14" s="70">
        <f t="shared" si="0"/>
        <v>3481.6000000000004</v>
      </c>
    </row>
    <row r="15" spans="1:12" ht="15" customHeight="1">
      <c r="A15" s="80">
        <v>2012</v>
      </c>
      <c r="B15" s="81">
        <f t="shared" si="2"/>
        <v>3299</v>
      </c>
      <c r="C15" s="82">
        <f t="shared" si="1"/>
        <v>10</v>
      </c>
      <c r="D15" s="69"/>
      <c r="E15" s="69"/>
      <c r="F15" s="69"/>
      <c r="G15" s="69"/>
      <c r="H15" s="69"/>
      <c r="I15" s="70">
        <f t="shared" si="0"/>
        <v>3299</v>
      </c>
    </row>
    <row r="16" spans="1:12" ht="15" customHeight="1">
      <c r="A16" s="80">
        <v>2013</v>
      </c>
      <c r="B16" s="81">
        <f t="shared" si="2"/>
        <v>3116</v>
      </c>
      <c r="C16" s="82">
        <f t="shared" si="1"/>
        <v>11</v>
      </c>
      <c r="D16" s="69"/>
      <c r="E16" s="69"/>
      <c r="F16" s="69"/>
      <c r="G16" s="69"/>
      <c r="H16" s="69"/>
      <c r="I16" s="70">
        <f t="shared" si="0"/>
        <v>3116.4</v>
      </c>
    </row>
    <row r="17" spans="1:9" ht="15" customHeight="1">
      <c r="A17" s="80">
        <v>2014</v>
      </c>
      <c r="B17" s="81">
        <f t="shared" si="2"/>
        <v>2934</v>
      </c>
      <c r="C17" s="82">
        <f t="shared" si="1"/>
        <v>12</v>
      </c>
      <c r="D17" s="69"/>
      <c r="E17" s="69"/>
      <c r="F17" s="69"/>
      <c r="G17" s="69"/>
      <c r="H17" s="69"/>
      <c r="I17" s="70">
        <f t="shared" si="0"/>
        <v>2933.8</v>
      </c>
    </row>
    <row r="18" spans="1:9" ht="15" customHeight="1">
      <c r="A18" s="186">
        <v>2015</v>
      </c>
      <c r="B18" s="187">
        <f t="shared" si="2"/>
        <v>2751</v>
      </c>
      <c r="C18" s="188">
        <f t="shared" si="1"/>
        <v>13</v>
      </c>
      <c r="D18" s="189"/>
      <c r="E18" s="189"/>
      <c r="F18" s="189"/>
      <c r="G18" s="189"/>
      <c r="H18" s="189"/>
      <c r="I18" s="190">
        <f t="shared" si="0"/>
        <v>2751.2000000000003</v>
      </c>
    </row>
    <row r="19" spans="1:9" ht="15" customHeight="1">
      <c r="A19" s="80">
        <v>2016</v>
      </c>
      <c r="B19" s="81">
        <f t="shared" si="2"/>
        <v>2569</v>
      </c>
      <c r="C19" s="82">
        <f t="shared" si="1"/>
        <v>14</v>
      </c>
      <c r="D19" s="69"/>
      <c r="E19" s="69"/>
      <c r="F19" s="69"/>
      <c r="G19" s="69"/>
      <c r="H19" s="69"/>
      <c r="I19" s="70">
        <f t="shared" si="0"/>
        <v>2568.6</v>
      </c>
    </row>
    <row r="20" spans="1:9" ht="15" customHeight="1">
      <c r="A20" s="80">
        <v>2017</v>
      </c>
      <c r="B20" s="81">
        <f t="shared" si="2"/>
        <v>2386</v>
      </c>
      <c r="C20" s="82">
        <f t="shared" si="1"/>
        <v>15</v>
      </c>
      <c r="D20" s="69"/>
      <c r="E20" s="69"/>
      <c r="F20" s="69"/>
      <c r="G20" s="69"/>
      <c r="H20" s="69"/>
      <c r="I20" s="70">
        <f t="shared" si="0"/>
        <v>2386</v>
      </c>
    </row>
    <row r="21" spans="1:9" ht="15" customHeight="1">
      <c r="A21" s="80">
        <v>2018</v>
      </c>
      <c r="B21" s="81">
        <f t="shared" si="2"/>
        <v>2203</v>
      </c>
      <c r="C21" s="82">
        <f t="shared" si="1"/>
        <v>16</v>
      </c>
      <c r="D21" s="69"/>
      <c r="E21" s="69"/>
      <c r="F21" s="69"/>
      <c r="G21" s="69"/>
      <c r="H21" s="69"/>
      <c r="I21" s="70">
        <f t="shared" si="0"/>
        <v>2203.4</v>
      </c>
    </row>
    <row r="22" spans="1:9" ht="15" customHeight="1">
      <c r="A22" s="80">
        <v>2019</v>
      </c>
      <c r="B22" s="81">
        <f t="shared" si="2"/>
        <v>2021</v>
      </c>
      <c r="C22" s="82">
        <f t="shared" si="1"/>
        <v>17</v>
      </c>
      <c r="D22" s="69"/>
      <c r="E22" s="69"/>
      <c r="F22" s="69"/>
      <c r="G22" s="69"/>
      <c r="H22" s="69"/>
      <c r="I22" s="70">
        <f t="shared" si="0"/>
        <v>2020.8000000000002</v>
      </c>
    </row>
    <row r="23" spans="1:9" ht="15" customHeight="1">
      <c r="A23" s="186">
        <v>2020</v>
      </c>
      <c r="B23" s="187">
        <f t="shared" si="2"/>
        <v>1838</v>
      </c>
      <c r="C23" s="188">
        <f t="shared" si="1"/>
        <v>18</v>
      </c>
      <c r="D23" s="189"/>
      <c r="E23" s="189"/>
      <c r="F23" s="189"/>
      <c r="G23" s="189"/>
      <c r="H23" s="189"/>
      <c r="I23" s="190">
        <f t="shared" si="0"/>
        <v>1838.2000000000003</v>
      </c>
    </row>
    <row r="24" spans="1:9" ht="15" customHeight="1">
      <c r="A24" s="80">
        <v>2021</v>
      </c>
      <c r="B24" s="81">
        <f t="shared" si="2"/>
        <v>1656</v>
      </c>
      <c r="C24" s="82">
        <f t="shared" si="1"/>
        <v>19</v>
      </c>
      <c r="D24" s="69"/>
      <c r="E24" s="69"/>
      <c r="F24" s="69"/>
      <c r="G24" s="69"/>
      <c r="H24" s="69"/>
      <c r="I24" s="70">
        <f t="shared" si="0"/>
        <v>1655.6</v>
      </c>
    </row>
    <row r="25" spans="1:9" ht="15" customHeight="1">
      <c r="A25" s="80">
        <v>2022</v>
      </c>
      <c r="B25" s="81">
        <f t="shared" si="2"/>
        <v>1473</v>
      </c>
      <c r="C25" s="82">
        <f t="shared" si="1"/>
        <v>20</v>
      </c>
      <c r="D25" s="69"/>
      <c r="E25" s="69"/>
      <c r="F25" s="69"/>
      <c r="G25" s="69"/>
      <c r="H25" s="69"/>
      <c r="I25" s="70">
        <f t="shared" si="0"/>
        <v>1473</v>
      </c>
    </row>
    <row r="26" spans="1:9" ht="15" customHeight="1">
      <c r="A26" s="80">
        <v>2023</v>
      </c>
      <c r="B26" s="81">
        <f t="shared" si="2"/>
        <v>1290</v>
      </c>
      <c r="C26" s="82">
        <f t="shared" si="1"/>
        <v>21</v>
      </c>
      <c r="D26" s="69"/>
      <c r="E26" s="69"/>
      <c r="F26" s="69"/>
      <c r="G26" s="69"/>
      <c r="H26" s="69"/>
      <c r="I26" s="70">
        <f t="shared" si="0"/>
        <v>1290.4000000000001</v>
      </c>
    </row>
    <row r="27" spans="1:9" ht="15" customHeight="1">
      <c r="A27" s="80">
        <v>2024</v>
      </c>
      <c r="B27" s="81">
        <f t="shared" si="2"/>
        <v>1108</v>
      </c>
      <c r="C27" s="67">
        <f t="shared" si="1"/>
        <v>22</v>
      </c>
      <c r="D27" s="83"/>
      <c r="E27" s="69"/>
      <c r="F27" s="69"/>
      <c r="G27" s="69"/>
      <c r="H27" s="84"/>
      <c r="I27" s="70">
        <f t="shared" si="0"/>
        <v>1107.8000000000002</v>
      </c>
    </row>
    <row r="28" spans="1:9" ht="15" customHeight="1">
      <c r="A28" s="191">
        <v>2025</v>
      </c>
      <c r="B28" s="192">
        <f t="shared" si="2"/>
        <v>925</v>
      </c>
      <c r="C28" s="193">
        <f t="shared" si="1"/>
        <v>23</v>
      </c>
      <c r="D28" s="194"/>
      <c r="E28" s="195"/>
      <c r="F28" s="195"/>
      <c r="G28" s="195"/>
      <c r="H28" s="196"/>
      <c r="I28" s="197">
        <f t="shared" si="0"/>
        <v>925.19999999999982</v>
      </c>
    </row>
    <row r="29" spans="1:9" ht="15" customHeight="1">
      <c r="A29" s="56" t="s">
        <v>78</v>
      </c>
      <c r="B29" s="92"/>
      <c r="I29" s="89"/>
    </row>
    <row r="30" spans="1:9" ht="15" customHeight="1">
      <c r="A30" s="58" t="s">
        <v>32</v>
      </c>
      <c r="B30" s="59" t="s">
        <v>40</v>
      </c>
      <c r="C30" s="59" t="s">
        <v>33</v>
      </c>
      <c r="D30" s="60"/>
      <c r="E30" s="60"/>
      <c r="F30" s="61"/>
      <c r="G30" s="62"/>
      <c r="H30" s="63" t="s">
        <v>310</v>
      </c>
      <c r="I30" s="64">
        <f>RSQ(I32:I37,B32:B37)</f>
        <v>0.97872970429724293</v>
      </c>
    </row>
    <row r="31" spans="1:9" ht="15" customHeight="1">
      <c r="A31" s="65">
        <v>2002</v>
      </c>
      <c r="B31" s="93">
        <f t="shared" ref="B31:B36" si="3">B5</f>
        <v>5125</v>
      </c>
      <c r="C31" s="67">
        <v>0</v>
      </c>
      <c r="D31" s="53"/>
      <c r="E31" s="53"/>
      <c r="F31" s="69"/>
      <c r="G31" s="264"/>
      <c r="H31" s="265"/>
      <c r="I31" s="94">
        <f t="shared" ref="I31:I54" si="4">$E$32*C31+$E$33</f>
        <v>5153.5238095238101</v>
      </c>
    </row>
    <row r="32" spans="1:9" ht="15" customHeight="1">
      <c r="A32" s="65">
        <f t="shared" ref="A32:A37" si="5">A6</f>
        <v>2003</v>
      </c>
      <c r="B32" s="93">
        <f t="shared" si="3"/>
        <v>4944</v>
      </c>
      <c r="C32" s="67">
        <f>+C31+1</f>
        <v>1</v>
      </c>
      <c r="D32" s="53" t="s">
        <v>75</v>
      </c>
      <c r="E32" s="68">
        <f>INDEX(LINEST(B31:B36,C31:C36),1)</f>
        <v>-175.14285714285714</v>
      </c>
      <c r="F32" s="69"/>
      <c r="G32" s="53"/>
      <c r="H32" s="69"/>
      <c r="I32" s="70">
        <f t="shared" si="4"/>
        <v>4978.3809523809532</v>
      </c>
    </row>
    <row r="33" spans="1:9" ht="15" customHeight="1">
      <c r="A33" s="65">
        <f t="shared" si="5"/>
        <v>2004</v>
      </c>
      <c r="B33" s="93">
        <f t="shared" si="3"/>
        <v>4840</v>
      </c>
      <c r="C33" s="67">
        <f t="shared" ref="C33:C54" si="6">C32+1</f>
        <v>2</v>
      </c>
      <c r="D33" s="53" t="s">
        <v>76</v>
      </c>
      <c r="E33" s="72">
        <f>INDEX(LINEST(B31:B36,C31:C36),2)</f>
        <v>5153.5238095238101</v>
      </c>
      <c r="F33" s="69"/>
      <c r="G33" s="53"/>
      <c r="H33" s="69"/>
      <c r="I33" s="70">
        <f t="shared" si="4"/>
        <v>4803.2380952380954</v>
      </c>
    </row>
    <row r="34" spans="1:9" ht="15" customHeight="1">
      <c r="A34" s="65">
        <f t="shared" si="5"/>
        <v>2005</v>
      </c>
      <c r="B34" s="93">
        <f t="shared" si="3"/>
        <v>4706</v>
      </c>
      <c r="C34" s="67">
        <f t="shared" si="6"/>
        <v>3</v>
      </c>
      <c r="D34" s="53" t="s">
        <v>77</v>
      </c>
      <c r="E34" s="73">
        <f>I30</f>
        <v>0.97872970429724293</v>
      </c>
      <c r="F34" s="69"/>
      <c r="G34" s="53"/>
      <c r="H34" s="69"/>
      <c r="I34" s="70">
        <f t="shared" si="4"/>
        <v>4628.0952380952385</v>
      </c>
    </row>
    <row r="35" spans="1:9" ht="15" customHeight="1">
      <c r="A35" s="65">
        <f t="shared" si="5"/>
        <v>2006</v>
      </c>
      <c r="B35" s="93">
        <f t="shared" si="3"/>
        <v>4467</v>
      </c>
      <c r="C35" s="67">
        <f t="shared" si="6"/>
        <v>4</v>
      </c>
      <c r="D35" s="53"/>
      <c r="E35" s="53"/>
      <c r="F35" s="69"/>
      <c r="G35" s="53"/>
      <c r="H35" s="69"/>
      <c r="I35" s="70">
        <f t="shared" si="4"/>
        <v>4452.9523809523816</v>
      </c>
    </row>
    <row r="36" spans="1:9" ht="15" customHeight="1" thickBot="1">
      <c r="A36" s="97">
        <f t="shared" si="5"/>
        <v>2007</v>
      </c>
      <c r="B36" s="98">
        <f t="shared" si="3"/>
        <v>4212</v>
      </c>
      <c r="C36" s="99">
        <f t="shared" si="6"/>
        <v>5</v>
      </c>
      <c r="D36" s="101" t="s">
        <v>73</v>
      </c>
      <c r="E36" s="101"/>
      <c r="F36" s="100"/>
      <c r="G36" s="270"/>
      <c r="H36" s="100"/>
      <c r="I36" s="102">
        <f t="shared" si="4"/>
        <v>4277.8095238095248</v>
      </c>
    </row>
    <row r="37" spans="1:9" ht="15" customHeight="1" thickTop="1">
      <c r="A37" s="255">
        <f t="shared" si="5"/>
        <v>2008</v>
      </c>
      <c r="B37" s="81">
        <f t="shared" ref="B37:B54" si="7">ROUND(E$32*C37+E$33,0)</f>
        <v>4103</v>
      </c>
      <c r="C37" s="77">
        <f t="shared" si="6"/>
        <v>6</v>
      </c>
      <c r="D37" s="256"/>
      <c r="E37" s="256"/>
      <c r="F37" s="78"/>
      <c r="G37" s="256"/>
      <c r="H37" s="78"/>
      <c r="I37" s="79">
        <f t="shared" si="4"/>
        <v>4102.666666666667</v>
      </c>
    </row>
    <row r="38" spans="1:9" ht="15" customHeight="1">
      <c r="A38" s="80">
        <v>2009</v>
      </c>
      <c r="B38" s="81">
        <f t="shared" si="7"/>
        <v>3928</v>
      </c>
      <c r="C38" s="67">
        <f t="shared" si="6"/>
        <v>7</v>
      </c>
      <c r="D38" s="69"/>
      <c r="E38" s="69"/>
      <c r="F38" s="69"/>
      <c r="G38" s="69"/>
      <c r="H38" s="69"/>
      <c r="I38" s="70">
        <f t="shared" si="4"/>
        <v>3927.5238095238101</v>
      </c>
    </row>
    <row r="39" spans="1:9" ht="15" customHeight="1">
      <c r="A39" s="186">
        <v>2010</v>
      </c>
      <c r="B39" s="187">
        <f t="shared" si="7"/>
        <v>3752</v>
      </c>
      <c r="C39" s="188">
        <f t="shared" si="6"/>
        <v>8</v>
      </c>
      <c r="D39" s="189"/>
      <c r="E39" s="189"/>
      <c r="F39" s="189"/>
      <c r="G39" s="189"/>
      <c r="H39" s="189"/>
      <c r="I39" s="190">
        <f t="shared" si="4"/>
        <v>3752.3809523809532</v>
      </c>
    </row>
    <row r="40" spans="1:9" ht="15" customHeight="1">
      <c r="A40" s="80">
        <v>2011</v>
      </c>
      <c r="B40" s="81">
        <f t="shared" si="7"/>
        <v>3577</v>
      </c>
      <c r="C40" s="82">
        <f t="shared" si="6"/>
        <v>9</v>
      </c>
      <c r="D40" s="69"/>
      <c r="E40" s="69"/>
      <c r="F40" s="69"/>
      <c r="G40" s="69"/>
      <c r="H40" s="69"/>
      <c r="I40" s="70">
        <f t="shared" si="4"/>
        <v>3577.2380952380959</v>
      </c>
    </row>
    <row r="41" spans="1:9" ht="15" customHeight="1">
      <c r="A41" s="80">
        <v>2012</v>
      </c>
      <c r="B41" s="81">
        <f t="shared" si="7"/>
        <v>3402</v>
      </c>
      <c r="C41" s="82">
        <f t="shared" si="6"/>
        <v>10</v>
      </c>
      <c r="D41" s="69"/>
      <c r="E41" s="69"/>
      <c r="F41" s="69"/>
      <c r="G41" s="69"/>
      <c r="H41" s="69"/>
      <c r="I41" s="70">
        <f t="shared" si="4"/>
        <v>3402.0952380952385</v>
      </c>
    </row>
    <row r="42" spans="1:9" ht="15" customHeight="1">
      <c r="A42" s="80">
        <v>2013</v>
      </c>
      <c r="B42" s="81">
        <f t="shared" si="7"/>
        <v>3227</v>
      </c>
      <c r="C42" s="82">
        <f t="shared" si="6"/>
        <v>11</v>
      </c>
      <c r="D42" s="69"/>
      <c r="E42" s="69"/>
      <c r="F42" s="69"/>
      <c r="G42" s="69"/>
      <c r="H42" s="69"/>
      <c r="I42" s="70">
        <f t="shared" si="4"/>
        <v>3226.9523809523816</v>
      </c>
    </row>
    <row r="43" spans="1:9" ht="15" customHeight="1">
      <c r="A43" s="80">
        <v>2014</v>
      </c>
      <c r="B43" s="81">
        <f t="shared" si="7"/>
        <v>3052</v>
      </c>
      <c r="C43" s="82">
        <f t="shared" si="6"/>
        <v>12</v>
      </c>
      <c r="D43" s="69"/>
      <c r="E43" s="69"/>
      <c r="F43" s="69"/>
      <c r="G43" s="69"/>
      <c r="H43" s="69"/>
      <c r="I43" s="70">
        <f t="shared" si="4"/>
        <v>3051.8095238095243</v>
      </c>
    </row>
    <row r="44" spans="1:9" ht="15" customHeight="1">
      <c r="A44" s="186">
        <v>2015</v>
      </c>
      <c r="B44" s="187">
        <f t="shared" si="7"/>
        <v>2877</v>
      </c>
      <c r="C44" s="188">
        <f t="shared" si="6"/>
        <v>13</v>
      </c>
      <c r="D44" s="189"/>
      <c r="E44" s="189"/>
      <c r="F44" s="189"/>
      <c r="G44" s="189"/>
      <c r="H44" s="189"/>
      <c r="I44" s="190">
        <f t="shared" si="4"/>
        <v>2876.6666666666674</v>
      </c>
    </row>
    <row r="45" spans="1:9" ht="15" customHeight="1">
      <c r="A45" s="80">
        <v>2016</v>
      </c>
      <c r="B45" s="81">
        <f t="shared" si="7"/>
        <v>2702</v>
      </c>
      <c r="C45" s="82">
        <f t="shared" si="6"/>
        <v>14</v>
      </c>
      <c r="D45" s="69"/>
      <c r="E45" s="69"/>
      <c r="F45" s="69"/>
      <c r="G45" s="69"/>
      <c r="H45" s="69"/>
      <c r="I45" s="70">
        <f t="shared" si="4"/>
        <v>2701.5238095238101</v>
      </c>
    </row>
    <row r="46" spans="1:9" ht="15" customHeight="1">
      <c r="A46" s="80">
        <v>2017</v>
      </c>
      <c r="B46" s="81">
        <f t="shared" si="7"/>
        <v>2526</v>
      </c>
      <c r="C46" s="82">
        <f t="shared" si="6"/>
        <v>15</v>
      </c>
      <c r="D46" s="69"/>
      <c r="E46" s="69"/>
      <c r="F46" s="69"/>
      <c r="G46" s="69"/>
      <c r="H46" s="69"/>
      <c r="I46" s="70">
        <f t="shared" si="4"/>
        <v>2526.3809523809532</v>
      </c>
    </row>
    <row r="47" spans="1:9" ht="15" customHeight="1">
      <c r="A47" s="80">
        <v>2018</v>
      </c>
      <c r="B47" s="81">
        <f t="shared" si="7"/>
        <v>2351</v>
      </c>
      <c r="C47" s="82">
        <f t="shared" si="6"/>
        <v>16</v>
      </c>
      <c r="D47" s="69"/>
      <c r="E47" s="69"/>
      <c r="F47" s="69"/>
      <c r="G47" s="69"/>
      <c r="H47" s="69"/>
      <c r="I47" s="70">
        <f t="shared" si="4"/>
        <v>2351.2380952380959</v>
      </c>
    </row>
    <row r="48" spans="1:9" ht="15" customHeight="1">
      <c r="A48" s="80">
        <v>2019</v>
      </c>
      <c r="B48" s="81">
        <f t="shared" si="7"/>
        <v>2176</v>
      </c>
      <c r="C48" s="82">
        <f t="shared" si="6"/>
        <v>17</v>
      </c>
      <c r="D48" s="69"/>
      <c r="E48" s="69"/>
      <c r="F48" s="69"/>
      <c r="G48" s="69"/>
      <c r="H48" s="69"/>
      <c r="I48" s="70">
        <f t="shared" si="4"/>
        <v>2176.0952380952385</v>
      </c>
    </row>
    <row r="49" spans="1:11" ht="15" customHeight="1">
      <c r="A49" s="186">
        <v>2020</v>
      </c>
      <c r="B49" s="187">
        <f t="shared" si="7"/>
        <v>2001</v>
      </c>
      <c r="C49" s="188">
        <f t="shared" si="6"/>
        <v>18</v>
      </c>
      <c r="D49" s="189"/>
      <c r="E49" s="189"/>
      <c r="F49" s="189"/>
      <c r="G49" s="189"/>
      <c r="H49" s="189"/>
      <c r="I49" s="190">
        <f t="shared" si="4"/>
        <v>2000.9523809523816</v>
      </c>
    </row>
    <row r="50" spans="1:11" ht="15" customHeight="1">
      <c r="A50" s="80">
        <v>2021</v>
      </c>
      <c r="B50" s="81">
        <f t="shared" si="7"/>
        <v>1826</v>
      </c>
      <c r="C50" s="82">
        <f t="shared" si="6"/>
        <v>19</v>
      </c>
      <c r="D50" s="69"/>
      <c r="E50" s="69"/>
      <c r="F50" s="69"/>
      <c r="G50" s="69"/>
      <c r="H50" s="69"/>
      <c r="I50" s="70">
        <f t="shared" si="4"/>
        <v>1825.8095238095243</v>
      </c>
    </row>
    <row r="51" spans="1:11" ht="15" customHeight="1">
      <c r="A51" s="80">
        <v>2022</v>
      </c>
      <c r="B51" s="81">
        <f t="shared" si="7"/>
        <v>1651</v>
      </c>
      <c r="C51" s="82">
        <f t="shared" si="6"/>
        <v>20</v>
      </c>
      <c r="D51" s="69"/>
      <c r="E51" s="69"/>
      <c r="F51" s="69"/>
      <c r="G51" s="69"/>
      <c r="H51" s="69"/>
      <c r="I51" s="70">
        <f t="shared" si="4"/>
        <v>1650.6666666666674</v>
      </c>
    </row>
    <row r="52" spans="1:11" ht="15" customHeight="1">
      <c r="A52" s="80">
        <v>2023</v>
      </c>
      <c r="B52" s="81">
        <f t="shared" si="7"/>
        <v>1476</v>
      </c>
      <c r="C52" s="82">
        <f t="shared" si="6"/>
        <v>21</v>
      </c>
      <c r="D52" s="69"/>
      <c r="E52" s="69"/>
      <c r="F52" s="69"/>
      <c r="G52" s="69"/>
      <c r="H52" s="69"/>
      <c r="I52" s="70">
        <f t="shared" si="4"/>
        <v>1475.5238095238101</v>
      </c>
    </row>
    <row r="53" spans="1:11" ht="15" customHeight="1">
      <c r="A53" s="80">
        <v>2024</v>
      </c>
      <c r="B53" s="81">
        <f t="shared" si="7"/>
        <v>1300</v>
      </c>
      <c r="C53" s="67">
        <f t="shared" si="6"/>
        <v>22</v>
      </c>
      <c r="D53" s="69"/>
      <c r="E53" s="69"/>
      <c r="F53" s="69"/>
      <c r="G53" s="69"/>
      <c r="H53" s="69"/>
      <c r="I53" s="70">
        <f t="shared" si="4"/>
        <v>1300.3809523809532</v>
      </c>
    </row>
    <row r="54" spans="1:11" ht="15" customHeight="1">
      <c r="A54" s="191">
        <v>2025</v>
      </c>
      <c r="B54" s="192">
        <f t="shared" si="7"/>
        <v>1125</v>
      </c>
      <c r="C54" s="193">
        <f t="shared" si="6"/>
        <v>23</v>
      </c>
      <c r="D54" s="195"/>
      <c r="E54" s="195"/>
      <c r="F54" s="195"/>
      <c r="G54" s="195"/>
      <c r="H54" s="195"/>
      <c r="I54" s="197">
        <f t="shared" si="4"/>
        <v>1125.2380952380959</v>
      </c>
    </row>
    <row r="55" spans="1:11" ht="15" customHeight="1">
      <c r="A55" s="56" t="s">
        <v>79</v>
      </c>
      <c r="B55" s="57"/>
    </row>
    <row r="56" spans="1:11" ht="15" customHeight="1">
      <c r="A56" s="58" t="s">
        <v>32</v>
      </c>
      <c r="B56" s="59" t="s">
        <v>40</v>
      </c>
      <c r="C56" s="59" t="s">
        <v>34</v>
      </c>
      <c r="D56" s="59" t="s">
        <v>33</v>
      </c>
      <c r="E56" s="103"/>
      <c r="F56" s="60"/>
      <c r="G56" s="61"/>
      <c r="H56" s="63" t="s">
        <v>310</v>
      </c>
      <c r="I56" s="64">
        <f>RSQ(I58:I63,B58:B63)</f>
        <v>0.97298183774767566</v>
      </c>
    </row>
    <row r="57" spans="1:11" ht="15" customHeight="1">
      <c r="A57" s="65">
        <v>2002</v>
      </c>
      <c r="B57" s="104">
        <f t="shared" ref="B57:B62" si="8">B5</f>
        <v>5125</v>
      </c>
      <c r="C57" s="105">
        <f t="shared" ref="C57:C80" si="9">LN(B57)</f>
        <v>8.5418858040066095</v>
      </c>
      <c r="D57" s="67">
        <v>0</v>
      </c>
      <c r="E57" s="106"/>
      <c r="F57" s="53"/>
      <c r="G57" s="69"/>
      <c r="H57" s="265"/>
      <c r="I57" s="109">
        <f t="shared" ref="I57:I80" si="10">ROUND($F$59*(1+$F$58)^(D57),1)</f>
        <v>5125</v>
      </c>
    </row>
    <row r="58" spans="1:11" ht="15" customHeight="1">
      <c r="A58" s="65">
        <f t="shared" ref="A58:A63" si="11">A6</f>
        <v>2003</v>
      </c>
      <c r="B58" s="104">
        <f t="shared" si="8"/>
        <v>4944</v>
      </c>
      <c r="C58" s="105">
        <f t="shared" si="9"/>
        <v>8.5059299991375266</v>
      </c>
      <c r="D58" s="67">
        <f>+D57+1</f>
        <v>1</v>
      </c>
      <c r="E58" s="106" t="s">
        <v>37</v>
      </c>
      <c r="F58" s="73">
        <f>ROUND((B62/B57)^(1/D62)-1,5)</f>
        <v>-3.848E-2</v>
      </c>
      <c r="G58" s="107"/>
      <c r="H58" s="108"/>
      <c r="I58" s="109">
        <f t="shared" si="10"/>
        <v>4927.8</v>
      </c>
    </row>
    <row r="59" spans="1:11" ht="15" customHeight="1">
      <c r="A59" s="65">
        <f t="shared" si="11"/>
        <v>2004</v>
      </c>
      <c r="B59" s="104">
        <f t="shared" si="8"/>
        <v>4840</v>
      </c>
      <c r="C59" s="105">
        <f t="shared" si="9"/>
        <v>8.4846699997106771</v>
      </c>
      <c r="D59" s="67">
        <f t="shared" ref="D59:D80" si="12">D58+1</f>
        <v>2</v>
      </c>
      <c r="E59" s="106" t="s">
        <v>80</v>
      </c>
      <c r="F59" s="110">
        <f>B57</f>
        <v>5125</v>
      </c>
      <c r="G59" s="107"/>
      <c r="H59" s="108"/>
      <c r="I59" s="109">
        <f t="shared" si="10"/>
        <v>4738.2</v>
      </c>
      <c r="K59" s="111"/>
    </row>
    <row r="60" spans="1:11" ht="15" customHeight="1">
      <c r="A60" s="65">
        <f t="shared" si="11"/>
        <v>2005</v>
      </c>
      <c r="B60" s="104">
        <f t="shared" si="8"/>
        <v>4706</v>
      </c>
      <c r="C60" s="105">
        <f t="shared" si="9"/>
        <v>8.4565935692873087</v>
      </c>
      <c r="D60" s="67">
        <f t="shared" si="12"/>
        <v>3</v>
      </c>
      <c r="E60" s="106" t="s">
        <v>77</v>
      </c>
      <c r="F60" s="73">
        <f>I56</f>
        <v>0.97298183774767566</v>
      </c>
      <c r="G60" s="108"/>
      <c r="H60" s="108"/>
      <c r="I60" s="109">
        <f t="shared" si="10"/>
        <v>4555.8</v>
      </c>
    </row>
    <row r="61" spans="1:11" ht="15" customHeight="1">
      <c r="A61" s="65">
        <f t="shared" si="11"/>
        <v>2006</v>
      </c>
      <c r="B61" s="104">
        <f t="shared" si="8"/>
        <v>4467</v>
      </c>
      <c r="C61" s="105">
        <f t="shared" si="9"/>
        <v>8.4044723213521184</v>
      </c>
      <c r="D61" s="67">
        <f t="shared" si="12"/>
        <v>4</v>
      </c>
      <c r="E61" s="106"/>
      <c r="F61" s="73"/>
      <c r="G61" s="108"/>
      <c r="H61" s="108"/>
      <c r="I61" s="109">
        <f t="shared" si="10"/>
        <v>4380.5</v>
      </c>
    </row>
    <row r="62" spans="1:11" ht="15" customHeight="1" thickBot="1">
      <c r="A62" s="97">
        <f t="shared" si="11"/>
        <v>2007</v>
      </c>
      <c r="B62" s="116">
        <f t="shared" si="8"/>
        <v>4212</v>
      </c>
      <c r="C62" s="117">
        <f t="shared" si="9"/>
        <v>8.3456928732538653</v>
      </c>
      <c r="D62" s="99">
        <f t="shared" si="12"/>
        <v>5</v>
      </c>
      <c r="E62" s="205" t="s">
        <v>81</v>
      </c>
      <c r="F62" s="271"/>
      <c r="G62" s="118"/>
      <c r="H62" s="118"/>
      <c r="I62" s="120">
        <f t="shared" si="10"/>
        <v>4212</v>
      </c>
    </row>
    <row r="63" spans="1:11" ht="15" customHeight="1" thickTop="1">
      <c r="A63" s="255">
        <f t="shared" si="11"/>
        <v>2008</v>
      </c>
      <c r="B63" s="81">
        <f t="shared" ref="B63:B80" si="13">ROUND(F$59*(1+F$58)^D63,0)</f>
        <v>4050</v>
      </c>
      <c r="C63" s="121">
        <f t="shared" si="9"/>
        <v>8.3064721601005846</v>
      </c>
      <c r="D63" s="77">
        <f t="shared" si="12"/>
        <v>6</v>
      </c>
      <c r="E63" s="272"/>
      <c r="F63" s="273"/>
      <c r="G63" s="259"/>
      <c r="H63" s="259"/>
      <c r="I63" s="123">
        <f t="shared" si="10"/>
        <v>4049.9</v>
      </c>
    </row>
    <row r="64" spans="1:11" ht="15" customHeight="1">
      <c r="A64" s="80">
        <v>2009</v>
      </c>
      <c r="B64" s="81">
        <f t="shared" si="13"/>
        <v>3894</v>
      </c>
      <c r="C64" s="105">
        <f t="shared" si="9"/>
        <v>8.2671921859321458</v>
      </c>
      <c r="D64" s="67">
        <f t="shared" si="12"/>
        <v>7</v>
      </c>
      <c r="E64" s="83"/>
      <c r="F64" s="69"/>
      <c r="G64" s="69"/>
      <c r="H64" s="69"/>
      <c r="I64" s="109">
        <f t="shared" si="10"/>
        <v>3894.1</v>
      </c>
    </row>
    <row r="65" spans="1:9" ht="15" customHeight="1">
      <c r="A65" s="186">
        <v>2010</v>
      </c>
      <c r="B65" s="187">
        <f t="shared" si="13"/>
        <v>3744</v>
      </c>
      <c r="C65" s="198">
        <f t="shared" si="9"/>
        <v>8.2279098375974833</v>
      </c>
      <c r="D65" s="199">
        <f t="shared" si="12"/>
        <v>8</v>
      </c>
      <c r="E65" s="200"/>
      <c r="F65" s="189"/>
      <c r="G65" s="189"/>
      <c r="H65" s="189"/>
      <c r="I65" s="201">
        <f t="shared" si="10"/>
        <v>3744.2</v>
      </c>
    </row>
    <row r="66" spans="1:9" ht="15" customHeight="1">
      <c r="A66" s="80">
        <v>2011</v>
      </c>
      <c r="B66" s="81">
        <f t="shared" si="13"/>
        <v>3600</v>
      </c>
      <c r="C66" s="105">
        <f t="shared" si="9"/>
        <v>8.1886891244442008</v>
      </c>
      <c r="D66" s="67">
        <f t="shared" si="12"/>
        <v>9</v>
      </c>
      <c r="E66" s="83"/>
      <c r="F66" s="69"/>
      <c r="G66" s="69"/>
      <c r="H66" s="69"/>
      <c r="I66" s="109">
        <f t="shared" si="10"/>
        <v>3600.1</v>
      </c>
    </row>
    <row r="67" spans="1:9" ht="15" customHeight="1">
      <c r="A67" s="80">
        <v>2012</v>
      </c>
      <c r="B67" s="81">
        <f t="shared" si="13"/>
        <v>3462</v>
      </c>
      <c r="C67" s="105">
        <f t="shared" si="9"/>
        <v>8.1496017357361552</v>
      </c>
      <c r="D67" s="67">
        <f t="shared" si="12"/>
        <v>10</v>
      </c>
      <c r="E67" s="83"/>
      <c r="F67" s="69"/>
      <c r="G67" s="69"/>
      <c r="H67" s="69"/>
      <c r="I67" s="109">
        <f t="shared" si="10"/>
        <v>3461.6</v>
      </c>
    </row>
    <row r="68" spans="1:9" ht="15" customHeight="1">
      <c r="A68" s="80">
        <v>2013</v>
      </c>
      <c r="B68" s="81">
        <f t="shared" si="13"/>
        <v>3328</v>
      </c>
      <c r="C68" s="105">
        <f t="shared" si="9"/>
        <v>8.1101268019410995</v>
      </c>
      <c r="D68" s="67">
        <f t="shared" si="12"/>
        <v>11</v>
      </c>
      <c r="E68" s="83"/>
      <c r="F68" s="69"/>
      <c r="G68" s="69"/>
      <c r="H68" s="69"/>
      <c r="I68" s="109">
        <f t="shared" si="10"/>
        <v>3328.4</v>
      </c>
    </row>
    <row r="69" spans="1:9" ht="15" customHeight="1">
      <c r="A69" s="80">
        <v>2014</v>
      </c>
      <c r="B69" s="81">
        <f t="shared" si="13"/>
        <v>3200</v>
      </c>
      <c r="C69" s="105">
        <f t="shared" si="9"/>
        <v>8.0709060887878188</v>
      </c>
      <c r="D69" s="67">
        <f t="shared" si="12"/>
        <v>12</v>
      </c>
      <c r="E69" s="83"/>
      <c r="F69" s="69"/>
      <c r="G69" s="69"/>
      <c r="H69" s="69"/>
      <c r="I69" s="109">
        <f t="shared" si="10"/>
        <v>3200.3</v>
      </c>
    </row>
    <row r="70" spans="1:9" ht="15" customHeight="1">
      <c r="A70" s="186">
        <v>2015</v>
      </c>
      <c r="B70" s="187">
        <f t="shared" si="13"/>
        <v>3077</v>
      </c>
      <c r="C70" s="198">
        <f t="shared" si="9"/>
        <v>8.0317103753220422</v>
      </c>
      <c r="D70" s="199">
        <f t="shared" si="12"/>
        <v>13</v>
      </c>
      <c r="E70" s="200"/>
      <c r="F70" s="189"/>
      <c r="G70" s="189"/>
      <c r="H70" s="189"/>
      <c r="I70" s="201">
        <f t="shared" si="10"/>
        <v>3077.2</v>
      </c>
    </row>
    <row r="71" spans="1:9" ht="15" customHeight="1">
      <c r="A71" s="80">
        <v>2016</v>
      </c>
      <c r="B71" s="81">
        <f t="shared" si="13"/>
        <v>2959</v>
      </c>
      <c r="C71" s="105">
        <f t="shared" si="9"/>
        <v>7.9926066524002097</v>
      </c>
      <c r="D71" s="67">
        <f t="shared" si="12"/>
        <v>14</v>
      </c>
      <c r="E71" s="83"/>
      <c r="F71" s="69"/>
      <c r="G71" s="69"/>
      <c r="H71" s="69"/>
      <c r="I71" s="109">
        <f t="shared" si="10"/>
        <v>2958.8</v>
      </c>
    </row>
    <row r="72" spans="1:9" ht="15" customHeight="1">
      <c r="A72" s="80">
        <v>2017</v>
      </c>
      <c r="B72" s="81">
        <f t="shared" si="13"/>
        <v>2845</v>
      </c>
      <c r="C72" s="105">
        <f t="shared" si="9"/>
        <v>7.9533183465604314</v>
      </c>
      <c r="D72" s="67">
        <f t="shared" si="12"/>
        <v>15</v>
      </c>
      <c r="E72" s="83"/>
      <c r="F72" s="69"/>
      <c r="G72" s="69"/>
      <c r="H72" s="69"/>
      <c r="I72" s="109">
        <f t="shared" si="10"/>
        <v>2844.9</v>
      </c>
    </row>
    <row r="73" spans="1:9" ht="15" customHeight="1">
      <c r="A73" s="80">
        <v>2018</v>
      </c>
      <c r="B73" s="81">
        <f t="shared" si="13"/>
        <v>2735</v>
      </c>
      <c r="C73" s="105">
        <f t="shared" si="9"/>
        <v>7.9138867148560816</v>
      </c>
      <c r="D73" s="67">
        <f t="shared" si="12"/>
        <v>16</v>
      </c>
      <c r="E73" s="83"/>
      <c r="F73" s="69"/>
      <c r="G73" s="69"/>
      <c r="H73" s="69"/>
      <c r="I73" s="109">
        <f t="shared" si="10"/>
        <v>2735.4</v>
      </c>
    </row>
    <row r="74" spans="1:9" ht="15" customHeight="1">
      <c r="A74" s="80">
        <v>2019</v>
      </c>
      <c r="B74" s="81">
        <f t="shared" si="13"/>
        <v>2630</v>
      </c>
      <c r="C74" s="105">
        <f t="shared" si="9"/>
        <v>7.8747391251718106</v>
      </c>
      <c r="D74" s="67">
        <f t="shared" si="12"/>
        <v>17</v>
      </c>
      <c r="E74" s="83"/>
      <c r="F74" s="69"/>
      <c r="G74" s="69"/>
      <c r="H74" s="69"/>
      <c r="I74" s="109">
        <f t="shared" si="10"/>
        <v>2630.2</v>
      </c>
    </row>
    <row r="75" spans="1:9" ht="15" customHeight="1">
      <c r="A75" s="186">
        <v>2020</v>
      </c>
      <c r="B75" s="187">
        <f t="shared" si="13"/>
        <v>2529</v>
      </c>
      <c r="C75" s="198">
        <f t="shared" si="9"/>
        <v>7.8355792466699654</v>
      </c>
      <c r="D75" s="199">
        <f t="shared" si="12"/>
        <v>18</v>
      </c>
      <c r="E75" s="200"/>
      <c r="F75" s="189"/>
      <c r="G75" s="189"/>
      <c r="H75" s="189"/>
      <c r="I75" s="201">
        <f t="shared" si="10"/>
        <v>2529</v>
      </c>
    </row>
    <row r="76" spans="1:9" ht="15" customHeight="1">
      <c r="A76" s="80">
        <v>2021</v>
      </c>
      <c r="B76" s="81">
        <f t="shared" si="13"/>
        <v>2432</v>
      </c>
      <c r="C76" s="105">
        <f t="shared" si="9"/>
        <v>7.796469243086058</v>
      </c>
      <c r="D76" s="67">
        <f t="shared" si="12"/>
        <v>19</v>
      </c>
      <c r="E76" s="83"/>
      <c r="F76" s="69"/>
      <c r="G76" s="69"/>
      <c r="H76" s="69"/>
      <c r="I76" s="109">
        <f t="shared" si="10"/>
        <v>2431.6999999999998</v>
      </c>
    </row>
    <row r="77" spans="1:9" ht="15" customHeight="1">
      <c r="A77" s="80">
        <v>2022</v>
      </c>
      <c r="B77" s="81">
        <f t="shared" si="13"/>
        <v>2338</v>
      </c>
      <c r="C77" s="105">
        <f t="shared" si="9"/>
        <v>7.7570511420320134</v>
      </c>
      <c r="D77" s="67">
        <f t="shared" si="12"/>
        <v>20</v>
      </c>
      <c r="E77" s="83"/>
      <c r="F77" s="69"/>
      <c r="G77" s="69"/>
      <c r="H77" s="69"/>
      <c r="I77" s="109">
        <f t="shared" si="10"/>
        <v>2338.1</v>
      </c>
    </row>
    <row r="78" spans="1:9" ht="15" customHeight="1">
      <c r="A78" s="80">
        <v>2023</v>
      </c>
      <c r="B78" s="81">
        <f t="shared" si="13"/>
        <v>2248</v>
      </c>
      <c r="C78" s="105">
        <f t="shared" si="9"/>
        <v>7.7177962110135816</v>
      </c>
      <c r="D78" s="67">
        <f t="shared" si="12"/>
        <v>21</v>
      </c>
      <c r="E78" s="83"/>
      <c r="F78" s="69"/>
      <c r="G78" s="69"/>
      <c r="H78" s="69"/>
      <c r="I78" s="109">
        <f t="shared" si="10"/>
        <v>2248.1</v>
      </c>
    </row>
    <row r="79" spans="1:9" ht="15" customHeight="1">
      <c r="A79" s="80">
        <v>2024</v>
      </c>
      <c r="B79" s="81">
        <f t="shared" si="13"/>
        <v>2162</v>
      </c>
      <c r="C79" s="105">
        <f t="shared" si="9"/>
        <v>7.6787889981991535</v>
      </c>
      <c r="D79" s="67">
        <f t="shared" si="12"/>
        <v>22</v>
      </c>
      <c r="E79" s="69"/>
      <c r="F79" s="69"/>
      <c r="G79" s="69"/>
      <c r="H79" s="69"/>
      <c r="I79" s="109">
        <f t="shared" si="10"/>
        <v>2161.6</v>
      </c>
    </row>
    <row r="80" spans="1:9" ht="15" customHeight="1">
      <c r="A80" s="191">
        <v>2025</v>
      </c>
      <c r="B80" s="192">
        <f t="shared" si="13"/>
        <v>2078</v>
      </c>
      <c r="C80" s="202">
        <f t="shared" si="9"/>
        <v>7.6391611716591727</v>
      </c>
      <c r="D80" s="193">
        <f t="shared" si="12"/>
        <v>23</v>
      </c>
      <c r="E80" s="195"/>
      <c r="F80" s="195"/>
      <c r="G80" s="195"/>
      <c r="H80" s="195"/>
      <c r="I80" s="203">
        <f t="shared" si="10"/>
        <v>2078.4</v>
      </c>
    </row>
    <row r="81" spans="1:9" ht="15" customHeight="1">
      <c r="A81" s="56" t="s">
        <v>82</v>
      </c>
      <c r="B81" s="57"/>
    </row>
    <row r="82" spans="1:9" ht="15" customHeight="1">
      <c r="A82" s="58" t="s">
        <v>32</v>
      </c>
      <c r="B82" s="59" t="s">
        <v>40</v>
      </c>
      <c r="C82" s="59" t="s">
        <v>83</v>
      </c>
      <c r="D82" s="59" t="s">
        <v>33</v>
      </c>
      <c r="E82" s="59" t="s">
        <v>35</v>
      </c>
      <c r="F82" s="103"/>
      <c r="G82" s="60"/>
      <c r="H82" s="63" t="s">
        <v>310</v>
      </c>
      <c r="I82" s="64" t="e">
        <f>RSQ(I83:I88,B83:B88)</f>
        <v>#VALUE!</v>
      </c>
    </row>
    <row r="83" spans="1:9" ht="15" customHeight="1">
      <c r="A83" s="65">
        <v>2002</v>
      </c>
      <c r="B83" s="104">
        <f t="shared" ref="B83:B88" si="14">B5</f>
        <v>5125</v>
      </c>
      <c r="C83" s="67"/>
      <c r="D83" s="67">
        <v>0</v>
      </c>
      <c r="E83" s="67"/>
      <c r="F83" s="106"/>
      <c r="G83" s="53"/>
      <c r="H83" s="265"/>
      <c r="I83" s="277" t="e">
        <f>$B$83+$G$88*D83^$G$84</f>
        <v>#VALUE!</v>
      </c>
    </row>
    <row r="84" spans="1:9" ht="15" customHeight="1">
      <c r="A84" s="65">
        <f t="shared" ref="A84:A89" si="15">A6</f>
        <v>2003</v>
      </c>
      <c r="B84" s="104">
        <f t="shared" si="14"/>
        <v>4944</v>
      </c>
      <c r="C84" s="126" t="e">
        <f>LN(-B$83+B84)</f>
        <v>#NUM!</v>
      </c>
      <c r="D84" s="67">
        <f>+D83+1</f>
        <v>1</v>
      </c>
      <c r="E84" s="67">
        <f>LN(D84)</f>
        <v>0</v>
      </c>
      <c r="F84" s="106" t="s">
        <v>75</v>
      </c>
      <c r="G84" s="73" t="e">
        <f>INDEX(LINEST(C84:C88,E84:E88),1)</f>
        <v>#VALUE!</v>
      </c>
      <c r="H84" s="127"/>
      <c r="I84" s="278" t="e">
        <f>$B$83+$G$88*D84^$G$84</f>
        <v>#VALUE!</v>
      </c>
    </row>
    <row r="85" spans="1:9" ht="15" customHeight="1">
      <c r="A85" s="65">
        <f t="shared" si="15"/>
        <v>2004</v>
      </c>
      <c r="B85" s="104">
        <f t="shared" si="14"/>
        <v>4840</v>
      </c>
      <c r="C85" s="126" t="e">
        <f>LN(-B$83+B85)</f>
        <v>#NUM!</v>
      </c>
      <c r="D85" s="67">
        <f t="shared" ref="D85:D106" si="16">D84+1</f>
        <v>2</v>
      </c>
      <c r="E85" s="67">
        <f>LN(D85)</f>
        <v>0.69314718055994529</v>
      </c>
      <c r="F85" s="106" t="s">
        <v>76</v>
      </c>
      <c r="G85" s="73" t="e">
        <f>INDEX(LINEST(C84:C88,E84:E88),2)</f>
        <v>#VALUE!</v>
      </c>
      <c r="H85" s="129" t="s">
        <v>311</v>
      </c>
      <c r="I85" s="128" t="e">
        <f t="shared" ref="I85:I106" si="17">$B$84+$G$88*D85^$G$84</f>
        <v>#VALUE!</v>
      </c>
    </row>
    <row r="86" spans="1:9" ht="15" customHeight="1">
      <c r="A86" s="65">
        <f t="shared" si="15"/>
        <v>2005</v>
      </c>
      <c r="B86" s="104">
        <f t="shared" si="14"/>
        <v>4706</v>
      </c>
      <c r="C86" s="126" t="e">
        <f>LN(-B$83+B86)</f>
        <v>#NUM!</v>
      </c>
      <c r="D86" s="67">
        <f t="shared" si="16"/>
        <v>3</v>
      </c>
      <c r="E86" s="67">
        <f>LN(D86)</f>
        <v>1.0986122886681098</v>
      </c>
      <c r="F86" s="69"/>
      <c r="G86" s="130"/>
      <c r="H86" s="127"/>
      <c r="I86" s="128" t="e">
        <f t="shared" si="17"/>
        <v>#VALUE!</v>
      </c>
    </row>
    <row r="87" spans="1:9" ht="15" customHeight="1">
      <c r="A87" s="65">
        <f t="shared" si="15"/>
        <v>2006</v>
      </c>
      <c r="B87" s="104">
        <f t="shared" si="14"/>
        <v>4467</v>
      </c>
      <c r="C87" s="126" t="e">
        <f>LN(-B$83+B87)</f>
        <v>#NUM!</v>
      </c>
      <c r="D87" s="67">
        <f t="shared" si="16"/>
        <v>4</v>
      </c>
      <c r="E87" s="67">
        <f>LN(D87)</f>
        <v>1.3862943611198906</v>
      </c>
      <c r="F87" s="106" t="s">
        <v>77</v>
      </c>
      <c r="G87" s="73" t="e">
        <f>I82</f>
        <v>#VALUE!</v>
      </c>
      <c r="H87" s="127"/>
      <c r="I87" s="128" t="e">
        <f t="shared" si="17"/>
        <v>#VALUE!</v>
      </c>
    </row>
    <row r="88" spans="1:9" ht="15" customHeight="1" thickBot="1">
      <c r="A88" s="97">
        <f t="shared" si="15"/>
        <v>2007</v>
      </c>
      <c r="B88" s="116">
        <f t="shared" si="14"/>
        <v>4212</v>
      </c>
      <c r="C88" s="141" t="e">
        <f>LN(-B$83+B88)</f>
        <v>#NUM!</v>
      </c>
      <c r="D88" s="99">
        <f t="shared" si="16"/>
        <v>5</v>
      </c>
      <c r="E88" s="99">
        <f>LN(D88)</f>
        <v>1.6094379124341003</v>
      </c>
      <c r="F88" s="205" t="s">
        <v>38</v>
      </c>
      <c r="G88" s="274" t="e">
        <f>EXP(G85)</f>
        <v>#VALUE!</v>
      </c>
      <c r="H88" s="143"/>
      <c r="I88" s="144" t="e">
        <f t="shared" si="17"/>
        <v>#VALUE!</v>
      </c>
    </row>
    <row r="89" spans="1:9" ht="15" customHeight="1" thickTop="1">
      <c r="A89" s="255">
        <f t="shared" si="15"/>
        <v>2008</v>
      </c>
      <c r="B89" s="81" t="e">
        <f t="shared" ref="B89:B106" si="18">ROUND(LOOKUP(0,D$83:D$88,B$83:B$88)+G$88*D89^G$84,0)</f>
        <v>#VALUE!</v>
      </c>
      <c r="C89" s="257"/>
      <c r="D89" s="77">
        <f t="shared" si="16"/>
        <v>6</v>
      </c>
      <c r="E89" s="77"/>
      <c r="F89" s="275"/>
      <c r="G89" s="256"/>
      <c r="H89" s="258"/>
      <c r="I89" s="133" t="e">
        <f t="shared" si="17"/>
        <v>#VALUE!</v>
      </c>
    </row>
    <row r="90" spans="1:9" ht="15" customHeight="1">
      <c r="A90" s="80">
        <v>2009</v>
      </c>
      <c r="B90" s="81" t="e">
        <f t="shared" si="18"/>
        <v>#VALUE!</v>
      </c>
      <c r="C90" s="126"/>
      <c r="D90" s="67">
        <f t="shared" si="16"/>
        <v>7</v>
      </c>
      <c r="E90" s="67"/>
      <c r="F90" s="83"/>
      <c r="G90" s="69"/>
      <c r="H90" s="84"/>
      <c r="I90" s="128" t="e">
        <f t="shared" si="17"/>
        <v>#VALUE!</v>
      </c>
    </row>
    <row r="91" spans="1:9" ht="15" customHeight="1">
      <c r="A91" s="80">
        <v>2010</v>
      </c>
      <c r="B91" s="81" t="e">
        <f t="shared" si="18"/>
        <v>#VALUE!</v>
      </c>
      <c r="C91" s="126"/>
      <c r="D91" s="67">
        <f t="shared" si="16"/>
        <v>8</v>
      </c>
      <c r="E91" s="67"/>
      <c r="F91" s="83"/>
      <c r="G91" s="69"/>
      <c r="H91" s="84"/>
      <c r="I91" s="128" t="e">
        <f t="shared" si="17"/>
        <v>#VALUE!</v>
      </c>
    </row>
    <row r="92" spans="1:9" ht="15" customHeight="1">
      <c r="A92" s="80">
        <v>2011</v>
      </c>
      <c r="B92" s="81" t="e">
        <f t="shared" si="18"/>
        <v>#VALUE!</v>
      </c>
      <c r="C92" s="126"/>
      <c r="D92" s="67">
        <f t="shared" si="16"/>
        <v>9</v>
      </c>
      <c r="E92" s="67"/>
      <c r="F92" s="83"/>
      <c r="G92" s="69"/>
      <c r="H92" s="84"/>
      <c r="I92" s="128" t="e">
        <f t="shared" si="17"/>
        <v>#VALUE!</v>
      </c>
    </row>
    <row r="93" spans="1:9" ht="15" customHeight="1">
      <c r="A93" s="80">
        <v>2012</v>
      </c>
      <c r="B93" s="81" t="e">
        <f t="shared" si="18"/>
        <v>#VALUE!</v>
      </c>
      <c r="C93" s="126"/>
      <c r="D93" s="67">
        <f t="shared" si="16"/>
        <v>10</v>
      </c>
      <c r="E93" s="67"/>
      <c r="F93" s="83"/>
      <c r="G93" s="69"/>
      <c r="H93" s="84"/>
      <c r="I93" s="128" t="e">
        <f t="shared" si="17"/>
        <v>#VALUE!</v>
      </c>
    </row>
    <row r="94" spans="1:9" ht="15" customHeight="1">
      <c r="A94" s="80">
        <v>2013</v>
      </c>
      <c r="B94" s="81" t="e">
        <f t="shared" si="18"/>
        <v>#VALUE!</v>
      </c>
      <c r="C94" s="126"/>
      <c r="D94" s="67">
        <f t="shared" si="16"/>
        <v>11</v>
      </c>
      <c r="E94" s="67"/>
      <c r="F94" s="83"/>
      <c r="G94" s="69"/>
      <c r="H94" s="84"/>
      <c r="I94" s="128" t="e">
        <f t="shared" si="17"/>
        <v>#VALUE!</v>
      </c>
    </row>
    <row r="95" spans="1:9" ht="15" customHeight="1">
      <c r="A95" s="80">
        <v>2014</v>
      </c>
      <c r="B95" s="81" t="e">
        <f t="shared" si="18"/>
        <v>#VALUE!</v>
      </c>
      <c r="C95" s="126"/>
      <c r="D95" s="67">
        <f t="shared" si="16"/>
        <v>12</v>
      </c>
      <c r="E95" s="67"/>
      <c r="F95" s="83"/>
      <c r="G95" s="69"/>
      <c r="H95" s="84"/>
      <c r="I95" s="128" t="e">
        <f t="shared" si="17"/>
        <v>#VALUE!</v>
      </c>
    </row>
    <row r="96" spans="1:9" ht="15" customHeight="1">
      <c r="A96" s="80">
        <v>2015</v>
      </c>
      <c r="B96" s="81" t="e">
        <f t="shared" si="18"/>
        <v>#VALUE!</v>
      </c>
      <c r="C96" s="126"/>
      <c r="D96" s="67">
        <f t="shared" si="16"/>
        <v>13</v>
      </c>
      <c r="E96" s="67"/>
      <c r="F96" s="83"/>
      <c r="G96" s="69"/>
      <c r="H96" s="84"/>
      <c r="I96" s="128" t="e">
        <f t="shared" si="17"/>
        <v>#VALUE!</v>
      </c>
    </row>
    <row r="97" spans="1:9" ht="15" customHeight="1">
      <c r="A97" s="80">
        <v>2016</v>
      </c>
      <c r="B97" s="81" t="e">
        <f t="shared" si="18"/>
        <v>#VALUE!</v>
      </c>
      <c r="C97" s="126"/>
      <c r="D97" s="67">
        <f t="shared" si="16"/>
        <v>14</v>
      </c>
      <c r="E97" s="67"/>
      <c r="F97" s="83"/>
      <c r="G97" s="69"/>
      <c r="H97" s="84"/>
      <c r="I97" s="128" t="e">
        <f t="shared" si="17"/>
        <v>#VALUE!</v>
      </c>
    </row>
    <row r="98" spans="1:9" ht="15" customHeight="1">
      <c r="A98" s="80">
        <v>2017</v>
      </c>
      <c r="B98" s="81" t="e">
        <f t="shared" si="18"/>
        <v>#VALUE!</v>
      </c>
      <c r="C98" s="126"/>
      <c r="D98" s="67">
        <f t="shared" si="16"/>
        <v>15</v>
      </c>
      <c r="E98" s="67"/>
      <c r="F98" s="83"/>
      <c r="G98" s="69"/>
      <c r="H98" s="84"/>
      <c r="I98" s="128" t="e">
        <f t="shared" si="17"/>
        <v>#VALUE!</v>
      </c>
    </row>
    <row r="99" spans="1:9" ht="15" customHeight="1">
      <c r="A99" s="80">
        <v>2018</v>
      </c>
      <c r="B99" s="81" t="e">
        <f t="shared" si="18"/>
        <v>#VALUE!</v>
      </c>
      <c r="C99" s="126"/>
      <c r="D99" s="67">
        <f t="shared" si="16"/>
        <v>16</v>
      </c>
      <c r="E99" s="67"/>
      <c r="F99" s="83"/>
      <c r="G99" s="69"/>
      <c r="H99" s="84"/>
      <c r="I99" s="128" t="e">
        <f t="shared" si="17"/>
        <v>#VALUE!</v>
      </c>
    </row>
    <row r="100" spans="1:9" ht="15" customHeight="1">
      <c r="A100" s="80">
        <v>2019</v>
      </c>
      <c r="B100" s="81" t="e">
        <f t="shared" si="18"/>
        <v>#VALUE!</v>
      </c>
      <c r="C100" s="126"/>
      <c r="D100" s="67">
        <f t="shared" si="16"/>
        <v>17</v>
      </c>
      <c r="E100" s="67"/>
      <c r="F100" s="83"/>
      <c r="G100" s="69"/>
      <c r="H100" s="84"/>
      <c r="I100" s="128" t="e">
        <f t="shared" si="17"/>
        <v>#VALUE!</v>
      </c>
    </row>
    <row r="101" spans="1:9" ht="15" customHeight="1">
      <c r="A101" s="80">
        <v>2020</v>
      </c>
      <c r="B101" s="81" t="e">
        <f t="shared" si="18"/>
        <v>#VALUE!</v>
      </c>
      <c r="C101" s="126"/>
      <c r="D101" s="67">
        <f t="shared" si="16"/>
        <v>18</v>
      </c>
      <c r="E101" s="67"/>
      <c r="F101" s="83"/>
      <c r="G101" s="69"/>
      <c r="H101" s="84"/>
      <c r="I101" s="128" t="e">
        <f t="shared" si="17"/>
        <v>#VALUE!</v>
      </c>
    </row>
    <row r="102" spans="1:9" ht="15" customHeight="1">
      <c r="A102" s="80">
        <v>2021</v>
      </c>
      <c r="B102" s="81" t="e">
        <f t="shared" si="18"/>
        <v>#VALUE!</v>
      </c>
      <c r="C102" s="126"/>
      <c r="D102" s="67">
        <f t="shared" si="16"/>
        <v>19</v>
      </c>
      <c r="E102" s="67"/>
      <c r="F102" s="83"/>
      <c r="G102" s="69"/>
      <c r="H102" s="84"/>
      <c r="I102" s="128" t="e">
        <f t="shared" si="17"/>
        <v>#VALUE!</v>
      </c>
    </row>
    <row r="103" spans="1:9" ht="15" customHeight="1">
      <c r="A103" s="80">
        <v>2022</v>
      </c>
      <c r="B103" s="81" t="e">
        <f t="shared" si="18"/>
        <v>#VALUE!</v>
      </c>
      <c r="C103" s="126"/>
      <c r="D103" s="67">
        <f t="shared" si="16"/>
        <v>20</v>
      </c>
      <c r="E103" s="67"/>
      <c r="F103" s="83"/>
      <c r="G103" s="69"/>
      <c r="H103" s="84"/>
      <c r="I103" s="128" t="e">
        <f t="shared" si="17"/>
        <v>#VALUE!</v>
      </c>
    </row>
    <row r="104" spans="1:9" ht="15" customHeight="1">
      <c r="A104" s="80">
        <v>2023</v>
      </c>
      <c r="B104" s="81" t="e">
        <f t="shared" si="18"/>
        <v>#VALUE!</v>
      </c>
      <c r="C104" s="126"/>
      <c r="D104" s="67">
        <f t="shared" si="16"/>
        <v>21</v>
      </c>
      <c r="E104" s="67"/>
      <c r="F104" s="83"/>
      <c r="G104" s="69"/>
      <c r="H104" s="84"/>
      <c r="I104" s="128" t="e">
        <f t="shared" si="17"/>
        <v>#VALUE!</v>
      </c>
    </row>
    <row r="105" spans="1:9" ht="15" customHeight="1">
      <c r="A105" s="80">
        <v>2024</v>
      </c>
      <c r="B105" s="81" t="e">
        <f t="shared" si="18"/>
        <v>#VALUE!</v>
      </c>
      <c r="C105" s="126"/>
      <c r="D105" s="67">
        <f t="shared" si="16"/>
        <v>22</v>
      </c>
      <c r="E105" s="67"/>
      <c r="F105" s="69"/>
      <c r="G105" s="69"/>
      <c r="H105" s="69"/>
      <c r="I105" s="136" t="e">
        <f t="shared" si="17"/>
        <v>#VALUE!</v>
      </c>
    </row>
    <row r="106" spans="1:9" ht="15" customHeight="1">
      <c r="A106" s="85">
        <v>2025</v>
      </c>
      <c r="B106" s="81" t="e">
        <f t="shared" si="18"/>
        <v>#VALUE!</v>
      </c>
      <c r="C106" s="204"/>
      <c r="D106" s="87">
        <f t="shared" si="16"/>
        <v>23</v>
      </c>
      <c r="E106" s="87"/>
      <c r="F106" s="89"/>
      <c r="G106" s="89"/>
      <c r="H106" s="89"/>
      <c r="I106" s="138" t="e">
        <f t="shared" si="17"/>
        <v>#VALUE!</v>
      </c>
    </row>
    <row r="107" spans="1:9" ht="15" customHeight="1">
      <c r="A107" s="56" t="s">
        <v>87</v>
      </c>
      <c r="B107" s="57"/>
    </row>
    <row r="108" spans="1:9" ht="15" customHeight="1">
      <c r="A108" s="58" t="s">
        <v>32</v>
      </c>
      <c r="B108" s="59" t="s">
        <v>40</v>
      </c>
      <c r="C108" s="59" t="s">
        <v>36</v>
      </c>
      <c r="D108" s="59" t="s">
        <v>33</v>
      </c>
      <c r="E108" s="103"/>
      <c r="F108" s="60"/>
      <c r="G108" s="61"/>
      <c r="H108" s="63" t="s">
        <v>310</v>
      </c>
      <c r="I108" s="64">
        <f>RSQ(I109:I114,B109:B114)</f>
        <v>0.97349836533581302</v>
      </c>
    </row>
    <row r="109" spans="1:9" ht="15" customHeight="1">
      <c r="A109" s="65">
        <v>2002</v>
      </c>
      <c r="B109" s="104">
        <f t="shared" ref="B109:B114" si="19">+B5</f>
        <v>5125</v>
      </c>
      <c r="C109" s="126">
        <f t="shared" ref="C109:C114" si="20">LN(F$113/B109-1)</f>
        <v>0</v>
      </c>
      <c r="D109" s="67">
        <v>0</v>
      </c>
      <c r="E109" s="106"/>
      <c r="F109" s="53"/>
      <c r="G109" s="69"/>
      <c r="H109" s="265"/>
      <c r="I109" s="267">
        <f t="shared" ref="I109:I132" si="21">$F$113/(1+EXP($F$111+$F$110*D109))</f>
        <v>5155.3848411822983</v>
      </c>
    </row>
    <row r="110" spans="1:9" ht="15" customHeight="1">
      <c r="A110" s="65">
        <f t="shared" ref="A110:A115" si="22">A6</f>
        <v>2003</v>
      </c>
      <c r="B110" s="104">
        <f t="shared" si="19"/>
        <v>4944</v>
      </c>
      <c r="C110" s="126">
        <f t="shared" si="20"/>
        <v>7.0663535560158419E-2</v>
      </c>
      <c r="D110" s="67">
        <f>+D109+1</f>
        <v>1</v>
      </c>
      <c r="E110" s="106" t="s">
        <v>75</v>
      </c>
      <c r="F110" s="139">
        <f>INDEX(LINEST(C109:C114,D109:D114),1)</f>
        <v>6.90241653787141E-2</v>
      </c>
      <c r="G110" s="140" t="s">
        <v>88</v>
      </c>
      <c r="H110" s="127"/>
      <c r="I110" s="128">
        <f t="shared" si="21"/>
        <v>4978.5506544276686</v>
      </c>
    </row>
    <row r="111" spans="1:9" ht="15" customHeight="1">
      <c r="A111" s="65">
        <f t="shared" si="22"/>
        <v>2004</v>
      </c>
      <c r="B111" s="104">
        <f t="shared" si="19"/>
        <v>4840</v>
      </c>
      <c r="C111" s="126">
        <f t="shared" si="20"/>
        <v>0.11133437212984981</v>
      </c>
      <c r="D111" s="67">
        <f t="shared" ref="D111:D132" si="23">D110+1</f>
        <v>2</v>
      </c>
      <c r="E111" s="106" t="s">
        <v>76</v>
      </c>
      <c r="F111" s="139">
        <f>INDEX(LINEST(C109:C114,D109:D114),2)</f>
        <v>-1.1857637931542431E-2</v>
      </c>
      <c r="G111" s="69"/>
      <c r="H111" s="127"/>
      <c r="I111" s="128">
        <f t="shared" si="21"/>
        <v>4802.0647734356608</v>
      </c>
    </row>
    <row r="112" spans="1:9" ht="15" customHeight="1">
      <c r="A112" s="65">
        <f t="shared" si="22"/>
        <v>2005</v>
      </c>
      <c r="B112" s="104">
        <f t="shared" si="19"/>
        <v>4706</v>
      </c>
      <c r="C112" s="126">
        <f t="shared" si="20"/>
        <v>0.16387797158243136</v>
      </c>
      <c r="D112" s="67">
        <f t="shared" si="23"/>
        <v>3</v>
      </c>
      <c r="E112" s="106" t="s">
        <v>77</v>
      </c>
      <c r="F112" s="73">
        <f>I108</f>
        <v>0.97349836533581302</v>
      </c>
      <c r="G112" s="69"/>
      <c r="H112" s="127"/>
      <c r="I112" s="128">
        <f t="shared" si="21"/>
        <v>4626.3445194735095</v>
      </c>
    </row>
    <row r="113" spans="1:9" ht="15" customHeight="1">
      <c r="A113" s="65">
        <f t="shared" si="22"/>
        <v>2006</v>
      </c>
      <c r="B113" s="104">
        <f t="shared" si="19"/>
        <v>4467</v>
      </c>
      <c r="C113" s="126">
        <f t="shared" si="20"/>
        <v>0.25820553680609948</v>
      </c>
      <c r="D113" s="67">
        <f t="shared" si="23"/>
        <v>4</v>
      </c>
      <c r="E113" s="106" t="s">
        <v>39</v>
      </c>
      <c r="F113" s="110">
        <f>MAX(B109:B114)*2</f>
        <v>10250</v>
      </c>
      <c r="G113" s="69"/>
      <c r="H113" s="127"/>
      <c r="I113" s="128">
        <f t="shared" si="21"/>
        <v>4451.7999803578241</v>
      </c>
    </row>
    <row r="114" spans="1:9" ht="15" customHeight="1" thickBot="1">
      <c r="A114" s="97">
        <f t="shared" si="22"/>
        <v>2007</v>
      </c>
      <c r="B114" s="116">
        <f t="shared" si="19"/>
        <v>4212</v>
      </c>
      <c r="C114" s="141">
        <f t="shared" si="20"/>
        <v>0.36013523701291789</v>
      </c>
      <c r="D114" s="99">
        <f t="shared" si="23"/>
        <v>5</v>
      </c>
      <c r="E114" s="205"/>
      <c r="F114" s="101"/>
      <c r="G114" s="100"/>
      <c r="H114" s="143"/>
      <c r="I114" s="144">
        <f t="shared" si="21"/>
        <v>4278.8302278367828</v>
      </c>
    </row>
    <row r="115" spans="1:9" ht="15" customHeight="1" thickTop="1">
      <c r="A115" s="255">
        <f t="shared" si="22"/>
        <v>2008</v>
      </c>
      <c r="B115" s="81">
        <f t="shared" ref="B115:B132" si="24">ROUND(F$113/(1+EXP(F$111+F$110*D115)),0)</f>
        <v>4108</v>
      </c>
      <c r="C115" s="257"/>
      <c r="D115" s="77">
        <f t="shared" si="23"/>
        <v>6</v>
      </c>
      <c r="E115" s="275"/>
      <c r="F115" s="256"/>
      <c r="G115" s="78"/>
      <c r="H115" s="258"/>
      <c r="I115" s="133">
        <f t="shared" si="21"/>
        <v>4107.8197526122931</v>
      </c>
    </row>
    <row r="116" spans="1:9" ht="15" customHeight="1">
      <c r="A116" s="80">
        <v>2009</v>
      </c>
      <c r="B116" s="81">
        <f t="shared" si="24"/>
        <v>3939</v>
      </c>
      <c r="C116" s="134"/>
      <c r="D116" s="67">
        <f t="shared" si="23"/>
        <v>7</v>
      </c>
      <c r="E116" s="83"/>
      <c r="F116" s="69"/>
      <c r="G116" s="69"/>
      <c r="H116" s="84"/>
      <c r="I116" s="128">
        <f t="shared" si="21"/>
        <v>3939.1351828015027</v>
      </c>
    </row>
    <row r="117" spans="1:9" ht="15" customHeight="1">
      <c r="A117" s="80">
        <v>2010</v>
      </c>
      <c r="B117" s="81">
        <f t="shared" si="24"/>
        <v>3773</v>
      </c>
      <c r="C117" s="134"/>
      <c r="D117" s="67">
        <f t="shared" si="23"/>
        <v>8</v>
      </c>
      <c r="E117" s="83"/>
      <c r="F117" s="69"/>
      <c r="G117" s="69"/>
      <c r="H117" s="84"/>
      <c r="I117" s="128">
        <f t="shared" si="21"/>
        <v>3773.1223423069277</v>
      </c>
    </row>
    <row r="118" spans="1:9" ht="15" customHeight="1">
      <c r="A118" s="80">
        <v>2011</v>
      </c>
      <c r="B118" s="81">
        <f t="shared" si="24"/>
        <v>3610</v>
      </c>
      <c r="C118" s="134"/>
      <c r="D118" s="67">
        <f t="shared" si="23"/>
        <v>9</v>
      </c>
      <c r="E118" s="83"/>
      <c r="F118" s="69"/>
      <c r="G118" s="69"/>
      <c r="H118" s="84"/>
      <c r="I118" s="128">
        <f t="shared" si="21"/>
        <v>3610.1036946811646</v>
      </c>
    </row>
    <row r="119" spans="1:9" ht="15" customHeight="1">
      <c r="A119" s="80">
        <v>2012</v>
      </c>
      <c r="B119" s="81">
        <f t="shared" si="24"/>
        <v>3450</v>
      </c>
      <c r="C119" s="134"/>
      <c r="D119" s="67">
        <f t="shared" si="23"/>
        <v>10</v>
      </c>
      <c r="E119" s="83"/>
      <c r="F119" s="69"/>
      <c r="G119" s="69"/>
      <c r="H119" s="84"/>
      <c r="I119" s="128">
        <f t="shared" si="21"/>
        <v>3450.3762061569823</v>
      </c>
    </row>
    <row r="120" spans="1:9" ht="15" customHeight="1">
      <c r="A120" s="80">
        <v>2013</v>
      </c>
      <c r="B120" s="81">
        <f t="shared" si="24"/>
        <v>3294</v>
      </c>
      <c r="C120" s="134"/>
      <c r="D120" s="67">
        <f t="shared" si="23"/>
        <v>11</v>
      </c>
      <c r="E120" s="83"/>
      <c r="F120" s="69"/>
      <c r="G120" s="69"/>
      <c r="H120" s="84"/>
      <c r="I120" s="128">
        <f t="shared" si="21"/>
        <v>3294.2096491110869</v>
      </c>
    </row>
    <row r="121" spans="1:9" ht="15" customHeight="1">
      <c r="A121" s="80">
        <v>2014</v>
      </c>
      <c r="B121" s="81">
        <f t="shared" si="24"/>
        <v>3142</v>
      </c>
      <c r="C121" s="134"/>
      <c r="D121" s="67">
        <f t="shared" si="23"/>
        <v>12</v>
      </c>
      <c r="E121" s="83"/>
      <c r="F121" s="69"/>
      <c r="G121" s="69"/>
      <c r="H121" s="84"/>
      <c r="I121" s="128">
        <f t="shared" si="21"/>
        <v>3141.8453548751113</v>
      </c>
    </row>
    <row r="122" spans="1:9" ht="15" customHeight="1">
      <c r="A122" s="80">
        <v>2015</v>
      </c>
      <c r="B122" s="81">
        <f t="shared" si="24"/>
        <v>2993</v>
      </c>
      <c r="C122" s="134"/>
      <c r="D122" s="67">
        <f t="shared" si="23"/>
        <v>13</v>
      </c>
      <c r="E122" s="83"/>
      <c r="F122" s="69"/>
      <c r="G122" s="69"/>
      <c r="H122" s="84"/>
      <c r="I122" s="128">
        <f t="shared" si="21"/>
        <v>2993.4954129940561</v>
      </c>
    </row>
    <row r="123" spans="1:9" ht="15" customHeight="1">
      <c r="A123" s="80">
        <v>2016</v>
      </c>
      <c r="B123" s="81">
        <f t="shared" si="24"/>
        <v>2849</v>
      </c>
      <c r="C123" s="134"/>
      <c r="D123" s="67">
        <f t="shared" si="23"/>
        <v>14</v>
      </c>
      <c r="E123" s="83"/>
      <c r="F123" s="69"/>
      <c r="G123" s="69"/>
      <c r="H123" s="84"/>
      <c r="I123" s="128">
        <f t="shared" si="21"/>
        <v>2849.3423031883613</v>
      </c>
    </row>
    <row r="124" spans="1:9" ht="15" customHeight="1">
      <c r="A124" s="80">
        <v>2017</v>
      </c>
      <c r="B124" s="81">
        <f t="shared" si="24"/>
        <v>2710</v>
      </c>
      <c r="C124" s="134"/>
      <c r="D124" s="67">
        <f t="shared" si="23"/>
        <v>15</v>
      </c>
      <c r="E124" s="83"/>
      <c r="F124" s="69"/>
      <c r="G124" s="69"/>
      <c r="H124" s="84"/>
      <c r="I124" s="128">
        <f t="shared" si="21"/>
        <v>2709.5389367435027</v>
      </c>
    </row>
    <row r="125" spans="1:9" ht="15" customHeight="1">
      <c r="A125" s="80">
        <v>2018</v>
      </c>
      <c r="B125" s="81">
        <f t="shared" si="24"/>
        <v>2574</v>
      </c>
      <c r="C125" s="134"/>
      <c r="D125" s="67">
        <f t="shared" si="23"/>
        <v>16</v>
      </c>
      <c r="E125" s="83"/>
      <c r="F125" s="69"/>
      <c r="G125" s="69"/>
      <c r="H125" s="84"/>
      <c r="I125" s="128">
        <f t="shared" si="21"/>
        <v>2574.2090760777983</v>
      </c>
    </row>
    <row r="126" spans="1:9" ht="15" customHeight="1">
      <c r="A126" s="80">
        <v>2019</v>
      </c>
      <c r="B126" s="81">
        <f t="shared" si="24"/>
        <v>2443</v>
      </c>
      <c r="C126" s="134"/>
      <c r="D126" s="67">
        <f t="shared" si="23"/>
        <v>17</v>
      </c>
      <c r="E126" s="83"/>
      <c r="F126" s="69"/>
      <c r="G126" s="69"/>
      <c r="H126" s="84"/>
      <c r="I126" s="128">
        <f t="shared" si="21"/>
        <v>2443.4480949729623</v>
      </c>
    </row>
    <row r="127" spans="1:9" ht="15" customHeight="1">
      <c r="A127" s="80">
        <v>2020</v>
      </c>
      <c r="B127" s="81">
        <f t="shared" si="24"/>
        <v>2317</v>
      </c>
      <c r="C127" s="134"/>
      <c r="D127" s="67">
        <f t="shared" si="23"/>
        <v>18</v>
      </c>
      <c r="E127" s="83"/>
      <c r="F127" s="69"/>
      <c r="G127" s="69"/>
      <c r="H127" s="84"/>
      <c r="I127" s="128">
        <f t="shared" si="21"/>
        <v>2317.3240374455668</v>
      </c>
    </row>
    <row r="128" spans="1:9" ht="15" customHeight="1">
      <c r="A128" s="80">
        <v>2021</v>
      </c>
      <c r="B128" s="81">
        <f t="shared" si="24"/>
        <v>2196</v>
      </c>
      <c r="C128" s="134"/>
      <c r="D128" s="67">
        <f t="shared" si="23"/>
        <v>19</v>
      </c>
      <c r="E128" s="83"/>
      <c r="F128" s="69"/>
      <c r="G128" s="69"/>
      <c r="H128" s="84"/>
      <c r="I128" s="128">
        <f t="shared" si="21"/>
        <v>2195.8789304575562</v>
      </c>
    </row>
    <row r="129" spans="1:10" ht="15" customHeight="1">
      <c r="A129" s="80">
        <v>2022</v>
      </c>
      <c r="B129" s="81">
        <f t="shared" si="24"/>
        <v>2079</v>
      </c>
      <c r="C129" s="134"/>
      <c r="D129" s="67">
        <f t="shared" si="23"/>
        <v>20</v>
      </c>
      <c r="E129" s="83"/>
      <c r="F129" s="69"/>
      <c r="G129" s="69"/>
      <c r="H129" s="84"/>
      <c r="I129" s="128">
        <f t="shared" si="21"/>
        <v>2079.1303045040208</v>
      </c>
    </row>
    <row r="130" spans="1:10" ht="15" customHeight="1">
      <c r="A130" s="80">
        <v>2023</v>
      </c>
      <c r="B130" s="81">
        <f t="shared" si="24"/>
        <v>1967</v>
      </c>
      <c r="C130" s="134"/>
      <c r="D130" s="67">
        <f t="shared" si="23"/>
        <v>21</v>
      </c>
      <c r="E130" s="83"/>
      <c r="F130" s="69"/>
      <c r="G130" s="69"/>
      <c r="H130" s="84"/>
      <c r="I130" s="128">
        <f t="shared" si="21"/>
        <v>1967.0728764135752</v>
      </c>
    </row>
    <row r="131" spans="1:10" ht="15" customHeight="1">
      <c r="A131" s="80">
        <v>2024</v>
      </c>
      <c r="B131" s="81">
        <f t="shared" si="24"/>
        <v>1860</v>
      </c>
      <c r="C131" s="135"/>
      <c r="D131" s="67">
        <f t="shared" si="23"/>
        <v>22</v>
      </c>
      <c r="E131" s="69"/>
      <c r="F131" s="69"/>
      <c r="G131" s="69"/>
      <c r="H131" s="69"/>
      <c r="I131" s="136">
        <f t="shared" si="21"/>
        <v>1859.6803502478726</v>
      </c>
    </row>
    <row r="132" spans="1:10" ht="15" customHeight="1">
      <c r="A132" s="85">
        <v>2025</v>
      </c>
      <c r="B132" s="86">
        <f t="shared" si="24"/>
        <v>1757</v>
      </c>
      <c r="C132" s="137"/>
      <c r="D132" s="87">
        <f t="shared" si="23"/>
        <v>23</v>
      </c>
      <c r="E132" s="89"/>
      <c r="F132" s="89"/>
      <c r="G132" s="89"/>
      <c r="H132" s="89"/>
      <c r="I132" s="138">
        <f t="shared" si="21"/>
        <v>1756.907294765708</v>
      </c>
    </row>
    <row r="133" spans="1:10" ht="15" customHeight="1">
      <c r="A133" s="56" t="s">
        <v>298</v>
      </c>
      <c r="B133" s="57"/>
    </row>
    <row r="134" spans="1:10" ht="15" customHeight="1">
      <c r="A134" s="56"/>
      <c r="B134" s="57"/>
    </row>
    <row r="135" spans="1:10" ht="24">
      <c r="A135" s="145" t="s">
        <v>32</v>
      </c>
      <c r="B135" s="146" t="s">
        <v>91</v>
      </c>
      <c r="C135" s="147" t="s">
        <v>72</v>
      </c>
      <c r="D135" s="147" t="s">
        <v>92</v>
      </c>
      <c r="E135" s="147" t="s">
        <v>93</v>
      </c>
      <c r="F135" s="147" t="s">
        <v>94</v>
      </c>
      <c r="G135" s="147" t="s">
        <v>95</v>
      </c>
      <c r="H135" s="148" t="s">
        <v>96</v>
      </c>
      <c r="I135" s="149" t="s">
        <v>312</v>
      </c>
      <c r="J135" s="150" t="s">
        <v>313</v>
      </c>
    </row>
    <row r="136" spans="1:10" ht="20.100000000000001" customHeight="1">
      <c r="A136" s="65">
        <v>2008</v>
      </c>
      <c r="B136" s="151">
        <f t="shared" ref="B136:B153" si="25">B11</f>
        <v>4029</v>
      </c>
      <c r="C136" s="152">
        <f t="shared" ref="C136:C153" si="26">B37</f>
        <v>4103</v>
      </c>
      <c r="D136" s="152">
        <f t="shared" ref="D136:D153" si="27">B63</f>
        <v>4050</v>
      </c>
      <c r="E136" s="152"/>
      <c r="F136" s="152">
        <f t="shared" ref="F136:F153" si="28">B115</f>
        <v>4108</v>
      </c>
      <c r="G136" s="152">
        <f t="shared" ref="G136:G153" si="29">ROUND(AVERAGE(B136:F136),1)</f>
        <v>4072.5</v>
      </c>
      <c r="H136" s="152">
        <f t="shared" ref="H136:H153" si="30">ROUND((SUM(B136:F136)-MAX(B136:F136)-MIN(B136:F136))/(COUNT(B136:F136)-2),1)</f>
        <v>4076.5</v>
      </c>
      <c r="I136" s="153">
        <f t="shared" ref="I136:I153" si="31">ROUND(SUMIF(B$154:H$154,"○",B136:H136),0)</f>
        <v>4073</v>
      </c>
      <c r="J136" s="261"/>
    </row>
    <row r="137" spans="1:10" ht="20.100000000000001" customHeight="1">
      <c r="A137" s="80">
        <v>2009</v>
      </c>
      <c r="B137" s="151">
        <f t="shared" si="25"/>
        <v>3847</v>
      </c>
      <c r="C137" s="152">
        <f t="shared" si="26"/>
        <v>3928</v>
      </c>
      <c r="D137" s="152">
        <f t="shared" si="27"/>
        <v>3894</v>
      </c>
      <c r="E137" s="152"/>
      <c r="F137" s="152">
        <f t="shared" si="28"/>
        <v>3939</v>
      </c>
      <c r="G137" s="152">
        <f t="shared" si="29"/>
        <v>3902</v>
      </c>
      <c r="H137" s="152">
        <f t="shared" si="30"/>
        <v>3911</v>
      </c>
      <c r="I137" s="153">
        <f t="shared" si="31"/>
        <v>3902</v>
      </c>
      <c r="J137" s="154"/>
    </row>
    <row r="138" spans="1:10" ht="20.100000000000001" customHeight="1">
      <c r="A138" s="80">
        <v>2010</v>
      </c>
      <c r="B138" s="151">
        <f t="shared" si="25"/>
        <v>3664</v>
      </c>
      <c r="C138" s="152">
        <f t="shared" si="26"/>
        <v>3752</v>
      </c>
      <c r="D138" s="152">
        <f t="shared" si="27"/>
        <v>3744</v>
      </c>
      <c r="E138" s="152"/>
      <c r="F138" s="152">
        <f t="shared" si="28"/>
        <v>3773</v>
      </c>
      <c r="G138" s="152">
        <f t="shared" si="29"/>
        <v>3733.3</v>
      </c>
      <c r="H138" s="152">
        <f t="shared" si="30"/>
        <v>3748</v>
      </c>
      <c r="I138" s="153">
        <f t="shared" si="31"/>
        <v>3733</v>
      </c>
      <c r="J138" s="154"/>
    </row>
    <row r="139" spans="1:10" ht="20.100000000000001" customHeight="1">
      <c r="A139" s="80">
        <v>2011</v>
      </c>
      <c r="B139" s="151">
        <f t="shared" si="25"/>
        <v>3482</v>
      </c>
      <c r="C139" s="152">
        <f t="shared" si="26"/>
        <v>3577</v>
      </c>
      <c r="D139" s="152">
        <f t="shared" si="27"/>
        <v>3600</v>
      </c>
      <c r="E139" s="152"/>
      <c r="F139" s="152">
        <f t="shared" si="28"/>
        <v>3610</v>
      </c>
      <c r="G139" s="152">
        <f t="shared" si="29"/>
        <v>3567.3</v>
      </c>
      <c r="H139" s="152">
        <f t="shared" si="30"/>
        <v>3588.5</v>
      </c>
      <c r="I139" s="153">
        <f t="shared" si="31"/>
        <v>3567</v>
      </c>
      <c r="J139" s="154"/>
    </row>
    <row r="140" spans="1:10" ht="20.100000000000001" customHeight="1">
      <c r="A140" s="80">
        <v>2012</v>
      </c>
      <c r="B140" s="151">
        <f t="shared" si="25"/>
        <v>3299</v>
      </c>
      <c r="C140" s="152">
        <f t="shared" si="26"/>
        <v>3402</v>
      </c>
      <c r="D140" s="152">
        <f t="shared" si="27"/>
        <v>3462</v>
      </c>
      <c r="E140" s="152"/>
      <c r="F140" s="152">
        <f t="shared" si="28"/>
        <v>3450</v>
      </c>
      <c r="G140" s="152">
        <f t="shared" si="29"/>
        <v>3403.3</v>
      </c>
      <c r="H140" s="152">
        <f t="shared" si="30"/>
        <v>3426</v>
      </c>
      <c r="I140" s="153">
        <f t="shared" si="31"/>
        <v>3403</v>
      </c>
      <c r="J140" s="154"/>
    </row>
    <row r="141" spans="1:10" ht="20.100000000000001" customHeight="1">
      <c r="A141" s="80">
        <v>2013</v>
      </c>
      <c r="B141" s="151">
        <f t="shared" si="25"/>
        <v>3116</v>
      </c>
      <c r="C141" s="152">
        <f t="shared" si="26"/>
        <v>3227</v>
      </c>
      <c r="D141" s="152">
        <f t="shared" si="27"/>
        <v>3328</v>
      </c>
      <c r="E141" s="152"/>
      <c r="F141" s="152">
        <f t="shared" si="28"/>
        <v>3294</v>
      </c>
      <c r="G141" s="152">
        <f t="shared" si="29"/>
        <v>3241.3</v>
      </c>
      <c r="H141" s="152">
        <f t="shared" si="30"/>
        <v>3260.5</v>
      </c>
      <c r="I141" s="153">
        <f t="shared" si="31"/>
        <v>3241</v>
      </c>
      <c r="J141" s="154"/>
    </row>
    <row r="142" spans="1:10" ht="20.100000000000001" customHeight="1">
      <c r="A142" s="80">
        <v>2014</v>
      </c>
      <c r="B142" s="151">
        <f t="shared" si="25"/>
        <v>2934</v>
      </c>
      <c r="C142" s="152">
        <f t="shared" si="26"/>
        <v>3052</v>
      </c>
      <c r="D142" s="152">
        <f t="shared" si="27"/>
        <v>3200</v>
      </c>
      <c r="E142" s="152"/>
      <c r="F142" s="152">
        <f t="shared" si="28"/>
        <v>3142</v>
      </c>
      <c r="G142" s="152">
        <f t="shared" si="29"/>
        <v>3082</v>
      </c>
      <c r="H142" s="152">
        <f t="shared" si="30"/>
        <v>3097</v>
      </c>
      <c r="I142" s="153">
        <f t="shared" si="31"/>
        <v>3082</v>
      </c>
      <c r="J142" s="154"/>
    </row>
    <row r="143" spans="1:10" ht="20.100000000000001" customHeight="1">
      <c r="A143" s="80">
        <v>2015</v>
      </c>
      <c r="B143" s="151">
        <f t="shared" si="25"/>
        <v>2751</v>
      </c>
      <c r="C143" s="152">
        <f t="shared" si="26"/>
        <v>2877</v>
      </c>
      <c r="D143" s="152">
        <f t="shared" si="27"/>
        <v>3077</v>
      </c>
      <c r="E143" s="152"/>
      <c r="F143" s="152">
        <f t="shared" si="28"/>
        <v>2993</v>
      </c>
      <c r="G143" s="152">
        <f t="shared" si="29"/>
        <v>2924.5</v>
      </c>
      <c r="H143" s="152">
        <f t="shared" si="30"/>
        <v>2935</v>
      </c>
      <c r="I143" s="153">
        <f t="shared" si="31"/>
        <v>2925</v>
      </c>
      <c r="J143" s="154"/>
    </row>
    <row r="144" spans="1:10" ht="20.100000000000001" customHeight="1">
      <c r="A144" s="80">
        <v>2016</v>
      </c>
      <c r="B144" s="151">
        <f t="shared" si="25"/>
        <v>2569</v>
      </c>
      <c r="C144" s="152">
        <f t="shared" si="26"/>
        <v>2702</v>
      </c>
      <c r="D144" s="152">
        <f t="shared" si="27"/>
        <v>2959</v>
      </c>
      <c r="E144" s="152"/>
      <c r="F144" s="152">
        <f t="shared" si="28"/>
        <v>2849</v>
      </c>
      <c r="G144" s="152">
        <f t="shared" si="29"/>
        <v>2769.8</v>
      </c>
      <c r="H144" s="152">
        <f t="shared" si="30"/>
        <v>2775.5</v>
      </c>
      <c r="I144" s="153">
        <f t="shared" si="31"/>
        <v>2770</v>
      </c>
      <c r="J144" s="154"/>
    </row>
    <row r="145" spans="1:41" ht="20.100000000000001" customHeight="1">
      <c r="A145" s="80">
        <v>2017</v>
      </c>
      <c r="B145" s="151">
        <f t="shared" si="25"/>
        <v>2386</v>
      </c>
      <c r="C145" s="152">
        <f t="shared" si="26"/>
        <v>2526</v>
      </c>
      <c r="D145" s="152">
        <f t="shared" si="27"/>
        <v>2845</v>
      </c>
      <c r="E145" s="152"/>
      <c r="F145" s="152">
        <f t="shared" si="28"/>
        <v>2710</v>
      </c>
      <c r="G145" s="152">
        <f t="shared" si="29"/>
        <v>2616.8000000000002</v>
      </c>
      <c r="H145" s="152">
        <f t="shared" si="30"/>
        <v>2618</v>
      </c>
      <c r="I145" s="153">
        <f t="shared" si="31"/>
        <v>2617</v>
      </c>
      <c r="J145" s="154"/>
    </row>
    <row r="146" spans="1:41" ht="20.100000000000001" customHeight="1">
      <c r="A146" s="80">
        <v>2018</v>
      </c>
      <c r="B146" s="151">
        <f t="shared" si="25"/>
        <v>2203</v>
      </c>
      <c r="C146" s="152">
        <f t="shared" si="26"/>
        <v>2351</v>
      </c>
      <c r="D146" s="152">
        <f t="shared" si="27"/>
        <v>2735</v>
      </c>
      <c r="E146" s="152"/>
      <c r="F146" s="152">
        <f t="shared" si="28"/>
        <v>2574</v>
      </c>
      <c r="G146" s="152">
        <f t="shared" si="29"/>
        <v>2465.8000000000002</v>
      </c>
      <c r="H146" s="152">
        <f t="shared" si="30"/>
        <v>2462.5</v>
      </c>
      <c r="I146" s="153">
        <f t="shared" si="31"/>
        <v>2466</v>
      </c>
      <c r="J146" s="154"/>
    </row>
    <row r="147" spans="1:41" ht="20.100000000000001" customHeight="1">
      <c r="A147" s="80">
        <v>2019</v>
      </c>
      <c r="B147" s="151">
        <f t="shared" si="25"/>
        <v>2021</v>
      </c>
      <c r="C147" s="152">
        <f t="shared" si="26"/>
        <v>2176</v>
      </c>
      <c r="D147" s="152">
        <f t="shared" si="27"/>
        <v>2630</v>
      </c>
      <c r="E147" s="152"/>
      <c r="F147" s="152">
        <f t="shared" si="28"/>
        <v>2443</v>
      </c>
      <c r="G147" s="152">
        <f t="shared" si="29"/>
        <v>2317.5</v>
      </c>
      <c r="H147" s="152">
        <f t="shared" si="30"/>
        <v>2309.5</v>
      </c>
      <c r="I147" s="153">
        <f t="shared" si="31"/>
        <v>2318</v>
      </c>
      <c r="J147" s="154"/>
    </row>
    <row r="148" spans="1:41" ht="20.100000000000001" customHeight="1">
      <c r="A148" s="80">
        <v>2020</v>
      </c>
      <c r="B148" s="151">
        <f t="shared" si="25"/>
        <v>1838</v>
      </c>
      <c r="C148" s="152">
        <f t="shared" si="26"/>
        <v>2001</v>
      </c>
      <c r="D148" s="152">
        <f t="shared" si="27"/>
        <v>2529</v>
      </c>
      <c r="E148" s="152"/>
      <c r="F148" s="152">
        <f t="shared" si="28"/>
        <v>2317</v>
      </c>
      <c r="G148" s="152">
        <f t="shared" si="29"/>
        <v>2171.3000000000002</v>
      </c>
      <c r="H148" s="152">
        <f t="shared" si="30"/>
        <v>2159</v>
      </c>
      <c r="I148" s="153">
        <f t="shared" si="31"/>
        <v>2171</v>
      </c>
      <c r="J148" s="154"/>
    </row>
    <row r="149" spans="1:41" ht="20.100000000000001" customHeight="1">
      <c r="A149" s="80">
        <v>2021</v>
      </c>
      <c r="B149" s="151">
        <f t="shared" si="25"/>
        <v>1656</v>
      </c>
      <c r="C149" s="152">
        <f t="shared" si="26"/>
        <v>1826</v>
      </c>
      <c r="D149" s="152">
        <f t="shared" si="27"/>
        <v>2432</v>
      </c>
      <c r="E149" s="152"/>
      <c r="F149" s="152">
        <f t="shared" si="28"/>
        <v>2196</v>
      </c>
      <c r="G149" s="152">
        <f t="shared" si="29"/>
        <v>2027.5</v>
      </c>
      <c r="H149" s="152">
        <f t="shared" si="30"/>
        <v>2011</v>
      </c>
      <c r="I149" s="153">
        <f t="shared" si="31"/>
        <v>2028</v>
      </c>
      <c r="J149" s="154"/>
    </row>
    <row r="150" spans="1:41" ht="20.100000000000001" customHeight="1">
      <c r="A150" s="80">
        <v>2022</v>
      </c>
      <c r="B150" s="151">
        <f t="shared" si="25"/>
        <v>1473</v>
      </c>
      <c r="C150" s="152">
        <f t="shared" si="26"/>
        <v>1651</v>
      </c>
      <c r="D150" s="152">
        <f t="shared" si="27"/>
        <v>2338</v>
      </c>
      <c r="E150" s="152"/>
      <c r="F150" s="152">
        <f t="shared" si="28"/>
        <v>2079</v>
      </c>
      <c r="G150" s="152">
        <f t="shared" si="29"/>
        <v>1885.3</v>
      </c>
      <c r="H150" s="152">
        <f t="shared" si="30"/>
        <v>1865</v>
      </c>
      <c r="I150" s="153">
        <f t="shared" si="31"/>
        <v>1885</v>
      </c>
      <c r="J150" s="154"/>
    </row>
    <row r="151" spans="1:41" ht="20.100000000000001" customHeight="1">
      <c r="A151" s="80">
        <v>2023</v>
      </c>
      <c r="B151" s="151">
        <f t="shared" si="25"/>
        <v>1290</v>
      </c>
      <c r="C151" s="152">
        <f t="shared" si="26"/>
        <v>1476</v>
      </c>
      <c r="D151" s="152">
        <f t="shared" si="27"/>
        <v>2248</v>
      </c>
      <c r="E151" s="152"/>
      <c r="F151" s="152">
        <f t="shared" si="28"/>
        <v>1967</v>
      </c>
      <c r="G151" s="152">
        <f t="shared" si="29"/>
        <v>1745.3</v>
      </c>
      <c r="H151" s="152">
        <f t="shared" si="30"/>
        <v>1721.5</v>
      </c>
      <c r="I151" s="153">
        <f t="shared" si="31"/>
        <v>1745</v>
      </c>
      <c r="J151" s="154"/>
      <c r="L151" s="55">
        <v>806200</v>
      </c>
    </row>
    <row r="152" spans="1:41" ht="20.100000000000001" customHeight="1">
      <c r="A152" s="80">
        <v>2024</v>
      </c>
      <c r="B152" s="151">
        <f t="shared" si="25"/>
        <v>1108</v>
      </c>
      <c r="C152" s="152">
        <f t="shared" si="26"/>
        <v>1300</v>
      </c>
      <c r="D152" s="152">
        <f t="shared" si="27"/>
        <v>2162</v>
      </c>
      <c r="E152" s="152"/>
      <c r="F152" s="152">
        <f t="shared" si="28"/>
        <v>1860</v>
      </c>
      <c r="G152" s="152">
        <f t="shared" si="29"/>
        <v>1607.5</v>
      </c>
      <c r="H152" s="152">
        <f t="shared" si="30"/>
        <v>1580</v>
      </c>
      <c r="I152" s="153">
        <f t="shared" si="31"/>
        <v>1608</v>
      </c>
      <c r="J152" s="154"/>
      <c r="K152" s="55">
        <v>51000</v>
      </c>
      <c r="L152" s="75">
        <f>+K152+E152</f>
        <v>51000</v>
      </c>
      <c r="M152" s="75"/>
    </row>
    <row r="153" spans="1:41" ht="20.100000000000001" customHeight="1">
      <c r="A153" s="80">
        <v>2025</v>
      </c>
      <c r="B153" s="151">
        <f t="shared" si="25"/>
        <v>925</v>
      </c>
      <c r="C153" s="152">
        <f t="shared" si="26"/>
        <v>1125</v>
      </c>
      <c r="D153" s="152">
        <f t="shared" si="27"/>
        <v>2078</v>
      </c>
      <c r="E153" s="152"/>
      <c r="F153" s="152">
        <f t="shared" si="28"/>
        <v>1757</v>
      </c>
      <c r="G153" s="152">
        <f t="shared" si="29"/>
        <v>1471.3</v>
      </c>
      <c r="H153" s="152">
        <f t="shared" si="30"/>
        <v>1441</v>
      </c>
      <c r="I153" s="153">
        <f t="shared" si="31"/>
        <v>1471</v>
      </c>
      <c r="J153" s="154"/>
      <c r="L153" s="75">
        <f>+L151-L152</f>
        <v>755200</v>
      </c>
      <c r="M153" s="75"/>
    </row>
    <row r="154" spans="1:41" ht="20.100000000000001" customHeight="1">
      <c r="A154" s="155" t="s">
        <v>97</v>
      </c>
      <c r="B154" s="156"/>
      <c r="C154" s="157"/>
      <c r="D154" s="157"/>
      <c r="E154" s="157"/>
      <c r="F154" s="156"/>
      <c r="G154" s="158" t="s">
        <v>285</v>
      </c>
      <c r="H154" s="157"/>
      <c r="I154" s="159"/>
      <c r="J154" s="160"/>
      <c r="K154" s="161"/>
      <c r="L154" s="162">
        <f>B109</f>
        <v>5125</v>
      </c>
      <c r="M154" s="162">
        <f>+B110</f>
        <v>4944</v>
      </c>
      <c r="N154" s="162">
        <f>B111</f>
        <v>4840</v>
      </c>
      <c r="O154" s="161">
        <f>B112</f>
        <v>4706</v>
      </c>
      <c r="P154" s="162">
        <f>B113</f>
        <v>4467</v>
      </c>
      <c r="Q154" s="161">
        <f>B114</f>
        <v>4212</v>
      </c>
      <c r="R154" s="162">
        <f>B115</f>
        <v>4108</v>
      </c>
      <c r="S154" s="162"/>
      <c r="T154" s="162"/>
      <c r="U154" s="162"/>
      <c r="V154" s="162"/>
      <c r="W154" s="162"/>
      <c r="X154" s="162"/>
      <c r="Y154" s="161"/>
      <c r="Z154" s="161"/>
      <c r="AA154" s="161"/>
      <c r="AB154" s="161"/>
      <c r="AC154" s="161"/>
      <c r="AD154" s="161"/>
      <c r="AE154" s="161"/>
      <c r="AF154" s="161"/>
      <c r="AG154" s="161"/>
      <c r="AH154" s="161"/>
      <c r="AI154" s="161"/>
      <c r="AJ154" s="161"/>
      <c r="AK154" s="161"/>
      <c r="AL154" s="161"/>
      <c r="AM154" s="161"/>
      <c r="AN154" s="161"/>
    </row>
    <row r="155" spans="1:41" ht="20.100000000000001" hidden="1" customHeight="1">
      <c r="A155" s="85"/>
      <c r="B155" s="163"/>
      <c r="C155" s="164"/>
      <c r="D155" s="164"/>
      <c r="E155" s="164"/>
      <c r="F155" s="164"/>
      <c r="G155" s="164"/>
      <c r="H155" s="164"/>
      <c r="I155" s="165"/>
      <c r="J155" s="166"/>
      <c r="K155" s="161"/>
      <c r="L155" s="161"/>
      <c r="M155" s="161"/>
      <c r="N155" s="161"/>
      <c r="O155" s="161"/>
      <c r="P155" s="161"/>
      <c r="Q155" s="161"/>
      <c r="R155" s="161"/>
      <c r="S155" s="161"/>
      <c r="T155" s="161"/>
      <c r="U155" s="161"/>
      <c r="V155" s="161"/>
      <c r="W155" s="161"/>
      <c r="X155" s="161"/>
      <c r="Y155" s="161"/>
      <c r="Z155" s="161"/>
      <c r="AA155" s="161"/>
      <c r="AB155" s="161"/>
      <c r="AC155" s="161"/>
      <c r="AD155" s="161"/>
      <c r="AE155" s="161"/>
      <c r="AF155" s="161"/>
      <c r="AG155" s="161"/>
      <c r="AH155" s="161"/>
      <c r="AI155" s="161"/>
      <c r="AJ155" s="161"/>
      <c r="AK155" s="161"/>
      <c r="AL155" s="161"/>
      <c r="AM155" s="161"/>
      <c r="AN155" s="161"/>
    </row>
    <row r="156" spans="1:41" s="161" customFormat="1" ht="20.100000000000001" customHeight="1">
      <c r="A156" s="167" t="s">
        <v>98</v>
      </c>
      <c r="B156" s="168">
        <f>I4</f>
        <v>0.97920727853074385</v>
      </c>
      <c r="C156" s="169">
        <f>I30</f>
        <v>0.97872970429724293</v>
      </c>
      <c r="D156" s="169">
        <f>I56</f>
        <v>0.97298183774767566</v>
      </c>
      <c r="E156" s="169"/>
      <c r="F156" s="169">
        <f>I108</f>
        <v>0.97349836533581302</v>
      </c>
      <c r="G156" s="170"/>
      <c r="H156" s="171"/>
      <c r="I156" s="172"/>
      <c r="J156" s="173"/>
      <c r="K156" s="174">
        <f>MAX(B156:I156,F156)</f>
        <v>0.97920727853074385</v>
      </c>
      <c r="L156" s="161">
        <v>2002</v>
      </c>
      <c r="M156" s="161">
        <v>2003</v>
      </c>
      <c r="N156" s="161">
        <f t="shared" ref="N156:AI156" si="32">+M156+1</f>
        <v>2004</v>
      </c>
      <c r="O156" s="161">
        <f t="shared" si="32"/>
        <v>2005</v>
      </c>
      <c r="P156" s="161">
        <f t="shared" si="32"/>
        <v>2006</v>
      </c>
      <c r="Q156" s="161">
        <f t="shared" si="32"/>
        <v>2007</v>
      </c>
      <c r="R156" s="161">
        <f t="shared" si="32"/>
        <v>2008</v>
      </c>
      <c r="S156" s="161">
        <f t="shared" si="32"/>
        <v>2009</v>
      </c>
      <c r="T156" s="161">
        <f t="shared" si="32"/>
        <v>2010</v>
      </c>
      <c r="U156" s="161">
        <f t="shared" si="32"/>
        <v>2011</v>
      </c>
      <c r="V156" s="161">
        <f t="shared" si="32"/>
        <v>2012</v>
      </c>
      <c r="W156" s="161">
        <f t="shared" si="32"/>
        <v>2013</v>
      </c>
      <c r="X156" s="161">
        <f t="shared" si="32"/>
        <v>2014</v>
      </c>
      <c r="Y156" s="161">
        <f t="shared" si="32"/>
        <v>2015</v>
      </c>
      <c r="Z156" s="161">
        <f t="shared" si="32"/>
        <v>2016</v>
      </c>
      <c r="AA156" s="161">
        <f t="shared" si="32"/>
        <v>2017</v>
      </c>
      <c r="AB156" s="161">
        <f t="shared" si="32"/>
        <v>2018</v>
      </c>
      <c r="AC156" s="161">
        <f t="shared" si="32"/>
        <v>2019</v>
      </c>
      <c r="AD156" s="161">
        <f t="shared" si="32"/>
        <v>2020</v>
      </c>
      <c r="AE156" s="161">
        <f t="shared" si="32"/>
        <v>2021</v>
      </c>
      <c r="AF156" s="161">
        <f t="shared" si="32"/>
        <v>2022</v>
      </c>
      <c r="AG156" s="161">
        <f t="shared" si="32"/>
        <v>2023</v>
      </c>
      <c r="AH156" s="161">
        <f t="shared" si="32"/>
        <v>2024</v>
      </c>
      <c r="AI156" s="161">
        <f t="shared" si="32"/>
        <v>2025</v>
      </c>
    </row>
    <row r="157" spans="1:41" ht="20.100000000000001" customHeight="1">
      <c r="K157" s="161" t="s">
        <v>99</v>
      </c>
      <c r="L157" s="161"/>
      <c r="M157" s="161"/>
      <c r="N157" s="161"/>
      <c r="O157" s="161"/>
      <c r="P157" s="161"/>
      <c r="Q157" s="161">
        <f>+Q154</f>
        <v>4212</v>
      </c>
      <c r="R157" s="162">
        <f>+B11</f>
        <v>4029</v>
      </c>
      <c r="S157" s="162">
        <f>+B12</f>
        <v>3847</v>
      </c>
      <c r="T157" s="162">
        <f>+B13</f>
        <v>3664</v>
      </c>
      <c r="U157" s="162">
        <f>+B14</f>
        <v>3482</v>
      </c>
      <c r="V157" s="162">
        <f>+B15</f>
        <v>3299</v>
      </c>
      <c r="W157" s="162">
        <f>+B16</f>
        <v>3116</v>
      </c>
      <c r="X157" s="162">
        <f>+B17</f>
        <v>2934</v>
      </c>
      <c r="Y157" s="162">
        <f>+B18</f>
        <v>2751</v>
      </c>
      <c r="Z157" s="162">
        <f>+B19</f>
        <v>2569</v>
      </c>
      <c r="AA157" s="162">
        <f>+B20</f>
        <v>2386</v>
      </c>
      <c r="AB157" s="162">
        <f>+B21</f>
        <v>2203</v>
      </c>
      <c r="AC157" s="162">
        <f>+B22</f>
        <v>2021</v>
      </c>
      <c r="AD157" s="162">
        <f>+B23</f>
        <v>1838</v>
      </c>
      <c r="AE157" s="162">
        <f>+B24</f>
        <v>1656</v>
      </c>
      <c r="AF157" s="162">
        <f>+B25</f>
        <v>1473</v>
      </c>
      <c r="AG157" s="162">
        <f>+B26</f>
        <v>1290</v>
      </c>
      <c r="AH157" s="162">
        <f>+B27</f>
        <v>1108</v>
      </c>
      <c r="AI157" s="162">
        <f>+B28</f>
        <v>925</v>
      </c>
      <c r="AJ157" s="162"/>
      <c r="AK157" s="162"/>
      <c r="AL157" s="162"/>
      <c r="AM157" s="162"/>
      <c r="AN157" s="162"/>
      <c r="AO157" s="161"/>
    </row>
    <row r="158" spans="1:41" ht="20.100000000000001" customHeight="1">
      <c r="K158" s="161" t="s">
        <v>100</v>
      </c>
      <c r="L158" s="161"/>
      <c r="M158" s="161"/>
      <c r="N158" s="161"/>
      <c r="O158" s="161"/>
      <c r="P158" s="161"/>
      <c r="Q158" s="161">
        <f>+Q157</f>
        <v>4212</v>
      </c>
      <c r="R158" s="162">
        <f>+B37</f>
        <v>4103</v>
      </c>
      <c r="S158" s="162">
        <f>+B38</f>
        <v>3928</v>
      </c>
      <c r="T158" s="162">
        <f>+B39</f>
        <v>3752</v>
      </c>
      <c r="U158" s="162">
        <f>+B40</f>
        <v>3577</v>
      </c>
      <c r="V158" s="162">
        <f>+B41</f>
        <v>3402</v>
      </c>
      <c r="W158" s="162">
        <f>+B42</f>
        <v>3227</v>
      </c>
      <c r="X158" s="162">
        <f>+B43</f>
        <v>3052</v>
      </c>
      <c r="Y158" s="162">
        <f>+B44</f>
        <v>2877</v>
      </c>
      <c r="Z158" s="162">
        <f>+B45</f>
        <v>2702</v>
      </c>
      <c r="AA158" s="162">
        <f>+B46</f>
        <v>2526</v>
      </c>
      <c r="AB158" s="162">
        <f>+B47</f>
        <v>2351</v>
      </c>
      <c r="AC158" s="162">
        <f>+B48</f>
        <v>2176</v>
      </c>
      <c r="AD158" s="162">
        <f>+B49</f>
        <v>2001</v>
      </c>
      <c r="AE158" s="162">
        <f>+B50</f>
        <v>1826</v>
      </c>
      <c r="AF158" s="162">
        <f>+B51</f>
        <v>1651</v>
      </c>
      <c r="AG158" s="162">
        <f>+B52</f>
        <v>1476</v>
      </c>
      <c r="AH158" s="162">
        <f>+B53</f>
        <v>1300</v>
      </c>
      <c r="AI158" s="162">
        <f>+B54</f>
        <v>1125</v>
      </c>
      <c r="AJ158" s="162"/>
      <c r="AK158" s="162"/>
      <c r="AL158" s="162"/>
      <c r="AM158" s="162"/>
      <c r="AN158" s="162"/>
      <c r="AO158" s="161"/>
    </row>
    <row r="159" spans="1:41" ht="20.100000000000001" customHeight="1">
      <c r="K159" s="161" t="s">
        <v>101</v>
      </c>
      <c r="L159" s="161"/>
      <c r="M159" s="161"/>
      <c r="N159" s="161"/>
      <c r="O159" s="161"/>
      <c r="P159" s="161"/>
      <c r="Q159" s="161">
        <f>+Q158</f>
        <v>4212</v>
      </c>
      <c r="R159" s="162">
        <f>+B63</f>
        <v>4050</v>
      </c>
      <c r="S159" s="162">
        <f>+B64</f>
        <v>3894</v>
      </c>
      <c r="T159" s="162">
        <f>+B65</f>
        <v>3744</v>
      </c>
      <c r="U159" s="162">
        <f>+B66</f>
        <v>3600</v>
      </c>
      <c r="V159" s="162">
        <f>+B67</f>
        <v>3462</v>
      </c>
      <c r="W159" s="162">
        <f>+B68</f>
        <v>3328</v>
      </c>
      <c r="X159" s="162">
        <f>+B69</f>
        <v>3200</v>
      </c>
      <c r="Y159" s="162">
        <f>+B70</f>
        <v>3077</v>
      </c>
      <c r="Z159" s="162">
        <f>+B71</f>
        <v>2959</v>
      </c>
      <c r="AA159" s="162">
        <f>+B72</f>
        <v>2845</v>
      </c>
      <c r="AB159" s="162">
        <f>+B73</f>
        <v>2735</v>
      </c>
      <c r="AC159" s="162">
        <f>+B74</f>
        <v>2630</v>
      </c>
      <c r="AD159" s="162">
        <f>+B75</f>
        <v>2529</v>
      </c>
      <c r="AE159" s="162">
        <f>+B76</f>
        <v>2432</v>
      </c>
      <c r="AF159" s="162">
        <f>+B77</f>
        <v>2338</v>
      </c>
      <c r="AG159" s="162">
        <f>+B78</f>
        <v>2248</v>
      </c>
      <c r="AH159" s="162">
        <f>+B79</f>
        <v>2162</v>
      </c>
      <c r="AI159" s="162">
        <f>+B80</f>
        <v>2078</v>
      </c>
      <c r="AJ159" s="162"/>
      <c r="AK159" s="162"/>
      <c r="AL159" s="162"/>
      <c r="AM159" s="162"/>
      <c r="AN159" s="162"/>
      <c r="AO159" s="161"/>
    </row>
    <row r="160" spans="1:41" ht="20.100000000000001" customHeight="1">
      <c r="K160" s="161" t="s">
        <v>102</v>
      </c>
      <c r="L160" s="161"/>
      <c r="M160" s="161"/>
      <c r="N160" s="161"/>
      <c r="O160" s="161"/>
      <c r="P160" s="161"/>
      <c r="Q160" s="161">
        <f>+Q159</f>
        <v>4212</v>
      </c>
      <c r="R160" s="162" t="e">
        <f>+B89</f>
        <v>#VALUE!</v>
      </c>
      <c r="S160" s="162" t="e">
        <f>+B90</f>
        <v>#VALUE!</v>
      </c>
      <c r="T160" s="162" t="e">
        <f>+B91</f>
        <v>#VALUE!</v>
      </c>
      <c r="U160" s="162" t="e">
        <f>+B92</f>
        <v>#VALUE!</v>
      </c>
      <c r="V160" s="162" t="e">
        <f>+B93</f>
        <v>#VALUE!</v>
      </c>
      <c r="W160" s="162" t="e">
        <f>+B94</f>
        <v>#VALUE!</v>
      </c>
      <c r="X160" s="162" t="e">
        <f>+B95</f>
        <v>#VALUE!</v>
      </c>
      <c r="Y160" s="162" t="e">
        <f>+B96</f>
        <v>#VALUE!</v>
      </c>
      <c r="Z160" s="162" t="e">
        <f>+B97</f>
        <v>#VALUE!</v>
      </c>
      <c r="AA160" s="162" t="e">
        <f>+B98</f>
        <v>#VALUE!</v>
      </c>
      <c r="AB160" s="162" t="e">
        <f>+B99</f>
        <v>#VALUE!</v>
      </c>
      <c r="AC160" s="162" t="e">
        <f>+B100</f>
        <v>#VALUE!</v>
      </c>
      <c r="AD160" s="162" t="e">
        <f>+B101</f>
        <v>#VALUE!</v>
      </c>
      <c r="AE160" s="162" t="e">
        <f>+B102</f>
        <v>#VALUE!</v>
      </c>
      <c r="AF160" s="162" t="e">
        <f>+B103</f>
        <v>#VALUE!</v>
      </c>
      <c r="AG160" s="162" t="e">
        <f>+B104</f>
        <v>#VALUE!</v>
      </c>
      <c r="AH160" s="162" t="e">
        <f>+B105</f>
        <v>#VALUE!</v>
      </c>
      <c r="AI160" s="162" t="e">
        <f>+B106</f>
        <v>#VALUE!</v>
      </c>
      <c r="AJ160" s="161"/>
      <c r="AK160" s="161"/>
      <c r="AL160" s="161"/>
      <c r="AM160" s="161"/>
      <c r="AN160" s="161"/>
      <c r="AO160" s="161"/>
    </row>
    <row r="161" spans="11:41" ht="20.100000000000001" customHeight="1">
      <c r="K161" s="161" t="s">
        <v>103</v>
      </c>
      <c r="L161" s="161"/>
      <c r="M161" s="161"/>
      <c r="N161" s="161"/>
      <c r="O161" s="161"/>
      <c r="P161" s="161"/>
      <c r="Q161" s="161">
        <f>+Q160</f>
        <v>4212</v>
      </c>
      <c r="R161" s="162">
        <f>+B115</f>
        <v>4108</v>
      </c>
      <c r="S161" s="162">
        <f>+B116</f>
        <v>3939</v>
      </c>
      <c r="T161" s="162">
        <f>+B117</f>
        <v>3773</v>
      </c>
      <c r="U161" s="162">
        <f>+B118</f>
        <v>3610</v>
      </c>
      <c r="V161" s="162">
        <f>+B119</f>
        <v>3450</v>
      </c>
      <c r="W161" s="162">
        <f>+B120</f>
        <v>3294</v>
      </c>
      <c r="X161" s="162">
        <f>+B121</f>
        <v>3142</v>
      </c>
      <c r="Y161" s="162">
        <f>+B122</f>
        <v>2993</v>
      </c>
      <c r="Z161" s="162">
        <f>+B123</f>
        <v>2849</v>
      </c>
      <c r="AA161" s="162">
        <f>+B124</f>
        <v>2710</v>
      </c>
      <c r="AB161" s="162">
        <f>+B125</f>
        <v>2574</v>
      </c>
      <c r="AC161" s="162">
        <f>+B126</f>
        <v>2443</v>
      </c>
      <c r="AD161" s="162">
        <f>+B127</f>
        <v>2317</v>
      </c>
      <c r="AE161" s="162">
        <f>+B128</f>
        <v>2196</v>
      </c>
      <c r="AF161" s="162">
        <f>+B129</f>
        <v>2079</v>
      </c>
      <c r="AG161" s="162">
        <f>+B130</f>
        <v>1967</v>
      </c>
      <c r="AH161" s="162">
        <f>+B131</f>
        <v>1860</v>
      </c>
      <c r="AI161" s="162">
        <f>+B132</f>
        <v>1757</v>
      </c>
      <c r="AJ161" s="162"/>
      <c r="AK161" s="162"/>
      <c r="AL161" s="162"/>
      <c r="AM161" s="162"/>
      <c r="AN161" s="162"/>
      <c r="AO161" s="161"/>
    </row>
    <row r="162" spans="11:41" ht="20.100000000000001" customHeight="1">
      <c r="K162" s="161" t="s">
        <v>95</v>
      </c>
      <c r="L162" s="161"/>
      <c r="M162" s="161"/>
      <c r="N162" s="161"/>
      <c r="O162" s="161"/>
      <c r="P162" s="161"/>
      <c r="Q162" s="161">
        <f>+Q161</f>
        <v>4212</v>
      </c>
      <c r="R162" s="206">
        <f>+H136</f>
        <v>4076.5</v>
      </c>
      <c r="S162" s="206">
        <f>+H137</f>
        <v>3911</v>
      </c>
      <c r="T162" s="206">
        <f>+H138</f>
        <v>3748</v>
      </c>
      <c r="U162" s="206">
        <f>+H139</f>
        <v>3588.5</v>
      </c>
      <c r="V162" s="206">
        <f>+H140</f>
        <v>3426</v>
      </c>
      <c r="W162" s="175">
        <f>+H141</f>
        <v>3260.5</v>
      </c>
      <c r="X162" s="206">
        <f>+H142</f>
        <v>3097</v>
      </c>
      <c r="Y162" s="206">
        <f>+H143</f>
        <v>2935</v>
      </c>
      <c r="Z162" s="206">
        <f>+H144</f>
        <v>2775.5</v>
      </c>
      <c r="AA162" s="206">
        <f>+H145</f>
        <v>2618</v>
      </c>
      <c r="AB162" s="206">
        <f>+H146</f>
        <v>2462.5</v>
      </c>
      <c r="AC162" s="206">
        <f>+H147</f>
        <v>2309.5</v>
      </c>
      <c r="AD162" s="206">
        <f>+H148</f>
        <v>2159</v>
      </c>
      <c r="AE162" s="206">
        <f>+H149</f>
        <v>2011</v>
      </c>
      <c r="AF162" s="206">
        <f>+H150</f>
        <v>1865</v>
      </c>
      <c r="AG162" s="206">
        <f>+H151</f>
        <v>1721.5</v>
      </c>
      <c r="AH162" s="206">
        <f>+H152</f>
        <v>1580</v>
      </c>
      <c r="AI162" s="206">
        <f>+H153</f>
        <v>1441</v>
      </c>
      <c r="AJ162" s="161"/>
      <c r="AK162" s="161"/>
      <c r="AL162" s="161"/>
      <c r="AM162" s="161"/>
      <c r="AN162" s="161"/>
      <c r="AO162" s="161" t="s">
        <v>95</v>
      </c>
    </row>
    <row r="163" spans="11:41" ht="20.100000000000001" customHeight="1"/>
    <row r="164" spans="11:41" ht="20.100000000000001" customHeight="1"/>
    <row r="165" spans="11:41" ht="20.100000000000001" customHeight="1"/>
    <row r="166" spans="11:41" ht="20.100000000000001" customHeight="1"/>
    <row r="167" spans="11:41" ht="20.100000000000001" customHeight="1"/>
    <row r="168" spans="11:41" ht="20.100000000000001" customHeight="1"/>
    <row r="169" spans="11:41" ht="20.100000000000001" customHeight="1"/>
    <row r="170" spans="11:41" ht="20.100000000000001" customHeight="1"/>
    <row r="171" spans="11:41" ht="20.100000000000001" customHeight="1"/>
    <row r="172" spans="11:41" ht="20.100000000000001" customHeight="1"/>
    <row r="173" spans="11:41" ht="20.100000000000001" customHeight="1"/>
    <row r="174" spans="11:41" ht="20.100000000000001" customHeight="1"/>
    <row r="175" spans="11:41" ht="20.100000000000001" customHeight="1"/>
    <row r="176" spans="11:41" ht="20.100000000000001" customHeight="1"/>
    <row r="177" ht="20.100000000000001" customHeight="1"/>
    <row r="178" ht="20.100000000000001" customHeight="1"/>
    <row r="179" ht="20.100000000000001" customHeight="1"/>
  </sheetData>
  <phoneticPr fontId="50" type="noConversion"/>
  <pageMargins left="0.74803149606299213" right="0.74803149606299213" top="0.78740157480314965" bottom="0.78740157480314965" header="0.51181102362204722" footer="0.51181102362204722"/>
  <pageSetup paperSize="9" scale="70" fitToHeight="3" orientation="portrait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>
  <sheetPr codeName="Sheet12" enableFormatConditionsCalculation="0">
    <tabColor rgb="FF92D050"/>
  </sheetPr>
  <dimension ref="A1:P140"/>
  <sheetViews>
    <sheetView tabSelected="1" view="pageBreakPreview" topLeftCell="A19" zoomScaleNormal="70" zoomScaleSheetLayoutView="100" workbookViewId="0">
      <selection activeCell="G30" sqref="G30"/>
    </sheetView>
  </sheetViews>
  <sheetFormatPr defaultRowHeight="13.5" outlineLevelCol="1"/>
  <cols>
    <col min="1" max="3" width="9.33203125" customWidth="1"/>
    <col min="4" max="4" width="9.33203125" hidden="1" customWidth="1" outlineLevel="1"/>
    <col min="5" max="5" width="9.33203125" customWidth="1" collapsed="1"/>
    <col min="6" max="8" width="9.33203125" customWidth="1"/>
    <col min="9" max="10" width="9.5546875" hidden="1" customWidth="1"/>
    <col min="11" max="11" width="9.33203125" customWidth="1"/>
    <col min="12" max="12" width="11.5546875" bestFit="1" customWidth="1"/>
    <col min="13" max="16" width="9.88671875" bestFit="1" customWidth="1"/>
  </cols>
  <sheetData>
    <row r="1" spans="1:16" s="512" customFormat="1" ht="30" customHeight="1">
      <c r="A1" s="511" t="s">
        <v>1416</v>
      </c>
    </row>
    <row r="2" spans="1:16" ht="27.95" customHeight="1">
      <c r="A2" s="509" t="s">
        <v>1072</v>
      </c>
      <c r="B2" s="509" t="s">
        <v>1073</v>
      </c>
      <c r="C2" s="509" t="s">
        <v>1074</v>
      </c>
      <c r="D2" s="542" t="s">
        <v>1419</v>
      </c>
      <c r="E2" s="509" t="s">
        <v>1075</v>
      </c>
      <c r="F2" s="509" t="s">
        <v>1076</v>
      </c>
      <c r="G2" s="509" t="s">
        <v>1077</v>
      </c>
      <c r="H2" s="509" t="s">
        <v>1080</v>
      </c>
      <c r="I2" s="509" t="s">
        <v>1081</v>
      </c>
      <c r="J2" s="509" t="s">
        <v>1082</v>
      </c>
      <c r="K2" s="509" t="s">
        <v>1083</v>
      </c>
      <c r="L2">
        <v>2014</v>
      </c>
    </row>
    <row r="3" spans="1:16" ht="27.95" customHeight="1">
      <c r="A3" s="505" t="s">
        <v>1084</v>
      </c>
      <c r="B3" s="505">
        <f t="shared" ref="B3:H3" si="0">SUM(B4:B18)</f>
        <v>128965</v>
      </c>
      <c r="C3" s="506">
        <f t="shared" si="0"/>
        <v>0.99990000000000001</v>
      </c>
      <c r="D3" s="541">
        <f t="shared" si="0"/>
        <v>132476</v>
      </c>
      <c r="E3" s="505">
        <f t="shared" si="0"/>
        <v>130469</v>
      </c>
      <c r="F3" s="505">
        <f t="shared" si="0"/>
        <v>133201</v>
      </c>
      <c r="G3" s="505">
        <f t="shared" si="0"/>
        <v>136221</v>
      </c>
      <c r="H3" s="505">
        <f t="shared" si="0"/>
        <v>138561</v>
      </c>
      <c r="I3" s="505">
        <f>+'1.생잔모형법'!I27</f>
        <v>138100</v>
      </c>
      <c r="J3" s="505">
        <f>+'1.생잔모형법'!J27</f>
        <v>136200</v>
      </c>
      <c r="K3" s="505" t="str">
        <f>IF(SUM(E3:H3)=SUM(E27:H27),"OK","NG")</f>
        <v>OK</v>
      </c>
      <c r="L3">
        <v>129068</v>
      </c>
      <c r="M3" s="50"/>
      <c r="N3" s="50"/>
      <c r="O3" s="50"/>
      <c r="P3" s="50"/>
    </row>
    <row r="4" spans="1:16" ht="27.95" customHeight="1">
      <c r="A4" s="505" t="s">
        <v>609</v>
      </c>
      <c r="B4" s="505">
        <f>'2.생잔모형인구'!D4</f>
        <v>10575</v>
      </c>
      <c r="C4" s="506">
        <f>ROUND(B4/$B$3,4)</f>
        <v>8.2000000000000003E-2</v>
      </c>
      <c r="D4" s="541">
        <f>'2.생잔모형인구'!F4</f>
        <v>10869</v>
      </c>
      <c r="E4" s="530">
        <f>'2.생잔모형인구'!G4</f>
        <v>10689</v>
      </c>
      <c r="F4" s="530">
        <f>'2.생잔모형인구'!H4</f>
        <v>10935</v>
      </c>
      <c r="G4" s="530">
        <f>'2.생잔모형인구'!I4</f>
        <v>11184</v>
      </c>
      <c r="H4" s="530">
        <f>'2.생잔모형인구'!J4</f>
        <v>11359</v>
      </c>
      <c r="I4" s="505">
        <f>ROUND(I$3*$C4,0)-1</f>
        <v>11323</v>
      </c>
      <c r="J4" s="505">
        <f>ROUND(J$3*$C4,0)-1</f>
        <v>11167</v>
      </c>
      <c r="K4" s="505"/>
      <c r="L4" s="543">
        <f>ROUND($L$3*C4,0)</f>
        <v>10584</v>
      </c>
    </row>
    <row r="5" spans="1:16" ht="27.95" customHeight="1">
      <c r="A5" s="505" t="s">
        <v>610</v>
      </c>
      <c r="B5" s="505">
        <f>'2.생잔모형인구'!D33</f>
        <v>16342</v>
      </c>
      <c r="C5" s="506">
        <f t="shared" ref="C5:C18" si="1">ROUND(B5/$B$3,4)</f>
        <v>0.12670000000000001</v>
      </c>
      <c r="D5" s="541">
        <f>'2.생잔모형인구'!F33</f>
        <v>16784</v>
      </c>
      <c r="E5" s="530">
        <f>'2.생잔모형인구'!G33</f>
        <v>16535</v>
      </c>
      <c r="F5" s="530">
        <f>'2.생잔모형인구'!H33</f>
        <v>16879</v>
      </c>
      <c r="G5" s="530">
        <f>'2.생잔모형인구'!I33</f>
        <v>17263</v>
      </c>
      <c r="H5" s="530">
        <f>'2.생잔모형인구'!J33</f>
        <v>17559</v>
      </c>
      <c r="I5" s="505">
        <f t="shared" ref="I5:J18" si="2">ROUND(I$3*$C5,0)</f>
        <v>17497</v>
      </c>
      <c r="J5" s="505">
        <f t="shared" si="2"/>
        <v>17257</v>
      </c>
      <c r="K5" s="505"/>
      <c r="L5" s="543">
        <f t="shared" ref="L5:L17" si="3">ROUND($L$3*C5,0)</f>
        <v>16353</v>
      </c>
    </row>
    <row r="6" spans="1:16" ht="27.95" customHeight="1">
      <c r="A6" s="505" t="s">
        <v>1085</v>
      </c>
      <c r="B6" s="505">
        <f>'2.생잔모형인구'!D92</f>
        <v>5357</v>
      </c>
      <c r="C6" s="506">
        <f t="shared" si="1"/>
        <v>4.1500000000000002E-2</v>
      </c>
      <c r="D6" s="541">
        <f>'2.생잔모형인구'!F92</f>
        <v>5502</v>
      </c>
      <c r="E6" s="530">
        <f>'2.생잔모형인구'!G92</f>
        <v>5421</v>
      </c>
      <c r="F6" s="530">
        <f>'2.생잔모형인구'!H92</f>
        <v>5534</v>
      </c>
      <c r="G6" s="530">
        <f>'2.생잔모형인구'!I92</f>
        <v>5658</v>
      </c>
      <c r="H6" s="530">
        <f>'2.생잔모형인구'!J92</f>
        <v>5754</v>
      </c>
      <c r="I6" s="505">
        <f t="shared" si="2"/>
        <v>5731</v>
      </c>
      <c r="J6" s="505">
        <f t="shared" si="2"/>
        <v>5652</v>
      </c>
      <c r="K6" s="505"/>
      <c r="L6" s="543">
        <f t="shared" si="3"/>
        <v>5356</v>
      </c>
    </row>
    <row r="7" spans="1:16" ht="27.95" customHeight="1">
      <c r="A7" s="508" t="s">
        <v>1086</v>
      </c>
      <c r="B7" s="505">
        <f>'2.생잔모형인구'!D124</f>
        <v>5303</v>
      </c>
      <c r="C7" s="506">
        <f t="shared" si="1"/>
        <v>4.1099999999999998E-2</v>
      </c>
      <c r="D7" s="541">
        <f>'2.생잔모형인구'!F124</f>
        <v>5445</v>
      </c>
      <c r="E7" s="530">
        <f>'2.생잔모형인구'!G124</f>
        <v>5364</v>
      </c>
      <c r="F7" s="530">
        <f>'2.생잔모형인구'!H124</f>
        <v>5477</v>
      </c>
      <c r="G7" s="530">
        <f>'2.생잔모형인구'!I124</f>
        <v>5601</v>
      </c>
      <c r="H7" s="530">
        <f>'2.생잔모형인구'!J124</f>
        <v>5699</v>
      </c>
      <c r="I7" s="505">
        <f t="shared" si="2"/>
        <v>5676</v>
      </c>
      <c r="J7" s="505">
        <f t="shared" si="2"/>
        <v>5598</v>
      </c>
      <c r="K7" s="505"/>
      <c r="L7" s="543">
        <f t="shared" si="3"/>
        <v>5305</v>
      </c>
    </row>
    <row r="8" spans="1:16" ht="27.95" customHeight="1">
      <c r="A8" s="508" t="s">
        <v>1087</v>
      </c>
      <c r="B8" s="505">
        <f>'2.생잔모형인구'!D158</f>
        <v>3897</v>
      </c>
      <c r="C8" s="506">
        <f t="shared" si="1"/>
        <v>3.0200000000000001E-2</v>
      </c>
      <c r="D8" s="541">
        <f>'2.생잔모형인구'!F158</f>
        <v>4003</v>
      </c>
      <c r="E8" s="530">
        <f>'2.생잔모형인구'!G158</f>
        <v>3943</v>
      </c>
      <c r="F8" s="530">
        <f>'2.생잔모형인구'!H158</f>
        <v>4024</v>
      </c>
      <c r="G8" s="530">
        <f>'2.생잔모형인구'!I158</f>
        <v>4115</v>
      </c>
      <c r="H8" s="530">
        <f>'2.생잔모형인구'!J158</f>
        <v>4186</v>
      </c>
      <c r="I8" s="505">
        <f t="shared" si="2"/>
        <v>4171</v>
      </c>
      <c r="J8" s="505">
        <f t="shared" si="2"/>
        <v>4113</v>
      </c>
      <c r="K8" s="505"/>
      <c r="L8" s="543">
        <f t="shared" si="3"/>
        <v>3898</v>
      </c>
    </row>
    <row r="9" spans="1:16" ht="27.95" customHeight="1">
      <c r="A9" s="505" t="s">
        <v>1088</v>
      </c>
      <c r="B9" s="505">
        <f>'2.생잔모형인구'!D185</f>
        <v>4131</v>
      </c>
      <c r="C9" s="506">
        <f t="shared" si="1"/>
        <v>3.2000000000000001E-2</v>
      </c>
      <c r="D9" s="541">
        <f>'2.생잔모형인구'!F185</f>
        <v>4243</v>
      </c>
      <c r="E9" s="530">
        <f>'2.생잔모형인구'!G185</f>
        <v>4179</v>
      </c>
      <c r="F9" s="530">
        <f>'2.생잔모형인구'!H185</f>
        <v>4266</v>
      </c>
      <c r="G9" s="530">
        <f>'2.생잔모형인구'!I185</f>
        <v>4362</v>
      </c>
      <c r="H9" s="530">
        <f>'2.생잔모형인구'!J185</f>
        <v>4439</v>
      </c>
      <c r="I9" s="505">
        <f t="shared" si="2"/>
        <v>4419</v>
      </c>
      <c r="J9" s="505">
        <f t="shared" si="2"/>
        <v>4358</v>
      </c>
      <c r="K9" s="505"/>
      <c r="L9" s="543">
        <f t="shared" si="3"/>
        <v>4130</v>
      </c>
    </row>
    <row r="10" spans="1:16" ht="27.95" customHeight="1">
      <c r="A10" s="505" t="s">
        <v>1089</v>
      </c>
      <c r="B10" s="505">
        <f>'2.생잔모형인구'!D212</f>
        <v>4307</v>
      </c>
      <c r="C10" s="506">
        <f t="shared" si="1"/>
        <v>3.3399999999999999E-2</v>
      </c>
      <c r="D10" s="541">
        <f>'2.생잔모형인구'!F212</f>
        <v>4426</v>
      </c>
      <c r="E10" s="530">
        <f>'2.생잔모형인구'!G212</f>
        <v>4359</v>
      </c>
      <c r="F10" s="530">
        <f>'2.생잔모형인구'!H212</f>
        <v>4450</v>
      </c>
      <c r="G10" s="530">
        <f>'2.생잔모형인구'!I212</f>
        <v>4547</v>
      </c>
      <c r="H10" s="530">
        <f>'2.생잔모형인구'!J212</f>
        <v>4630</v>
      </c>
      <c r="I10" s="505">
        <f>ROUND(I$3*$C10,0)-1</f>
        <v>4612</v>
      </c>
      <c r="J10" s="505">
        <f>ROUND(J$3*$C10,0)-1</f>
        <v>4548</v>
      </c>
      <c r="K10" s="505"/>
      <c r="L10" s="543">
        <f t="shared" si="3"/>
        <v>4311</v>
      </c>
    </row>
    <row r="11" spans="1:16" ht="27.95" customHeight="1">
      <c r="A11" s="505" t="s">
        <v>1090</v>
      </c>
      <c r="B11" s="505">
        <f>'2.생잔모형인구'!D246</f>
        <v>7175</v>
      </c>
      <c r="C11" s="506">
        <f t="shared" si="1"/>
        <v>5.5599999999999997E-2</v>
      </c>
      <c r="D11" s="541">
        <f>'2.생잔모형인구'!F246</f>
        <v>7371</v>
      </c>
      <c r="E11" s="530">
        <f>'2.생잔모형인구'!G246</f>
        <v>7258</v>
      </c>
      <c r="F11" s="530">
        <f>'2.생잔모형인구'!H246</f>
        <v>7407</v>
      </c>
      <c r="G11" s="530">
        <f>'2.생잔모형인구'!I246</f>
        <v>7578</v>
      </c>
      <c r="H11" s="530">
        <f>'2.생잔모형인구'!J246</f>
        <v>7708</v>
      </c>
      <c r="I11" s="505">
        <f t="shared" si="2"/>
        <v>7678</v>
      </c>
      <c r="J11" s="505">
        <f t="shared" si="2"/>
        <v>7573</v>
      </c>
      <c r="K11" s="505"/>
      <c r="L11" s="543">
        <f t="shared" si="3"/>
        <v>7176</v>
      </c>
    </row>
    <row r="12" spans="1:16" ht="27.95" customHeight="1">
      <c r="A12" s="505" t="s">
        <v>1091</v>
      </c>
      <c r="B12" s="505">
        <f>'2.생잔모형인구'!D287</f>
        <v>2871</v>
      </c>
      <c r="C12" s="506">
        <f t="shared" si="1"/>
        <v>2.23E-2</v>
      </c>
      <c r="D12" s="541">
        <f>'2.생잔모형인구'!F287</f>
        <v>2951</v>
      </c>
      <c r="E12" s="530">
        <f>'2.생잔모형인구'!G287</f>
        <v>2906</v>
      </c>
      <c r="F12" s="530">
        <f>'2.생잔모형인구'!H287</f>
        <v>2964</v>
      </c>
      <c r="G12" s="530">
        <f>'2.생잔모형인구'!I287</f>
        <v>3030</v>
      </c>
      <c r="H12" s="530">
        <f>'2.생잔모형인구'!J287</f>
        <v>3084</v>
      </c>
      <c r="I12" s="505">
        <f t="shared" si="2"/>
        <v>3080</v>
      </c>
      <c r="J12" s="505">
        <f t="shared" si="2"/>
        <v>3037</v>
      </c>
      <c r="K12" s="505"/>
      <c r="L12" s="543">
        <f t="shared" si="3"/>
        <v>2878</v>
      </c>
    </row>
    <row r="13" spans="1:16" ht="27.95" customHeight="1">
      <c r="A13" s="508" t="s">
        <v>1092</v>
      </c>
      <c r="B13" s="505">
        <f>'2.생잔모형인구'!D311</f>
        <v>6598</v>
      </c>
      <c r="C13" s="506">
        <f t="shared" si="1"/>
        <v>5.1200000000000002E-2</v>
      </c>
      <c r="D13" s="541">
        <f>'2.생잔모형인구'!F311</f>
        <v>6777</v>
      </c>
      <c r="E13" s="530">
        <f>'2.생잔모형인구'!G311</f>
        <v>6676</v>
      </c>
      <c r="F13" s="530">
        <f>'2.생잔모형인구'!H311</f>
        <v>6813</v>
      </c>
      <c r="G13" s="530">
        <f>'2.생잔모형인구'!I311</f>
        <v>6970</v>
      </c>
      <c r="H13" s="530">
        <f>'2.생잔모형인구'!J311</f>
        <v>7090</v>
      </c>
      <c r="I13" s="505">
        <f t="shared" si="2"/>
        <v>7071</v>
      </c>
      <c r="J13" s="505">
        <f t="shared" si="2"/>
        <v>6973</v>
      </c>
      <c r="K13" s="505"/>
      <c r="L13" s="543">
        <f t="shared" si="3"/>
        <v>6608</v>
      </c>
    </row>
    <row r="14" spans="1:16" ht="27.95" customHeight="1">
      <c r="A14" s="508" t="s">
        <v>1093</v>
      </c>
      <c r="B14" s="505">
        <f>'2.생잔모형인구'!D354</f>
        <v>4295</v>
      </c>
      <c r="C14" s="506">
        <f t="shared" si="1"/>
        <v>3.3300000000000003E-2</v>
      </c>
      <c r="D14" s="541">
        <f>'2.생잔모형인구'!F354</f>
        <v>4409</v>
      </c>
      <c r="E14" s="530">
        <f>'2.생잔모형인구'!G354</f>
        <v>4343</v>
      </c>
      <c r="F14" s="530">
        <f>'2.생잔모형인구'!H354</f>
        <v>4435</v>
      </c>
      <c r="G14" s="530">
        <f>'2.생잔모형인구'!I354</f>
        <v>4534</v>
      </c>
      <c r="H14" s="530">
        <f>'2.생잔모형인구'!J354</f>
        <v>4612</v>
      </c>
      <c r="I14" s="505">
        <f t="shared" si="2"/>
        <v>4599</v>
      </c>
      <c r="J14" s="505">
        <f t="shared" si="2"/>
        <v>4535</v>
      </c>
      <c r="K14" s="505"/>
      <c r="L14" s="543">
        <f t="shared" si="3"/>
        <v>4298</v>
      </c>
    </row>
    <row r="15" spans="1:16" ht="27.95" customHeight="1">
      <c r="A15" s="505" t="s">
        <v>1094</v>
      </c>
      <c r="B15" s="505">
        <f>'2.생잔모형인구'!D383</f>
        <v>5431</v>
      </c>
      <c r="C15" s="506">
        <f t="shared" si="1"/>
        <v>4.2099999999999999E-2</v>
      </c>
      <c r="D15" s="541">
        <f>'2.생잔모형인구'!F383</f>
        <v>5577</v>
      </c>
      <c r="E15" s="530">
        <f>'2.생잔모형인구'!G383</f>
        <v>5494</v>
      </c>
      <c r="F15" s="530">
        <f>'2.생잔모형인구'!H383</f>
        <v>5609</v>
      </c>
      <c r="G15" s="530">
        <f>'2.생잔모형인구'!I383</f>
        <v>5735</v>
      </c>
      <c r="H15" s="530">
        <f>'2.생잔모형인구'!J383</f>
        <v>5834</v>
      </c>
      <c r="I15" s="505">
        <f t="shared" si="2"/>
        <v>5814</v>
      </c>
      <c r="J15" s="505">
        <f t="shared" si="2"/>
        <v>5734</v>
      </c>
      <c r="K15" s="505"/>
      <c r="L15" s="543">
        <f t="shared" si="3"/>
        <v>5434</v>
      </c>
    </row>
    <row r="16" spans="1:16" ht="27.95" customHeight="1">
      <c r="A16" s="505" t="s">
        <v>1095</v>
      </c>
      <c r="B16" s="505">
        <f>'2.생잔모형인구'!D412</f>
        <v>2879</v>
      </c>
      <c r="C16" s="506">
        <f t="shared" si="1"/>
        <v>2.23E-2</v>
      </c>
      <c r="D16" s="541">
        <f>'2.생잔모형인구'!F412</f>
        <v>2957</v>
      </c>
      <c r="E16" s="530">
        <f>'2.생잔모형인구'!G412</f>
        <v>2915</v>
      </c>
      <c r="F16" s="530">
        <f>'2.생잔모형인구'!H412</f>
        <v>2971</v>
      </c>
      <c r="G16" s="530">
        <f>'2.생잔모형인구'!I412</f>
        <v>3041</v>
      </c>
      <c r="H16" s="530">
        <f>'2.생잔모형인구'!J412</f>
        <v>3094</v>
      </c>
      <c r="I16" s="505">
        <f t="shared" si="2"/>
        <v>3080</v>
      </c>
      <c r="J16" s="505">
        <f t="shared" si="2"/>
        <v>3037</v>
      </c>
      <c r="K16" s="505"/>
      <c r="L16" s="543">
        <f t="shared" si="3"/>
        <v>2878</v>
      </c>
    </row>
    <row r="17" spans="1:12" ht="27.95" customHeight="1">
      <c r="A17" s="505" t="s">
        <v>1096</v>
      </c>
      <c r="B17" s="505">
        <f>'2.생잔모형인구'!D438</f>
        <v>30861</v>
      </c>
      <c r="C17" s="506">
        <f t="shared" si="1"/>
        <v>0.23930000000000001</v>
      </c>
      <c r="D17" s="541">
        <f>'2.생잔모형인구'!F438</f>
        <v>31702</v>
      </c>
      <c r="E17" s="530">
        <f>'2.생잔모형인구'!G438</f>
        <v>31223</v>
      </c>
      <c r="F17" s="530">
        <f>'2.생잔모형인구'!H438</f>
        <v>31873</v>
      </c>
      <c r="G17" s="530">
        <f>'2.생잔모형인구'!I438</f>
        <v>32593</v>
      </c>
      <c r="H17" s="530">
        <f>'2.생잔모형인구'!J438</f>
        <v>33159</v>
      </c>
      <c r="I17" s="505">
        <f t="shared" si="2"/>
        <v>33047</v>
      </c>
      <c r="J17" s="505">
        <f t="shared" si="2"/>
        <v>32593</v>
      </c>
      <c r="K17" s="505"/>
      <c r="L17" s="543">
        <f t="shared" si="3"/>
        <v>30886</v>
      </c>
    </row>
    <row r="18" spans="1:12" ht="27.95" customHeight="1">
      <c r="A18" s="505" t="s">
        <v>1097</v>
      </c>
      <c r="B18" s="505">
        <f>'2.생잔모형인구'!D475</f>
        <v>18943</v>
      </c>
      <c r="C18" s="506">
        <f t="shared" si="1"/>
        <v>0.1469</v>
      </c>
      <c r="D18" s="541">
        <f>'2.생잔모형인구'!F475</f>
        <v>19460</v>
      </c>
      <c r="E18" s="530">
        <f>'2.생잔모형인구'!G475</f>
        <v>19164</v>
      </c>
      <c r="F18" s="530">
        <f>'2.생잔모형인구'!H475</f>
        <v>19564</v>
      </c>
      <c r="G18" s="530">
        <f>'2.생잔모형인구'!I475</f>
        <v>20010</v>
      </c>
      <c r="H18" s="530">
        <f>'2.생잔모형인구'!J475</f>
        <v>20354</v>
      </c>
      <c r="I18" s="505">
        <f t="shared" si="2"/>
        <v>20287</v>
      </c>
      <c r="J18" s="505">
        <f t="shared" si="2"/>
        <v>20008</v>
      </c>
      <c r="K18" s="505"/>
      <c r="L18" s="543">
        <f>L3-SUM(L4:L17)</f>
        <v>18973</v>
      </c>
    </row>
    <row r="19" spans="1:12" ht="18" customHeight="1"/>
    <row r="20" spans="1:12" s="512" customFormat="1" ht="27.95" customHeight="1">
      <c r="A20" s="511" t="s">
        <v>1417</v>
      </c>
      <c r="B20" s="513"/>
      <c r="C20" s="513"/>
      <c r="D20" s="513"/>
      <c r="E20" s="513"/>
      <c r="F20" s="513"/>
      <c r="G20" s="513"/>
      <c r="H20" s="513"/>
      <c r="I20" s="513"/>
      <c r="J20" s="513"/>
    </row>
    <row r="21" spans="1:12" ht="27.95" customHeight="1">
      <c r="A21" s="576" t="s">
        <v>0</v>
      </c>
      <c r="B21" s="576"/>
      <c r="C21" s="510" t="s">
        <v>614</v>
      </c>
      <c r="D21" s="539" t="s">
        <v>1419</v>
      </c>
      <c r="E21" s="510" t="s">
        <v>30</v>
      </c>
      <c r="F21" s="510" t="s">
        <v>31</v>
      </c>
      <c r="G21" s="510" t="s">
        <v>29</v>
      </c>
      <c r="H21" s="510" t="s">
        <v>127</v>
      </c>
      <c r="I21" s="510" t="s">
        <v>612</v>
      </c>
      <c r="J21" s="510" t="s">
        <v>613</v>
      </c>
      <c r="K21" s="510" t="s">
        <v>1</v>
      </c>
    </row>
    <row r="22" spans="1:12" ht="27.95" customHeight="1">
      <c r="A22" s="575" t="s">
        <v>615</v>
      </c>
      <c r="B22" s="575"/>
      <c r="C22" s="549">
        <f>'3.충청남도 인구(2013년)'!C25</f>
        <v>2047631</v>
      </c>
      <c r="D22" s="549">
        <v>2163832</v>
      </c>
      <c r="E22" s="558">
        <v>2089470</v>
      </c>
      <c r="F22" s="558">
        <v>2170972</v>
      </c>
      <c r="G22" s="558">
        <v>2254010</v>
      </c>
      <c r="H22" s="558">
        <v>2323886</v>
      </c>
      <c r="I22" s="505">
        <v>2401934</v>
      </c>
      <c r="J22" s="505">
        <v>2407883</v>
      </c>
      <c r="K22" s="550" t="s">
        <v>1423</v>
      </c>
    </row>
    <row r="23" spans="1:12" ht="27.95" customHeight="1">
      <c r="A23" s="575" t="s">
        <v>1421</v>
      </c>
      <c r="B23" s="575"/>
      <c r="C23" s="549">
        <f>C22</f>
        <v>2047631</v>
      </c>
      <c r="D23" s="549">
        <f>ROUND((C23+E23)/2,0)</f>
        <v>2055591</v>
      </c>
      <c r="E23" s="549">
        <f>'3.충청남도 인구(2013년)'!C208</f>
        <v>2063551</v>
      </c>
      <c r="F23" s="549">
        <f>'3.충청남도 인구(2013년)'!E208</f>
        <v>2107524</v>
      </c>
      <c r="G23" s="549">
        <f>'3.충청남도 인구(2013년)'!G208</f>
        <v>2135448</v>
      </c>
      <c r="H23" s="549">
        <f>'3.충청남도 인구(2013년)'!I208</f>
        <v>2152277</v>
      </c>
      <c r="I23" s="505">
        <f>'3.충청남도 인구(2013년)'!K208</f>
        <v>2157798</v>
      </c>
      <c r="J23" s="505">
        <f>'3.충청남도 인구(2013년)'!M208</f>
        <v>2149189</v>
      </c>
      <c r="K23" s="550" t="s">
        <v>1423</v>
      </c>
    </row>
    <row r="24" spans="1:12" ht="27.95" customHeight="1">
      <c r="A24" s="575" t="s">
        <v>1422</v>
      </c>
      <c r="B24" s="575"/>
      <c r="C24" s="549">
        <f>'3.논산시 인구(2013년)'!C25</f>
        <v>125844</v>
      </c>
      <c r="D24" s="549">
        <f>'3.논산시 인구(2013년)'!G52</f>
        <v>125849</v>
      </c>
      <c r="E24" s="549">
        <f>'3.논산시 인구(2013년)'!C234</f>
        <v>125768</v>
      </c>
      <c r="F24" s="549">
        <f>'3.논산시 인구(2013년)'!E234</f>
        <v>126278</v>
      </c>
      <c r="G24" s="549">
        <f>'3.논산시 인구(2013년)'!G234</f>
        <v>126099</v>
      </c>
      <c r="H24" s="549">
        <f>'3.논산시 인구(2013년)'!I234</f>
        <v>125438</v>
      </c>
      <c r="I24" s="551">
        <f>'3.논산시 인구(2013년)'!K234</f>
        <v>124021</v>
      </c>
      <c r="J24" s="551">
        <f>'3.논산시 인구(2013년)'!M234</f>
        <v>121541</v>
      </c>
      <c r="K24" s="550" t="s">
        <v>1423</v>
      </c>
    </row>
    <row r="25" spans="1:12" ht="27.95" customHeight="1">
      <c r="A25" s="575" t="s">
        <v>1420</v>
      </c>
      <c r="B25" s="550" t="s">
        <v>1423</v>
      </c>
      <c r="C25" s="549">
        <f>ROUND(C24*(C22/C23),0)</f>
        <v>125844</v>
      </c>
      <c r="D25" s="549"/>
      <c r="E25" s="549">
        <f>ROUND(E24*(E22/E23),0)</f>
        <v>127348</v>
      </c>
      <c r="F25" s="549">
        <f t="shared" ref="F25:H25" si="4">ROUND(F24*(F22/F23),0)</f>
        <v>130080</v>
      </c>
      <c r="G25" s="549">
        <f t="shared" si="4"/>
        <v>133100</v>
      </c>
      <c r="H25" s="549">
        <f t="shared" si="4"/>
        <v>135440</v>
      </c>
      <c r="I25" s="551"/>
      <c r="J25" s="551"/>
      <c r="K25" s="551"/>
    </row>
    <row r="26" spans="1:12" ht="27.95" customHeight="1">
      <c r="A26" s="575"/>
      <c r="B26" s="550" t="s">
        <v>1425</v>
      </c>
      <c r="C26" s="549">
        <f>'3.논산시 인구(2013년)'!T25</f>
        <v>3121</v>
      </c>
      <c r="D26" s="549"/>
      <c r="E26" s="549">
        <f>C26</f>
        <v>3121</v>
      </c>
      <c r="F26" s="549">
        <f>E26</f>
        <v>3121</v>
      </c>
      <c r="G26" s="549">
        <f>F26</f>
        <v>3121</v>
      </c>
      <c r="H26" s="549">
        <f>G26</f>
        <v>3121</v>
      </c>
      <c r="I26" s="551"/>
      <c r="J26" s="551"/>
      <c r="K26" s="551"/>
    </row>
    <row r="27" spans="1:12" ht="27.95" customHeight="1">
      <c r="A27" s="575"/>
      <c r="B27" s="550" t="s">
        <v>1424</v>
      </c>
      <c r="C27" s="549">
        <f>SUM(C25:C26)</f>
        <v>128965</v>
      </c>
      <c r="D27" s="549">
        <f>ROUND(D24*(D22/D23),0)</f>
        <v>132476</v>
      </c>
      <c r="E27" s="549">
        <f t="shared" ref="E27:H27" si="5">SUM(E25:E26)</f>
        <v>130469</v>
      </c>
      <c r="F27" s="549">
        <f t="shared" si="5"/>
        <v>133201</v>
      </c>
      <c r="G27" s="549">
        <f t="shared" si="5"/>
        <v>136221</v>
      </c>
      <c r="H27" s="549">
        <f t="shared" si="5"/>
        <v>138561</v>
      </c>
      <c r="I27" s="551">
        <f>ROUND(I24*(I22/I23),-2)</f>
        <v>138100</v>
      </c>
      <c r="J27" s="551">
        <f>ROUND(J24*(J22/J23),-2)</f>
        <v>136200</v>
      </c>
      <c r="K27" s="551"/>
    </row>
    <row r="28" spans="1:12" ht="27.95" customHeight="1"/>
    <row r="29" spans="1:12" ht="35.1" customHeight="1">
      <c r="H29" s="563">
        <f>H27-C27</f>
        <v>9596</v>
      </c>
    </row>
    <row r="30" spans="1:12" ht="35.1" customHeight="1"/>
    <row r="31" spans="1:12" ht="30" customHeight="1">
      <c r="K31" s="557"/>
    </row>
    <row r="32" spans="1:12" ht="30" customHeight="1">
      <c r="K32" s="557"/>
    </row>
    <row r="33" ht="30" customHeight="1"/>
    <row r="34" ht="30" customHeight="1"/>
    <row r="35" ht="30" customHeight="1"/>
    <row r="36" ht="30" customHeight="1"/>
    <row r="37" ht="30" customHeight="1"/>
    <row r="38" ht="30" customHeight="1"/>
    <row r="39" ht="30" customHeight="1"/>
    <row r="40" ht="30" customHeight="1"/>
    <row r="41" ht="30" customHeight="1"/>
    <row r="42" ht="30" customHeight="1"/>
    <row r="43" ht="30" customHeight="1"/>
    <row r="44" ht="30" customHeight="1"/>
    <row r="45" ht="30" customHeight="1"/>
    <row r="46" ht="30" customHeight="1"/>
    <row r="47" ht="30" customHeight="1"/>
    <row r="48" ht="30" customHeight="1"/>
    <row r="49" ht="30" customHeight="1"/>
    <row r="50" ht="30" customHeight="1"/>
    <row r="51" ht="30" customHeight="1"/>
    <row r="52" ht="30" customHeight="1"/>
    <row r="53" ht="30" customHeight="1"/>
    <row r="54" ht="30" customHeight="1"/>
    <row r="55" ht="30" customHeight="1"/>
    <row r="56" ht="30" customHeight="1"/>
    <row r="57" ht="30" customHeight="1"/>
    <row r="58" ht="30" customHeight="1"/>
    <row r="59" ht="30" customHeight="1"/>
    <row r="60" ht="30" customHeight="1"/>
    <row r="61" ht="30" customHeight="1"/>
    <row r="62" ht="30" customHeight="1"/>
    <row r="63" ht="30" customHeight="1"/>
    <row r="64" ht="30" customHeight="1"/>
    <row r="65" ht="30" customHeight="1"/>
    <row r="66" ht="30" customHeight="1"/>
    <row r="67" ht="30" customHeight="1"/>
    <row r="68" ht="30" customHeight="1"/>
    <row r="69" ht="30" customHeight="1"/>
    <row r="70" ht="30" customHeight="1"/>
    <row r="71" ht="30" customHeight="1"/>
    <row r="72" ht="30" customHeight="1"/>
    <row r="73" ht="30" customHeight="1"/>
    <row r="74" ht="30" customHeight="1"/>
    <row r="75" ht="30" customHeight="1"/>
    <row r="76" ht="30" customHeight="1"/>
    <row r="77" ht="30" customHeight="1"/>
    <row r="78" ht="30" customHeight="1"/>
    <row r="79" ht="30" customHeight="1"/>
    <row r="80" ht="30" customHeight="1"/>
    <row r="81" ht="30" customHeight="1"/>
    <row r="82" ht="30" customHeight="1"/>
    <row r="83" ht="30" customHeight="1"/>
    <row r="84" ht="30" customHeight="1"/>
    <row r="85" ht="30" customHeight="1"/>
    <row r="86" ht="30" customHeight="1"/>
    <row r="87" ht="30" customHeight="1"/>
    <row r="88" ht="30" customHeight="1"/>
    <row r="89" ht="30" customHeight="1"/>
    <row r="90" ht="30" customHeight="1"/>
    <row r="91" ht="30" customHeight="1"/>
    <row r="92" ht="30" customHeight="1"/>
    <row r="93" ht="30" customHeight="1"/>
    <row r="94" ht="30" customHeight="1"/>
    <row r="95" ht="30" customHeight="1"/>
    <row r="96" ht="30" customHeight="1"/>
    <row r="97" ht="30" customHeight="1"/>
    <row r="98" ht="30" customHeight="1"/>
    <row r="99" ht="30" customHeight="1"/>
    <row r="100" ht="30" customHeight="1"/>
    <row r="101" ht="30" customHeight="1"/>
    <row r="102" ht="30" customHeight="1"/>
    <row r="103" ht="30" customHeight="1"/>
    <row r="104" ht="30" customHeight="1"/>
    <row r="105" ht="30" customHeight="1"/>
    <row r="106" ht="30" customHeight="1"/>
    <row r="107" ht="30" customHeight="1"/>
    <row r="108" ht="30" customHeight="1"/>
    <row r="109" ht="30" customHeight="1"/>
    <row r="110" ht="30" customHeight="1"/>
    <row r="111" ht="30" customHeight="1"/>
    <row r="112" ht="30" customHeight="1"/>
    <row r="113" ht="30" customHeight="1"/>
    <row r="114" ht="30" customHeight="1"/>
    <row r="115" ht="30" customHeight="1"/>
    <row r="116" ht="30" customHeight="1"/>
    <row r="117" ht="30" customHeight="1"/>
    <row r="118" ht="30" customHeight="1"/>
    <row r="119" ht="30" customHeight="1"/>
    <row r="120" ht="30" customHeight="1"/>
    <row r="121" ht="30" customHeight="1"/>
    <row r="122" ht="30" customHeight="1"/>
    <row r="123" ht="30" customHeight="1"/>
    <row r="124" ht="30" customHeight="1"/>
    <row r="125" ht="30" customHeight="1"/>
    <row r="126" ht="30" customHeight="1"/>
    <row r="127" ht="30" customHeight="1"/>
    <row r="128" ht="30" customHeight="1"/>
    <row r="129" ht="30" customHeight="1"/>
    <row r="130" ht="30" customHeight="1"/>
    <row r="131" ht="30" customHeight="1"/>
    <row r="132" ht="30" customHeight="1"/>
    <row r="133" ht="30" customHeight="1"/>
    <row r="134" ht="30" customHeight="1"/>
    <row r="135" ht="30" customHeight="1"/>
    <row r="136" ht="30" customHeight="1"/>
    <row r="137" ht="30" customHeight="1"/>
    <row r="138" ht="30" customHeight="1"/>
    <row r="139" ht="30" customHeight="1"/>
    <row r="140" ht="30" customHeight="1"/>
  </sheetData>
  <mergeCells count="5">
    <mergeCell ref="A25:A27"/>
    <mergeCell ref="A21:B21"/>
    <mergeCell ref="A22:B22"/>
    <mergeCell ref="A23:B23"/>
    <mergeCell ref="A24:B24"/>
  </mergeCells>
  <phoneticPr fontId="10" type="noConversion"/>
  <printOptions horizontalCentered="1"/>
  <pageMargins left="0.62992125984251968" right="0.62992125984251968" top="0.62992125984251968" bottom="0.62992125984251968" header="0.51181102362204722" footer="0.51181102362204722"/>
  <pageSetup paperSize="9" orientation="portrait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>
  <sheetPr>
    <tabColor rgb="FF92D050"/>
  </sheetPr>
  <dimension ref="A1:J499"/>
  <sheetViews>
    <sheetView workbookViewId="0">
      <selection activeCell="N19" sqref="N19"/>
    </sheetView>
  </sheetViews>
  <sheetFormatPr defaultColWidth="8.33203125" defaultRowHeight="18" customHeight="1" outlineLevelCol="1"/>
  <cols>
    <col min="1" max="3" width="8.33203125" style="531" customWidth="1"/>
    <col min="4" max="4" width="9.109375" style="531" customWidth="1"/>
    <col min="5" max="5" width="6.77734375" style="531" customWidth="1"/>
    <col min="6" max="6" width="8.77734375" style="531" hidden="1" customWidth="1" outlineLevel="1"/>
    <col min="7" max="7" width="9.109375" style="531" customWidth="1" collapsed="1"/>
    <col min="8" max="10" width="9.109375" style="531" customWidth="1"/>
    <col min="11" max="16384" width="8.33203125" style="531"/>
  </cols>
  <sheetData>
    <row r="1" spans="1:10" ht="24.95" customHeight="1">
      <c r="A1" s="579" t="s">
        <v>1418</v>
      </c>
      <c r="B1" s="579"/>
      <c r="C1" s="579"/>
      <c r="D1" s="579"/>
      <c r="E1" s="579"/>
      <c r="F1" s="579"/>
      <c r="G1" s="579"/>
      <c r="H1" s="579"/>
      <c r="I1" s="579"/>
      <c r="J1" s="579"/>
    </row>
    <row r="2" spans="1:10" ht="18" customHeight="1">
      <c r="A2" s="578" t="s">
        <v>241</v>
      </c>
      <c r="B2" s="578"/>
      <c r="C2" s="578"/>
      <c r="D2" s="534" t="s">
        <v>1073</v>
      </c>
      <c r="E2" s="534" t="s">
        <v>342</v>
      </c>
      <c r="F2" s="540" t="s">
        <v>1419</v>
      </c>
      <c r="G2" s="534" t="s">
        <v>1075</v>
      </c>
      <c r="H2" s="534" t="s">
        <v>1076</v>
      </c>
      <c r="I2" s="534" t="s">
        <v>1077</v>
      </c>
      <c r="J2" s="534" t="s">
        <v>1080</v>
      </c>
    </row>
    <row r="3" spans="1:10" ht="18" customHeight="1">
      <c r="A3" s="578" t="s">
        <v>1084</v>
      </c>
      <c r="B3" s="578"/>
      <c r="C3" s="578"/>
      <c r="D3" s="530">
        <f>D4+D33+D92+D124+D158+D185+D212+D246+D287+D311+D354+D383+D412+D438+D475</f>
        <v>128965</v>
      </c>
      <c r="E3" s="530"/>
      <c r="F3" s="541">
        <f>'1.생잔모형법'!D27</f>
        <v>132476</v>
      </c>
      <c r="G3" s="530">
        <f>'1.생잔모형법'!E27</f>
        <v>130469</v>
      </c>
      <c r="H3" s="530">
        <f>'1.생잔모형법'!F27</f>
        <v>133201</v>
      </c>
      <c r="I3" s="530">
        <f>'1.생잔모형법'!G27</f>
        <v>136221</v>
      </c>
      <c r="J3" s="530">
        <f>'1.생잔모형법'!H27</f>
        <v>138561</v>
      </c>
    </row>
    <row r="4" spans="1:10" ht="18" customHeight="1">
      <c r="A4" s="537" t="s">
        <v>1134</v>
      </c>
      <c r="B4" s="580" t="s">
        <v>1411</v>
      </c>
      <c r="C4" s="581"/>
      <c r="D4" s="538">
        <f>SUM(D5:D32)</f>
        <v>10575</v>
      </c>
      <c r="E4" s="538"/>
      <c r="F4" s="538">
        <f>F3-F33-F92-F124-F158-F185-F212-F246-F287-F311-F354-F383-F412-F438-F475</f>
        <v>10869</v>
      </c>
      <c r="G4" s="538">
        <f>G3-G33-G92-G124-G158-G185-G212-G246-G287-G311-G354-G383-G412-G438-G475</f>
        <v>10689</v>
      </c>
      <c r="H4" s="538">
        <f t="shared" ref="H4:J4" si="0">H3-H33-H92-H124-H158-H185-H212-H246-H287-H311-H354-H383-H412-H438-H475</f>
        <v>10935</v>
      </c>
      <c r="I4" s="538">
        <f t="shared" si="0"/>
        <v>11184</v>
      </c>
      <c r="J4" s="538">
        <f t="shared" si="0"/>
        <v>11359</v>
      </c>
    </row>
    <row r="5" spans="1:10" ht="18" customHeight="1">
      <c r="A5" s="534" t="s">
        <v>1134</v>
      </c>
      <c r="B5" s="534" t="s">
        <v>1410</v>
      </c>
      <c r="C5" s="535" t="s">
        <v>679</v>
      </c>
      <c r="D5" s="530">
        <f>VLOOKUP(C5,'급수계통별장래인구(출x)'!$C$5:$D$491,2,FALSE)</f>
        <v>512</v>
      </c>
      <c r="E5" s="518">
        <f>D5/$D$3</f>
        <v>3.9700693986740587E-3</v>
      </c>
      <c r="F5" s="541">
        <f>F4-SUM(F6:F32)</f>
        <v>536</v>
      </c>
      <c r="G5" s="530">
        <f>G4-SUM(G6:G32)</f>
        <v>509</v>
      </c>
      <c r="H5" s="530">
        <f>H4-SUM(H6:H32)</f>
        <v>541</v>
      </c>
      <c r="I5" s="530">
        <f>I4-SUM(I6:I32)</f>
        <v>556</v>
      </c>
      <c r="J5" s="530">
        <f>J4-SUM(J6:J32)</f>
        <v>546</v>
      </c>
    </row>
    <row r="6" spans="1:10" ht="18" customHeight="1">
      <c r="A6" s="534" t="s">
        <v>1234</v>
      </c>
      <c r="B6" s="534" t="s">
        <v>1235</v>
      </c>
      <c r="C6" s="535" t="s">
        <v>680</v>
      </c>
      <c r="D6" s="530">
        <f>VLOOKUP(C6,'급수계통별장래인구(출x)'!$C$5:$D$491,2,FALSE)</f>
        <v>321</v>
      </c>
      <c r="E6" s="518">
        <f t="shared" ref="E6:E32" si="1">D6/$D$3</f>
        <v>2.4890474159655722E-3</v>
      </c>
      <c r="F6" s="541">
        <f t="shared" ref="F6:J32" si="2">ROUND($E6*F$3,0)</f>
        <v>330</v>
      </c>
      <c r="G6" s="530">
        <f t="shared" si="2"/>
        <v>325</v>
      </c>
      <c r="H6" s="530">
        <f t="shared" ref="H6:J20" si="3">ROUND($E6*H$3,0)</f>
        <v>332</v>
      </c>
      <c r="I6" s="530">
        <f t="shared" si="3"/>
        <v>339</v>
      </c>
      <c r="J6" s="530">
        <f t="shared" si="3"/>
        <v>345</v>
      </c>
    </row>
    <row r="7" spans="1:10" ht="18" customHeight="1">
      <c r="A7" s="534" t="s">
        <v>1234</v>
      </c>
      <c r="B7" s="534" t="s">
        <v>1235</v>
      </c>
      <c r="C7" s="535" t="s">
        <v>681</v>
      </c>
      <c r="D7" s="530">
        <f>VLOOKUP(C7,'급수계통별장래인구(출x)'!$C$5:$D$491,2,FALSE)</f>
        <v>301</v>
      </c>
      <c r="E7" s="518">
        <f t="shared" si="1"/>
        <v>2.3339665800798668E-3</v>
      </c>
      <c r="F7" s="541">
        <f t="shared" si="2"/>
        <v>309</v>
      </c>
      <c r="G7" s="530">
        <f t="shared" si="2"/>
        <v>305</v>
      </c>
      <c r="H7" s="530">
        <f t="shared" si="3"/>
        <v>311</v>
      </c>
      <c r="I7" s="530">
        <f t="shared" si="3"/>
        <v>318</v>
      </c>
      <c r="J7" s="530">
        <f t="shared" si="3"/>
        <v>323</v>
      </c>
    </row>
    <row r="8" spans="1:10" ht="18" customHeight="1">
      <c r="A8" s="534" t="s">
        <v>1234</v>
      </c>
      <c r="B8" s="534" t="s">
        <v>1236</v>
      </c>
      <c r="C8" s="535" t="s">
        <v>682</v>
      </c>
      <c r="D8" s="530">
        <f>VLOOKUP(C8,'급수계통별장래인구(출x)'!$C$5:$D$491,2,FALSE)</f>
        <v>210</v>
      </c>
      <c r="E8" s="518">
        <f t="shared" si="1"/>
        <v>1.6283487767999069E-3</v>
      </c>
      <c r="F8" s="541">
        <f t="shared" si="2"/>
        <v>216</v>
      </c>
      <c r="G8" s="530">
        <f t="shared" si="2"/>
        <v>212</v>
      </c>
      <c r="H8" s="530">
        <f t="shared" si="3"/>
        <v>217</v>
      </c>
      <c r="I8" s="530">
        <f t="shared" si="3"/>
        <v>222</v>
      </c>
      <c r="J8" s="530">
        <f t="shared" si="3"/>
        <v>226</v>
      </c>
    </row>
    <row r="9" spans="1:10" ht="18" customHeight="1">
      <c r="A9" s="534" t="s">
        <v>1234</v>
      </c>
      <c r="B9" s="534" t="s">
        <v>1237</v>
      </c>
      <c r="C9" s="535" t="s">
        <v>683</v>
      </c>
      <c r="D9" s="530">
        <f>VLOOKUP(C9,'급수계통별장래인구(출x)'!$C$5:$D$491,2,FALSE)</f>
        <v>266</v>
      </c>
      <c r="E9" s="518">
        <f t="shared" si="1"/>
        <v>2.0625751172798821E-3</v>
      </c>
      <c r="F9" s="541">
        <f t="shared" si="2"/>
        <v>273</v>
      </c>
      <c r="G9" s="530">
        <f t="shared" si="2"/>
        <v>269</v>
      </c>
      <c r="H9" s="530">
        <f t="shared" si="3"/>
        <v>275</v>
      </c>
      <c r="I9" s="530">
        <f t="shared" si="3"/>
        <v>281</v>
      </c>
      <c r="J9" s="530">
        <f t="shared" si="3"/>
        <v>286</v>
      </c>
    </row>
    <row r="10" spans="1:10" ht="18" customHeight="1">
      <c r="A10" s="534" t="s">
        <v>1234</v>
      </c>
      <c r="B10" s="534" t="s">
        <v>1238</v>
      </c>
      <c r="C10" s="535" t="s">
        <v>684</v>
      </c>
      <c r="D10" s="530">
        <f>VLOOKUP(C10,'급수계통별장래인구(출x)'!$C$5:$D$491,2,FALSE)</f>
        <v>521</v>
      </c>
      <c r="E10" s="518">
        <f t="shared" si="1"/>
        <v>4.0398557748226264E-3</v>
      </c>
      <c r="F10" s="541">
        <f t="shared" si="2"/>
        <v>535</v>
      </c>
      <c r="G10" s="530">
        <f t="shared" si="2"/>
        <v>527</v>
      </c>
      <c r="H10" s="530">
        <f t="shared" si="3"/>
        <v>538</v>
      </c>
      <c r="I10" s="530">
        <f t="shared" si="3"/>
        <v>550</v>
      </c>
      <c r="J10" s="530">
        <f t="shared" si="3"/>
        <v>560</v>
      </c>
    </row>
    <row r="11" spans="1:10" ht="18" customHeight="1">
      <c r="A11" s="534" t="s">
        <v>1234</v>
      </c>
      <c r="B11" s="534" t="s">
        <v>1239</v>
      </c>
      <c r="C11" s="535" t="s">
        <v>685</v>
      </c>
      <c r="D11" s="530">
        <f>VLOOKUP(C11,'급수계통별장래인구(출x)'!$C$5:$D$491,2,FALSE)</f>
        <v>373</v>
      </c>
      <c r="E11" s="518">
        <f t="shared" si="1"/>
        <v>2.8922575892684063E-3</v>
      </c>
      <c r="F11" s="541">
        <f t="shared" si="2"/>
        <v>383</v>
      </c>
      <c r="G11" s="530">
        <f t="shared" si="2"/>
        <v>377</v>
      </c>
      <c r="H11" s="530">
        <f t="shared" si="3"/>
        <v>385</v>
      </c>
      <c r="I11" s="530">
        <f t="shared" si="3"/>
        <v>394</v>
      </c>
      <c r="J11" s="530">
        <f t="shared" si="3"/>
        <v>401</v>
      </c>
    </row>
    <row r="12" spans="1:10" ht="18" customHeight="1">
      <c r="A12" s="534" t="s">
        <v>1234</v>
      </c>
      <c r="B12" s="534" t="s">
        <v>1239</v>
      </c>
      <c r="C12" s="535" t="s">
        <v>686</v>
      </c>
      <c r="D12" s="530">
        <f>VLOOKUP(C12,'급수계통별장래인구(출x)'!$C$5:$D$491,2,FALSE)</f>
        <v>198</v>
      </c>
      <c r="E12" s="518">
        <f t="shared" si="1"/>
        <v>1.5353002752684836E-3</v>
      </c>
      <c r="F12" s="541">
        <f t="shared" si="2"/>
        <v>203</v>
      </c>
      <c r="G12" s="530">
        <f t="shared" si="2"/>
        <v>200</v>
      </c>
      <c r="H12" s="530">
        <f t="shared" si="3"/>
        <v>205</v>
      </c>
      <c r="I12" s="530">
        <f t="shared" si="3"/>
        <v>209</v>
      </c>
      <c r="J12" s="530">
        <f t="shared" si="3"/>
        <v>213</v>
      </c>
    </row>
    <row r="13" spans="1:10" ht="18" customHeight="1">
      <c r="A13" s="534" t="s">
        <v>1234</v>
      </c>
      <c r="B13" s="534" t="s">
        <v>1240</v>
      </c>
      <c r="C13" s="535" t="s">
        <v>687</v>
      </c>
      <c r="D13" s="530">
        <f>VLOOKUP(C13,'급수계통별장래인구(출x)'!$C$5:$D$491,2,FALSE)</f>
        <v>202</v>
      </c>
      <c r="E13" s="518">
        <f t="shared" si="1"/>
        <v>1.5663164424456247E-3</v>
      </c>
      <c r="F13" s="541">
        <f t="shared" si="2"/>
        <v>207</v>
      </c>
      <c r="G13" s="530">
        <f t="shared" si="2"/>
        <v>204</v>
      </c>
      <c r="H13" s="530">
        <f t="shared" si="3"/>
        <v>209</v>
      </c>
      <c r="I13" s="530">
        <f t="shared" si="3"/>
        <v>213</v>
      </c>
      <c r="J13" s="530">
        <f t="shared" si="3"/>
        <v>217</v>
      </c>
    </row>
    <row r="14" spans="1:10" ht="18" customHeight="1">
      <c r="A14" s="534" t="s">
        <v>1234</v>
      </c>
      <c r="B14" s="534" t="s">
        <v>1241</v>
      </c>
      <c r="C14" s="535" t="s">
        <v>688</v>
      </c>
      <c r="D14" s="530">
        <f>VLOOKUP(C14,'급수계통별장래인구(출x)'!$C$5:$D$491,2,FALSE)</f>
        <v>244</v>
      </c>
      <c r="E14" s="518">
        <f t="shared" si="1"/>
        <v>1.8919861978056061E-3</v>
      </c>
      <c r="F14" s="541">
        <f t="shared" si="2"/>
        <v>251</v>
      </c>
      <c r="G14" s="530">
        <f t="shared" si="2"/>
        <v>247</v>
      </c>
      <c r="H14" s="530">
        <f t="shared" si="3"/>
        <v>252</v>
      </c>
      <c r="I14" s="530">
        <f t="shared" si="3"/>
        <v>258</v>
      </c>
      <c r="J14" s="530">
        <f t="shared" si="3"/>
        <v>262</v>
      </c>
    </row>
    <row r="15" spans="1:10" ht="18" customHeight="1">
      <c r="A15" s="534" t="s">
        <v>1234</v>
      </c>
      <c r="B15" s="534" t="s">
        <v>1242</v>
      </c>
      <c r="C15" s="535" t="s">
        <v>689</v>
      </c>
      <c r="D15" s="530">
        <f>VLOOKUP(C15,'급수계통별장래인구(출x)'!$C$5:$D$491,2,FALSE)</f>
        <v>810</v>
      </c>
      <c r="E15" s="518">
        <f t="shared" si="1"/>
        <v>6.2807738533710699E-3</v>
      </c>
      <c r="F15" s="541">
        <f t="shared" si="2"/>
        <v>832</v>
      </c>
      <c r="G15" s="530">
        <f t="shared" si="2"/>
        <v>819</v>
      </c>
      <c r="H15" s="530">
        <f t="shared" si="3"/>
        <v>837</v>
      </c>
      <c r="I15" s="530">
        <f t="shared" si="3"/>
        <v>856</v>
      </c>
      <c r="J15" s="530">
        <f t="shared" si="3"/>
        <v>870</v>
      </c>
    </row>
    <row r="16" spans="1:10" ht="18" customHeight="1">
      <c r="A16" s="534" t="s">
        <v>1234</v>
      </c>
      <c r="B16" s="534" t="s">
        <v>1242</v>
      </c>
      <c r="C16" s="535" t="s">
        <v>690</v>
      </c>
      <c r="D16" s="530">
        <f>VLOOKUP(C16,'급수계통별장래인구(출x)'!$C$5:$D$491,2,FALSE)</f>
        <v>346</v>
      </c>
      <c r="E16" s="518">
        <f t="shared" si="1"/>
        <v>2.6828984608227037E-3</v>
      </c>
      <c r="F16" s="541">
        <f t="shared" si="2"/>
        <v>355</v>
      </c>
      <c r="G16" s="530">
        <f t="shared" si="2"/>
        <v>350</v>
      </c>
      <c r="H16" s="530">
        <f t="shared" si="3"/>
        <v>357</v>
      </c>
      <c r="I16" s="530">
        <f t="shared" si="3"/>
        <v>365</v>
      </c>
      <c r="J16" s="530">
        <f t="shared" si="3"/>
        <v>372</v>
      </c>
    </row>
    <row r="17" spans="1:10" ht="18" customHeight="1">
      <c r="A17" s="534" t="s">
        <v>1234</v>
      </c>
      <c r="B17" s="534" t="s">
        <v>1242</v>
      </c>
      <c r="C17" s="535" t="s">
        <v>691</v>
      </c>
      <c r="D17" s="530">
        <f>VLOOKUP(C17,'급수계통별장래인구(출x)'!$C$5:$D$491,2,FALSE)</f>
        <v>928</v>
      </c>
      <c r="E17" s="518">
        <f t="shared" si="1"/>
        <v>7.1957507850967314E-3</v>
      </c>
      <c r="F17" s="541">
        <f t="shared" si="2"/>
        <v>953</v>
      </c>
      <c r="G17" s="530">
        <f t="shared" si="2"/>
        <v>939</v>
      </c>
      <c r="H17" s="530">
        <f t="shared" si="3"/>
        <v>958</v>
      </c>
      <c r="I17" s="530">
        <f t="shared" si="3"/>
        <v>980</v>
      </c>
      <c r="J17" s="530">
        <f t="shared" si="3"/>
        <v>997</v>
      </c>
    </row>
    <row r="18" spans="1:10" ht="18" customHeight="1">
      <c r="A18" s="534" t="s">
        <v>1234</v>
      </c>
      <c r="B18" s="534" t="s">
        <v>1243</v>
      </c>
      <c r="C18" s="535" t="s">
        <v>692</v>
      </c>
      <c r="D18" s="530">
        <f>VLOOKUP(C18,'급수계통별장래인구(출x)'!$C$5:$D$491,2,FALSE)</f>
        <v>257</v>
      </c>
      <c r="E18" s="518">
        <f t="shared" si="1"/>
        <v>1.9927887411313149E-3</v>
      </c>
      <c r="F18" s="541">
        <f t="shared" si="2"/>
        <v>264</v>
      </c>
      <c r="G18" s="530">
        <f t="shared" si="2"/>
        <v>260</v>
      </c>
      <c r="H18" s="530">
        <f t="shared" si="3"/>
        <v>265</v>
      </c>
      <c r="I18" s="530">
        <f t="shared" si="3"/>
        <v>271</v>
      </c>
      <c r="J18" s="530">
        <f t="shared" si="3"/>
        <v>276</v>
      </c>
    </row>
    <row r="19" spans="1:10" ht="18" customHeight="1">
      <c r="A19" s="534" t="s">
        <v>1234</v>
      </c>
      <c r="B19" s="534" t="s">
        <v>1243</v>
      </c>
      <c r="C19" s="535" t="s">
        <v>693</v>
      </c>
      <c r="D19" s="530">
        <f>VLOOKUP(C19,'급수계통별장래인구(출x)'!$C$5:$D$491,2,FALSE)</f>
        <v>151</v>
      </c>
      <c r="E19" s="518">
        <f t="shared" si="1"/>
        <v>1.1708603109370759E-3</v>
      </c>
      <c r="F19" s="541">
        <f t="shared" si="2"/>
        <v>155</v>
      </c>
      <c r="G19" s="530">
        <f t="shared" si="2"/>
        <v>153</v>
      </c>
      <c r="H19" s="530">
        <f t="shared" si="3"/>
        <v>156</v>
      </c>
      <c r="I19" s="530">
        <f t="shared" si="3"/>
        <v>159</v>
      </c>
      <c r="J19" s="530">
        <f t="shared" si="3"/>
        <v>162</v>
      </c>
    </row>
    <row r="20" spans="1:10" ht="18" customHeight="1">
      <c r="A20" s="534" t="s">
        <v>1234</v>
      </c>
      <c r="B20" s="534" t="s">
        <v>1243</v>
      </c>
      <c r="C20" s="535" t="s">
        <v>694</v>
      </c>
      <c r="D20" s="530">
        <f>VLOOKUP(C20,'급수계통별장래인구(출x)'!$C$5:$D$491,2,FALSE)</f>
        <v>236</v>
      </c>
      <c r="E20" s="518">
        <f t="shared" si="1"/>
        <v>1.8299538634513239E-3</v>
      </c>
      <c r="F20" s="541">
        <f t="shared" si="2"/>
        <v>242</v>
      </c>
      <c r="G20" s="530">
        <f t="shared" si="2"/>
        <v>239</v>
      </c>
      <c r="H20" s="530">
        <f t="shared" si="3"/>
        <v>244</v>
      </c>
      <c r="I20" s="530">
        <f t="shared" si="3"/>
        <v>249</v>
      </c>
      <c r="J20" s="530">
        <f t="shared" si="3"/>
        <v>254</v>
      </c>
    </row>
    <row r="21" spans="1:10" ht="18" customHeight="1">
      <c r="A21" s="534" t="s">
        <v>1234</v>
      </c>
      <c r="B21" s="534" t="s">
        <v>1243</v>
      </c>
      <c r="C21" s="535" t="s">
        <v>695</v>
      </c>
      <c r="D21" s="530">
        <f>VLOOKUP(C21,'급수계통별장래인구(출x)'!$C$5:$D$491,2,FALSE)</f>
        <v>525</v>
      </c>
      <c r="E21" s="518">
        <f t="shared" si="1"/>
        <v>4.0708719419997675E-3</v>
      </c>
      <c r="F21" s="541">
        <f t="shared" si="2"/>
        <v>539</v>
      </c>
      <c r="G21" s="530">
        <f t="shared" si="2"/>
        <v>531</v>
      </c>
      <c r="H21" s="530">
        <f t="shared" si="2"/>
        <v>542</v>
      </c>
      <c r="I21" s="530">
        <f t="shared" si="2"/>
        <v>555</v>
      </c>
      <c r="J21" s="530">
        <f t="shared" si="2"/>
        <v>564</v>
      </c>
    </row>
    <row r="22" spans="1:10" ht="18" customHeight="1">
      <c r="A22" s="534" t="s">
        <v>1234</v>
      </c>
      <c r="B22" s="534" t="s">
        <v>1243</v>
      </c>
      <c r="C22" s="535" t="s">
        <v>1206</v>
      </c>
      <c r="D22" s="530">
        <f>VLOOKUP(C22,'급수계통별장래인구(출x)'!$C$5:$D$491,2,FALSE)</f>
        <v>673</v>
      </c>
      <c r="E22" s="518">
        <f t="shared" si="1"/>
        <v>5.2184701275539876E-3</v>
      </c>
      <c r="F22" s="541">
        <f t="shared" si="2"/>
        <v>691</v>
      </c>
      <c r="G22" s="530">
        <f t="shared" si="2"/>
        <v>681</v>
      </c>
      <c r="H22" s="530">
        <f t="shared" si="2"/>
        <v>695</v>
      </c>
      <c r="I22" s="530">
        <f t="shared" si="2"/>
        <v>711</v>
      </c>
      <c r="J22" s="530">
        <f t="shared" si="2"/>
        <v>723</v>
      </c>
    </row>
    <row r="23" spans="1:10" ht="18" customHeight="1">
      <c r="A23" s="534" t="s">
        <v>1234</v>
      </c>
      <c r="B23" s="534" t="s">
        <v>1244</v>
      </c>
      <c r="C23" s="535" t="s">
        <v>697</v>
      </c>
      <c r="D23" s="530">
        <f>VLOOKUP(C23,'급수계통별장래인구(출x)'!$C$5:$D$491,2,FALSE)</f>
        <v>191</v>
      </c>
      <c r="E23" s="518">
        <f t="shared" si="1"/>
        <v>1.4810219827084868E-3</v>
      </c>
      <c r="F23" s="541">
        <f t="shared" si="2"/>
        <v>196</v>
      </c>
      <c r="G23" s="530">
        <f t="shared" si="2"/>
        <v>193</v>
      </c>
      <c r="H23" s="530">
        <f t="shared" si="2"/>
        <v>197</v>
      </c>
      <c r="I23" s="530">
        <f t="shared" si="2"/>
        <v>202</v>
      </c>
      <c r="J23" s="530">
        <f t="shared" si="2"/>
        <v>205</v>
      </c>
    </row>
    <row r="24" spans="1:10" ht="18" customHeight="1">
      <c r="A24" s="534" t="s">
        <v>1234</v>
      </c>
      <c r="B24" s="534" t="s">
        <v>1244</v>
      </c>
      <c r="C24" s="535" t="s">
        <v>698</v>
      </c>
      <c r="D24" s="530">
        <f>VLOOKUP(C24,'급수계통별장래인구(출x)'!$C$5:$D$491,2,FALSE)</f>
        <v>364</v>
      </c>
      <c r="E24" s="518">
        <f t="shared" si="1"/>
        <v>2.8224712131198386E-3</v>
      </c>
      <c r="F24" s="541">
        <f t="shared" si="2"/>
        <v>374</v>
      </c>
      <c r="G24" s="530">
        <f t="shared" si="2"/>
        <v>368</v>
      </c>
      <c r="H24" s="530">
        <f t="shared" si="2"/>
        <v>376</v>
      </c>
      <c r="I24" s="530">
        <f t="shared" si="2"/>
        <v>384</v>
      </c>
      <c r="J24" s="530">
        <f t="shared" si="2"/>
        <v>391</v>
      </c>
    </row>
    <row r="25" spans="1:10" ht="18" customHeight="1">
      <c r="A25" s="534" t="s">
        <v>1234</v>
      </c>
      <c r="B25" s="534" t="s">
        <v>1244</v>
      </c>
      <c r="C25" s="535" t="s">
        <v>699</v>
      </c>
      <c r="D25" s="530">
        <f>VLOOKUP(C25,'급수계통별장래인구(출x)'!$C$5:$D$491,2,FALSE)</f>
        <v>223</v>
      </c>
      <c r="E25" s="518">
        <f t="shared" si="1"/>
        <v>1.7291513201256154E-3</v>
      </c>
      <c r="F25" s="541">
        <f t="shared" si="2"/>
        <v>229</v>
      </c>
      <c r="G25" s="530">
        <f t="shared" si="2"/>
        <v>226</v>
      </c>
      <c r="H25" s="530">
        <f t="shared" si="2"/>
        <v>230</v>
      </c>
      <c r="I25" s="530">
        <f t="shared" si="2"/>
        <v>236</v>
      </c>
      <c r="J25" s="530">
        <f t="shared" si="2"/>
        <v>240</v>
      </c>
    </row>
    <row r="26" spans="1:10" ht="18" customHeight="1">
      <c r="A26" s="534" t="s">
        <v>1234</v>
      </c>
      <c r="B26" s="534" t="s">
        <v>1244</v>
      </c>
      <c r="C26" s="535" t="s">
        <v>700</v>
      </c>
      <c r="D26" s="530">
        <f>VLOOKUP(C26,'급수계통별장래인구(출x)'!$C$5:$D$491,2,FALSE)</f>
        <v>305</v>
      </c>
      <c r="E26" s="518">
        <f t="shared" si="1"/>
        <v>2.3649827472570079E-3</v>
      </c>
      <c r="F26" s="541">
        <f t="shared" si="2"/>
        <v>313</v>
      </c>
      <c r="G26" s="530">
        <f t="shared" si="2"/>
        <v>309</v>
      </c>
      <c r="H26" s="530">
        <f t="shared" si="2"/>
        <v>315</v>
      </c>
      <c r="I26" s="530">
        <f t="shared" si="2"/>
        <v>322</v>
      </c>
      <c r="J26" s="530">
        <f t="shared" si="2"/>
        <v>328</v>
      </c>
    </row>
    <row r="27" spans="1:10" ht="18" customHeight="1">
      <c r="A27" s="534" t="s">
        <v>1234</v>
      </c>
      <c r="B27" s="534" t="s">
        <v>1244</v>
      </c>
      <c r="C27" s="535" t="s">
        <v>701</v>
      </c>
      <c r="D27" s="530">
        <f>VLOOKUP(C27,'급수계통별장래인구(출x)'!$C$5:$D$491,2,FALSE)</f>
        <v>416</v>
      </c>
      <c r="E27" s="518">
        <f t="shared" si="1"/>
        <v>3.2256813864226727E-3</v>
      </c>
      <c r="F27" s="541">
        <f t="shared" si="2"/>
        <v>427</v>
      </c>
      <c r="G27" s="530">
        <f t="shared" si="2"/>
        <v>421</v>
      </c>
      <c r="H27" s="530">
        <f t="shared" si="2"/>
        <v>430</v>
      </c>
      <c r="I27" s="530">
        <f t="shared" si="2"/>
        <v>439</v>
      </c>
      <c r="J27" s="530">
        <f t="shared" si="2"/>
        <v>447</v>
      </c>
    </row>
    <row r="28" spans="1:10" ht="18" customHeight="1">
      <c r="A28" s="534" t="s">
        <v>1234</v>
      </c>
      <c r="B28" s="534" t="s">
        <v>1245</v>
      </c>
      <c r="C28" s="535" t="s">
        <v>702</v>
      </c>
      <c r="D28" s="530">
        <f>VLOOKUP(C28,'급수계통별장래인구(출x)'!$C$5:$D$491,2,FALSE)</f>
        <v>246</v>
      </c>
      <c r="E28" s="518">
        <f t="shared" si="1"/>
        <v>1.9074942813941767E-3</v>
      </c>
      <c r="F28" s="541">
        <f t="shared" si="2"/>
        <v>253</v>
      </c>
      <c r="G28" s="530">
        <f t="shared" si="2"/>
        <v>249</v>
      </c>
      <c r="H28" s="530">
        <f t="shared" si="2"/>
        <v>254</v>
      </c>
      <c r="I28" s="530">
        <f t="shared" si="2"/>
        <v>260</v>
      </c>
      <c r="J28" s="530">
        <f t="shared" si="2"/>
        <v>264</v>
      </c>
    </row>
    <row r="29" spans="1:10" ht="18" customHeight="1">
      <c r="A29" s="534" t="s">
        <v>1234</v>
      </c>
      <c r="B29" s="534" t="s">
        <v>1245</v>
      </c>
      <c r="C29" s="535" t="s">
        <v>703</v>
      </c>
      <c r="D29" s="530">
        <f>VLOOKUP(C29,'급수계통별장래인구(출x)'!$C$5:$D$491,2,FALSE)</f>
        <v>597</v>
      </c>
      <c r="E29" s="518">
        <f t="shared" si="1"/>
        <v>4.629162951188307E-3</v>
      </c>
      <c r="F29" s="541">
        <f t="shared" si="2"/>
        <v>613</v>
      </c>
      <c r="G29" s="530">
        <f t="shared" si="2"/>
        <v>604</v>
      </c>
      <c r="H29" s="530">
        <f t="shared" si="2"/>
        <v>617</v>
      </c>
      <c r="I29" s="530">
        <f t="shared" si="2"/>
        <v>631</v>
      </c>
      <c r="J29" s="530">
        <f t="shared" si="2"/>
        <v>641</v>
      </c>
    </row>
    <row r="30" spans="1:10" ht="18" customHeight="1">
      <c r="A30" s="534" t="s">
        <v>1234</v>
      </c>
      <c r="B30" s="534" t="s">
        <v>1245</v>
      </c>
      <c r="C30" s="535" t="s">
        <v>704</v>
      </c>
      <c r="D30" s="530">
        <f>VLOOKUP(C30,'급수계통별장래인구(출x)'!$C$5:$D$491,2,FALSE)</f>
        <v>779</v>
      </c>
      <c r="E30" s="518">
        <f t="shared" si="1"/>
        <v>6.0403985577482259E-3</v>
      </c>
      <c r="F30" s="541">
        <f t="shared" si="2"/>
        <v>800</v>
      </c>
      <c r="G30" s="530">
        <f t="shared" si="2"/>
        <v>788</v>
      </c>
      <c r="H30" s="530">
        <f t="shared" si="2"/>
        <v>805</v>
      </c>
      <c r="I30" s="530">
        <f t="shared" si="2"/>
        <v>823</v>
      </c>
      <c r="J30" s="530">
        <f t="shared" si="2"/>
        <v>837</v>
      </c>
    </row>
    <row r="31" spans="1:10" ht="18" customHeight="1">
      <c r="A31" s="534" t="s">
        <v>1234</v>
      </c>
      <c r="B31" s="534" t="s">
        <v>1246</v>
      </c>
      <c r="C31" s="535" t="s">
        <v>705</v>
      </c>
      <c r="D31" s="530">
        <f>VLOOKUP(C31,'급수계통별장래인구(출x)'!$C$5:$D$491,2,FALSE)</f>
        <v>197</v>
      </c>
      <c r="E31" s="518">
        <f t="shared" si="1"/>
        <v>1.5275462334741984E-3</v>
      </c>
      <c r="F31" s="541">
        <f t="shared" si="2"/>
        <v>202</v>
      </c>
      <c r="G31" s="530">
        <f t="shared" si="2"/>
        <v>199</v>
      </c>
      <c r="H31" s="530">
        <f t="shared" si="2"/>
        <v>203</v>
      </c>
      <c r="I31" s="530">
        <f t="shared" si="2"/>
        <v>208</v>
      </c>
      <c r="J31" s="530">
        <f t="shared" si="2"/>
        <v>212</v>
      </c>
    </row>
    <row r="32" spans="1:10" ht="18" customHeight="1">
      <c r="A32" s="534" t="s">
        <v>1234</v>
      </c>
      <c r="B32" s="534" t="s">
        <v>1246</v>
      </c>
      <c r="C32" s="535" t="s">
        <v>706</v>
      </c>
      <c r="D32" s="530">
        <f>VLOOKUP(C32,'급수계통별장래인구(출x)'!$C$5:$D$491,2,FALSE)</f>
        <v>183</v>
      </c>
      <c r="E32" s="518">
        <f t="shared" si="1"/>
        <v>1.4189896483542046E-3</v>
      </c>
      <c r="F32" s="541">
        <f t="shared" si="2"/>
        <v>188</v>
      </c>
      <c r="G32" s="530">
        <f t="shared" si="2"/>
        <v>185</v>
      </c>
      <c r="H32" s="530">
        <f t="shared" si="2"/>
        <v>189</v>
      </c>
      <c r="I32" s="530">
        <f t="shared" si="2"/>
        <v>193</v>
      </c>
      <c r="J32" s="530">
        <f t="shared" si="2"/>
        <v>197</v>
      </c>
    </row>
    <row r="33" spans="1:10" ht="18" customHeight="1">
      <c r="A33" s="537" t="s">
        <v>1207</v>
      </c>
      <c r="B33" s="580" t="s">
        <v>1411</v>
      </c>
      <c r="C33" s="581"/>
      <c r="D33" s="538">
        <f>SUM(D34:D91)</f>
        <v>16342</v>
      </c>
      <c r="E33" s="538"/>
      <c r="F33" s="538">
        <f t="shared" ref="F33" si="4">SUM(F34:F91)</f>
        <v>16784</v>
      </c>
      <c r="G33" s="538">
        <f t="shared" ref="G33:J33" si="5">SUM(G34:G91)</f>
        <v>16535</v>
      </c>
      <c r="H33" s="538">
        <f t="shared" si="5"/>
        <v>16879</v>
      </c>
      <c r="I33" s="538">
        <f t="shared" si="5"/>
        <v>17263</v>
      </c>
      <c r="J33" s="538">
        <f t="shared" si="5"/>
        <v>17559</v>
      </c>
    </row>
    <row r="34" spans="1:10" ht="18" customHeight="1">
      <c r="A34" s="534" t="s">
        <v>1207</v>
      </c>
      <c r="B34" s="534" t="s">
        <v>1247</v>
      </c>
      <c r="C34" s="535" t="s">
        <v>707</v>
      </c>
      <c r="D34" s="530">
        <f>VLOOKUP(C34,'급수계통별장래인구(출x)'!$C$5:$D$491,2,FALSE)</f>
        <v>747</v>
      </c>
      <c r="E34" s="518">
        <f t="shared" ref="E34:E91" si="6">D34/$D$3</f>
        <v>5.7922692203310972E-3</v>
      </c>
      <c r="F34" s="541">
        <f t="shared" ref="F34:J65" si="7">ROUND($E34*F$3,0)</f>
        <v>767</v>
      </c>
      <c r="G34" s="530">
        <f t="shared" si="7"/>
        <v>756</v>
      </c>
      <c r="H34" s="530">
        <f t="shared" si="7"/>
        <v>772</v>
      </c>
      <c r="I34" s="530">
        <f t="shared" si="7"/>
        <v>789</v>
      </c>
      <c r="J34" s="530">
        <f t="shared" si="7"/>
        <v>803</v>
      </c>
    </row>
    <row r="35" spans="1:10" ht="18" customHeight="1">
      <c r="A35" s="534" t="s">
        <v>1207</v>
      </c>
      <c r="B35" s="534" t="s">
        <v>1247</v>
      </c>
      <c r="C35" s="535" t="s">
        <v>708</v>
      </c>
      <c r="D35" s="530">
        <f>VLOOKUP(C35,'급수계통별장래인구(출x)'!$C$5:$D$491,2,FALSE)</f>
        <v>370</v>
      </c>
      <c r="E35" s="518">
        <f t="shared" si="6"/>
        <v>2.8689954638855503E-3</v>
      </c>
      <c r="F35" s="541">
        <f t="shared" si="7"/>
        <v>380</v>
      </c>
      <c r="G35" s="530">
        <f t="shared" si="7"/>
        <v>374</v>
      </c>
      <c r="H35" s="530">
        <f t="shared" si="7"/>
        <v>382</v>
      </c>
      <c r="I35" s="530">
        <f t="shared" si="7"/>
        <v>391</v>
      </c>
      <c r="J35" s="530">
        <f t="shared" si="7"/>
        <v>398</v>
      </c>
    </row>
    <row r="36" spans="1:10" ht="18" customHeight="1">
      <c r="A36" s="534" t="s">
        <v>1207</v>
      </c>
      <c r="B36" s="534" t="s">
        <v>1247</v>
      </c>
      <c r="C36" s="535" t="s">
        <v>709</v>
      </c>
      <c r="D36" s="530">
        <f>VLOOKUP(C36,'급수계통별장래인구(출x)'!$C$5:$D$491,2,FALSE)</f>
        <v>339</v>
      </c>
      <c r="E36" s="518">
        <f t="shared" si="6"/>
        <v>2.6286201682627071E-3</v>
      </c>
      <c r="F36" s="541">
        <f t="shared" si="7"/>
        <v>348</v>
      </c>
      <c r="G36" s="530">
        <f t="shared" si="7"/>
        <v>343</v>
      </c>
      <c r="H36" s="530">
        <f t="shared" si="7"/>
        <v>350</v>
      </c>
      <c r="I36" s="530">
        <f t="shared" si="7"/>
        <v>358</v>
      </c>
      <c r="J36" s="530">
        <f t="shared" si="7"/>
        <v>364</v>
      </c>
    </row>
    <row r="37" spans="1:10" ht="18" customHeight="1">
      <c r="A37" s="534" t="s">
        <v>1207</v>
      </c>
      <c r="B37" s="534" t="s">
        <v>1247</v>
      </c>
      <c r="C37" s="535" t="s">
        <v>710</v>
      </c>
      <c r="D37" s="530">
        <f>VLOOKUP(C37,'급수계통별장래인구(출x)'!$C$5:$D$491,2,FALSE)</f>
        <v>243</v>
      </c>
      <c r="E37" s="518">
        <f t="shared" si="6"/>
        <v>1.8842321560113208E-3</v>
      </c>
      <c r="F37" s="541">
        <f t="shared" si="7"/>
        <v>250</v>
      </c>
      <c r="G37" s="530">
        <f t="shared" si="7"/>
        <v>246</v>
      </c>
      <c r="H37" s="530">
        <f t="shared" si="7"/>
        <v>251</v>
      </c>
      <c r="I37" s="530">
        <f t="shared" si="7"/>
        <v>257</v>
      </c>
      <c r="J37" s="530">
        <f t="shared" si="7"/>
        <v>261</v>
      </c>
    </row>
    <row r="38" spans="1:10" ht="18" customHeight="1">
      <c r="A38" s="534" t="s">
        <v>1207</v>
      </c>
      <c r="B38" s="534" t="s">
        <v>1248</v>
      </c>
      <c r="C38" s="535" t="s">
        <v>711</v>
      </c>
      <c r="D38" s="530">
        <f>VLOOKUP(C38,'급수계통별장래인구(출x)'!$C$5:$D$491,2,FALSE)</f>
        <v>117</v>
      </c>
      <c r="E38" s="518">
        <f t="shared" si="6"/>
        <v>9.072228899313767E-4</v>
      </c>
      <c r="F38" s="541">
        <f t="shared" si="7"/>
        <v>120</v>
      </c>
      <c r="G38" s="530">
        <f t="shared" si="7"/>
        <v>118</v>
      </c>
      <c r="H38" s="530">
        <f t="shared" si="7"/>
        <v>121</v>
      </c>
      <c r="I38" s="530">
        <f t="shared" si="7"/>
        <v>124</v>
      </c>
      <c r="J38" s="530">
        <f t="shared" si="7"/>
        <v>126</v>
      </c>
    </row>
    <row r="39" spans="1:10" ht="18" customHeight="1">
      <c r="A39" s="534" t="s">
        <v>1207</v>
      </c>
      <c r="B39" s="534" t="s">
        <v>1248</v>
      </c>
      <c r="C39" s="535" t="s">
        <v>712</v>
      </c>
      <c r="D39" s="530">
        <f>VLOOKUP(C39,'급수계통별장래인구(출x)'!$C$5:$D$491,2,FALSE)</f>
        <v>153</v>
      </c>
      <c r="E39" s="518">
        <f t="shared" si="6"/>
        <v>1.1863683945256465E-3</v>
      </c>
      <c r="F39" s="541">
        <f t="shared" si="7"/>
        <v>157</v>
      </c>
      <c r="G39" s="530">
        <f t="shared" si="7"/>
        <v>155</v>
      </c>
      <c r="H39" s="530">
        <f t="shared" si="7"/>
        <v>158</v>
      </c>
      <c r="I39" s="530">
        <f t="shared" si="7"/>
        <v>162</v>
      </c>
      <c r="J39" s="530">
        <f t="shared" si="7"/>
        <v>164</v>
      </c>
    </row>
    <row r="40" spans="1:10" ht="18" customHeight="1">
      <c r="A40" s="534" t="s">
        <v>1207</v>
      </c>
      <c r="B40" s="534" t="s">
        <v>1249</v>
      </c>
      <c r="C40" s="535" t="s">
        <v>713</v>
      </c>
      <c r="D40" s="530">
        <f>VLOOKUP(C40,'급수계통별장래인구(출x)'!$C$5:$D$491,2,FALSE)</f>
        <v>374</v>
      </c>
      <c r="E40" s="518">
        <f t="shared" si="6"/>
        <v>2.9000116310626913E-3</v>
      </c>
      <c r="F40" s="541">
        <f t="shared" si="7"/>
        <v>384</v>
      </c>
      <c r="G40" s="530">
        <f t="shared" si="7"/>
        <v>378</v>
      </c>
      <c r="H40" s="530">
        <f t="shared" si="7"/>
        <v>386</v>
      </c>
      <c r="I40" s="530">
        <f t="shared" si="7"/>
        <v>395</v>
      </c>
      <c r="J40" s="530">
        <f t="shared" si="7"/>
        <v>402</v>
      </c>
    </row>
    <row r="41" spans="1:10" ht="18" customHeight="1">
      <c r="A41" s="534" t="s">
        <v>1207</v>
      </c>
      <c r="B41" s="534" t="s">
        <v>1249</v>
      </c>
      <c r="C41" s="535" t="s">
        <v>714</v>
      </c>
      <c r="D41" s="530">
        <f>VLOOKUP(C41,'급수계통별장래인구(출x)'!$C$5:$D$491,2,FALSE)</f>
        <v>309</v>
      </c>
      <c r="E41" s="518">
        <f t="shared" si="6"/>
        <v>2.3959989144341489E-3</v>
      </c>
      <c r="F41" s="541">
        <f t="shared" si="7"/>
        <v>317</v>
      </c>
      <c r="G41" s="530">
        <f t="shared" si="7"/>
        <v>313</v>
      </c>
      <c r="H41" s="530">
        <f t="shared" si="7"/>
        <v>319</v>
      </c>
      <c r="I41" s="530">
        <f t="shared" si="7"/>
        <v>326</v>
      </c>
      <c r="J41" s="530">
        <f t="shared" si="7"/>
        <v>332</v>
      </c>
    </row>
    <row r="42" spans="1:10" ht="18" customHeight="1">
      <c r="A42" s="534" t="s">
        <v>1207</v>
      </c>
      <c r="B42" s="534" t="s">
        <v>1249</v>
      </c>
      <c r="C42" s="535" t="s">
        <v>715</v>
      </c>
      <c r="D42" s="530">
        <f>VLOOKUP(C42,'급수계통별장래인구(출x)'!$C$5:$D$491,2,FALSE)</f>
        <v>234</v>
      </c>
      <c r="E42" s="518">
        <f t="shared" si="6"/>
        <v>1.8144457798627534E-3</v>
      </c>
      <c r="F42" s="541">
        <f t="shared" si="7"/>
        <v>240</v>
      </c>
      <c r="G42" s="530">
        <f t="shared" si="7"/>
        <v>237</v>
      </c>
      <c r="H42" s="530">
        <f t="shared" si="7"/>
        <v>242</v>
      </c>
      <c r="I42" s="530">
        <f t="shared" si="7"/>
        <v>247</v>
      </c>
      <c r="J42" s="530">
        <f t="shared" si="7"/>
        <v>251</v>
      </c>
    </row>
    <row r="43" spans="1:10" ht="18" customHeight="1">
      <c r="A43" s="534" t="s">
        <v>1207</v>
      </c>
      <c r="B43" s="534" t="s">
        <v>1249</v>
      </c>
      <c r="C43" s="535" t="s">
        <v>716</v>
      </c>
      <c r="D43" s="530">
        <f>VLOOKUP(C43,'급수계통별장래인구(출x)'!$C$5:$D$491,2,FALSE)</f>
        <v>154</v>
      </c>
      <c r="E43" s="518">
        <f t="shared" si="6"/>
        <v>1.1941224363199317E-3</v>
      </c>
      <c r="F43" s="541">
        <f t="shared" si="7"/>
        <v>158</v>
      </c>
      <c r="G43" s="530">
        <f t="shared" si="7"/>
        <v>156</v>
      </c>
      <c r="H43" s="530">
        <f t="shared" si="7"/>
        <v>159</v>
      </c>
      <c r="I43" s="530">
        <f t="shared" si="7"/>
        <v>163</v>
      </c>
      <c r="J43" s="530">
        <f t="shared" si="7"/>
        <v>165</v>
      </c>
    </row>
    <row r="44" spans="1:10" ht="18" customHeight="1">
      <c r="A44" s="534" t="s">
        <v>1207</v>
      </c>
      <c r="B44" s="534" t="s">
        <v>1250</v>
      </c>
      <c r="C44" s="535" t="s">
        <v>717</v>
      </c>
      <c r="D44" s="530">
        <f>VLOOKUP(C44,'급수계통별장래인구(출x)'!$C$5:$D$491,2,FALSE)</f>
        <v>168</v>
      </c>
      <c r="E44" s="518">
        <f t="shared" si="6"/>
        <v>1.3026790214399255E-3</v>
      </c>
      <c r="F44" s="541">
        <f t="shared" si="7"/>
        <v>173</v>
      </c>
      <c r="G44" s="530">
        <f t="shared" si="7"/>
        <v>170</v>
      </c>
      <c r="H44" s="530">
        <f t="shared" si="7"/>
        <v>174</v>
      </c>
      <c r="I44" s="530">
        <f t="shared" si="7"/>
        <v>177</v>
      </c>
      <c r="J44" s="530">
        <f t="shared" si="7"/>
        <v>181</v>
      </c>
    </row>
    <row r="45" spans="1:10" ht="18" customHeight="1">
      <c r="A45" s="534" t="s">
        <v>1207</v>
      </c>
      <c r="B45" s="534" t="s">
        <v>1250</v>
      </c>
      <c r="C45" s="535" t="s">
        <v>718</v>
      </c>
      <c r="D45" s="530">
        <f>VLOOKUP(C45,'급수계통별장래인구(출x)'!$C$5:$D$491,2,FALSE)</f>
        <v>333</v>
      </c>
      <c r="E45" s="518">
        <f t="shared" si="6"/>
        <v>2.5820959174969954E-3</v>
      </c>
      <c r="F45" s="541">
        <f t="shared" si="7"/>
        <v>342</v>
      </c>
      <c r="G45" s="530">
        <f t="shared" si="7"/>
        <v>337</v>
      </c>
      <c r="H45" s="530">
        <f t="shared" si="7"/>
        <v>344</v>
      </c>
      <c r="I45" s="530">
        <f t="shared" si="7"/>
        <v>352</v>
      </c>
      <c r="J45" s="530">
        <f t="shared" si="7"/>
        <v>358</v>
      </c>
    </row>
    <row r="46" spans="1:10" ht="18" customHeight="1">
      <c r="A46" s="534" t="s">
        <v>1207</v>
      </c>
      <c r="B46" s="534" t="s">
        <v>1250</v>
      </c>
      <c r="C46" s="535" t="s">
        <v>719</v>
      </c>
      <c r="D46" s="530">
        <f>VLOOKUP(C46,'급수계통별장래인구(출x)'!$C$5:$D$491,2,FALSE)</f>
        <v>598</v>
      </c>
      <c r="E46" s="518">
        <f t="shared" si="6"/>
        <v>4.6369169929825925E-3</v>
      </c>
      <c r="F46" s="541">
        <f t="shared" si="7"/>
        <v>614</v>
      </c>
      <c r="G46" s="530">
        <f t="shared" si="7"/>
        <v>605</v>
      </c>
      <c r="H46" s="530">
        <f t="shared" si="7"/>
        <v>618</v>
      </c>
      <c r="I46" s="530">
        <f t="shared" si="7"/>
        <v>632</v>
      </c>
      <c r="J46" s="530">
        <f t="shared" si="7"/>
        <v>642</v>
      </c>
    </row>
    <row r="47" spans="1:10" ht="18" customHeight="1">
      <c r="A47" s="534" t="s">
        <v>1207</v>
      </c>
      <c r="B47" s="534" t="s">
        <v>1250</v>
      </c>
      <c r="C47" s="535" t="s">
        <v>720</v>
      </c>
      <c r="D47" s="530">
        <f>VLOOKUP(C47,'급수계통별장래인구(출x)'!$C$5:$D$491,2,FALSE)</f>
        <v>186</v>
      </c>
      <c r="E47" s="518">
        <f t="shared" si="6"/>
        <v>1.4422517737370604E-3</v>
      </c>
      <c r="F47" s="541">
        <f t="shared" si="7"/>
        <v>191</v>
      </c>
      <c r="G47" s="530">
        <f t="shared" si="7"/>
        <v>188</v>
      </c>
      <c r="H47" s="530">
        <f t="shared" si="7"/>
        <v>192</v>
      </c>
      <c r="I47" s="530">
        <f t="shared" si="7"/>
        <v>196</v>
      </c>
      <c r="J47" s="530">
        <f t="shared" si="7"/>
        <v>200</v>
      </c>
    </row>
    <row r="48" spans="1:10" ht="18" customHeight="1">
      <c r="A48" s="534" t="s">
        <v>1207</v>
      </c>
      <c r="B48" s="534" t="s">
        <v>1250</v>
      </c>
      <c r="C48" s="535" t="s">
        <v>721</v>
      </c>
      <c r="D48" s="530">
        <f>VLOOKUP(C48,'급수계통별장래인구(출x)'!$C$5:$D$491,2,FALSE)</f>
        <v>101</v>
      </c>
      <c r="E48" s="518">
        <f t="shared" si="6"/>
        <v>7.8315822122281237E-4</v>
      </c>
      <c r="F48" s="541">
        <f t="shared" si="7"/>
        <v>104</v>
      </c>
      <c r="G48" s="530">
        <f t="shared" si="7"/>
        <v>102</v>
      </c>
      <c r="H48" s="530">
        <f t="shared" si="7"/>
        <v>104</v>
      </c>
      <c r="I48" s="530">
        <f t="shared" si="7"/>
        <v>107</v>
      </c>
      <c r="J48" s="530">
        <f t="shared" si="7"/>
        <v>109</v>
      </c>
    </row>
    <row r="49" spans="1:10" ht="18" customHeight="1">
      <c r="A49" s="534" t="s">
        <v>1207</v>
      </c>
      <c r="B49" s="534" t="s">
        <v>1250</v>
      </c>
      <c r="C49" s="535" t="s">
        <v>722</v>
      </c>
      <c r="D49" s="530">
        <f>VLOOKUP(C49,'급수계통별장래인구(출x)'!$C$5:$D$491,2,FALSE)</f>
        <v>172</v>
      </c>
      <c r="E49" s="518">
        <f t="shared" si="6"/>
        <v>1.3336951886170666E-3</v>
      </c>
      <c r="F49" s="541">
        <f t="shared" si="7"/>
        <v>177</v>
      </c>
      <c r="G49" s="530">
        <f t="shared" si="7"/>
        <v>174</v>
      </c>
      <c r="H49" s="530">
        <f t="shared" si="7"/>
        <v>178</v>
      </c>
      <c r="I49" s="530">
        <f t="shared" si="7"/>
        <v>182</v>
      </c>
      <c r="J49" s="530">
        <f t="shared" si="7"/>
        <v>185</v>
      </c>
    </row>
    <row r="50" spans="1:10" ht="18" customHeight="1">
      <c r="A50" s="534" t="s">
        <v>1207</v>
      </c>
      <c r="B50" s="534" t="s">
        <v>1250</v>
      </c>
      <c r="C50" s="535" t="s">
        <v>723</v>
      </c>
      <c r="D50" s="530">
        <f>VLOOKUP(C50,'급수계통별장래인구(출x)'!$C$5:$D$491,2,FALSE)</f>
        <v>706</v>
      </c>
      <c r="E50" s="518">
        <f t="shared" si="6"/>
        <v>5.4743535067654017E-3</v>
      </c>
      <c r="F50" s="541">
        <f t="shared" si="7"/>
        <v>725</v>
      </c>
      <c r="G50" s="530">
        <f t="shared" si="7"/>
        <v>714</v>
      </c>
      <c r="H50" s="530">
        <f t="shared" si="7"/>
        <v>729</v>
      </c>
      <c r="I50" s="530">
        <f t="shared" si="7"/>
        <v>746</v>
      </c>
      <c r="J50" s="530">
        <f t="shared" si="7"/>
        <v>759</v>
      </c>
    </row>
    <row r="51" spans="1:10" ht="18" customHeight="1">
      <c r="A51" s="534" t="s">
        <v>1207</v>
      </c>
      <c r="B51" s="534" t="s">
        <v>1250</v>
      </c>
      <c r="C51" s="535" t="s">
        <v>724</v>
      </c>
      <c r="D51" s="530">
        <f>VLOOKUP(C51,'급수계통별장래인구(출x)'!$C$5:$D$491,2,FALSE)</f>
        <v>216</v>
      </c>
      <c r="E51" s="518">
        <f t="shared" si="6"/>
        <v>1.6748730275656185E-3</v>
      </c>
      <c r="F51" s="541">
        <f t="shared" si="7"/>
        <v>222</v>
      </c>
      <c r="G51" s="530">
        <f t="shared" si="7"/>
        <v>219</v>
      </c>
      <c r="H51" s="530">
        <f t="shared" si="7"/>
        <v>223</v>
      </c>
      <c r="I51" s="530">
        <f t="shared" si="7"/>
        <v>228</v>
      </c>
      <c r="J51" s="530">
        <f t="shared" si="7"/>
        <v>232</v>
      </c>
    </row>
    <row r="52" spans="1:10" ht="18" customHeight="1">
      <c r="A52" s="534" t="s">
        <v>1207</v>
      </c>
      <c r="B52" s="534" t="s">
        <v>1250</v>
      </c>
      <c r="C52" s="535" t="s">
        <v>725</v>
      </c>
      <c r="D52" s="530">
        <f>VLOOKUP(C52,'급수계통별장래인구(출x)'!$C$5:$D$491,2,FALSE)</f>
        <v>1109</v>
      </c>
      <c r="E52" s="518">
        <f t="shared" si="6"/>
        <v>8.5992323498623666E-3</v>
      </c>
      <c r="F52" s="541">
        <f t="shared" si="7"/>
        <v>1139</v>
      </c>
      <c r="G52" s="530">
        <f t="shared" si="7"/>
        <v>1122</v>
      </c>
      <c r="H52" s="530">
        <f t="shared" si="7"/>
        <v>1145</v>
      </c>
      <c r="I52" s="530">
        <f t="shared" si="7"/>
        <v>1171</v>
      </c>
      <c r="J52" s="530">
        <f t="shared" si="7"/>
        <v>1192</v>
      </c>
    </row>
    <row r="53" spans="1:10" ht="18" customHeight="1">
      <c r="A53" s="534" t="s">
        <v>1207</v>
      </c>
      <c r="B53" s="534" t="s">
        <v>1251</v>
      </c>
      <c r="C53" s="535" t="s">
        <v>726</v>
      </c>
      <c r="D53" s="530">
        <f>VLOOKUP(C53,'급수계통별장래인구(출x)'!$C$5:$D$491,2,FALSE)</f>
        <v>189</v>
      </c>
      <c r="E53" s="518">
        <f t="shared" si="6"/>
        <v>1.4655138991199162E-3</v>
      </c>
      <c r="F53" s="541">
        <f t="shared" si="7"/>
        <v>194</v>
      </c>
      <c r="G53" s="530">
        <f t="shared" si="7"/>
        <v>191</v>
      </c>
      <c r="H53" s="530">
        <f t="shared" si="7"/>
        <v>195</v>
      </c>
      <c r="I53" s="530">
        <f t="shared" si="7"/>
        <v>200</v>
      </c>
      <c r="J53" s="530">
        <f t="shared" si="7"/>
        <v>203</v>
      </c>
    </row>
    <row r="54" spans="1:10" ht="18" customHeight="1">
      <c r="A54" s="534" t="s">
        <v>1207</v>
      </c>
      <c r="B54" s="534" t="s">
        <v>1251</v>
      </c>
      <c r="C54" s="535" t="s">
        <v>727</v>
      </c>
      <c r="D54" s="530">
        <f>VLOOKUP(C54,'급수계통별장래인구(출x)'!$C$5:$D$491,2,FALSE)</f>
        <v>72</v>
      </c>
      <c r="E54" s="518">
        <f t="shared" si="6"/>
        <v>5.5829100918853951E-4</v>
      </c>
      <c r="F54" s="541">
        <f t="shared" si="7"/>
        <v>74</v>
      </c>
      <c r="G54" s="530">
        <f t="shared" si="7"/>
        <v>73</v>
      </c>
      <c r="H54" s="530">
        <f t="shared" si="7"/>
        <v>74</v>
      </c>
      <c r="I54" s="530">
        <f t="shared" si="7"/>
        <v>76</v>
      </c>
      <c r="J54" s="530">
        <f t="shared" si="7"/>
        <v>77</v>
      </c>
    </row>
    <row r="55" spans="1:10" ht="18" customHeight="1">
      <c r="A55" s="534" t="s">
        <v>1207</v>
      </c>
      <c r="B55" s="534" t="s">
        <v>1252</v>
      </c>
      <c r="C55" s="535" t="s">
        <v>728</v>
      </c>
      <c r="D55" s="530">
        <f>VLOOKUP(C55,'급수계통별장래인구(출x)'!$C$5:$D$491,2,FALSE)</f>
        <v>335</v>
      </c>
      <c r="E55" s="518">
        <f t="shared" si="6"/>
        <v>2.597604001085566E-3</v>
      </c>
      <c r="F55" s="541">
        <f t="shared" si="7"/>
        <v>344</v>
      </c>
      <c r="G55" s="530">
        <f t="shared" si="7"/>
        <v>339</v>
      </c>
      <c r="H55" s="530">
        <f t="shared" si="7"/>
        <v>346</v>
      </c>
      <c r="I55" s="530">
        <f t="shared" si="7"/>
        <v>354</v>
      </c>
      <c r="J55" s="530">
        <f t="shared" si="7"/>
        <v>360</v>
      </c>
    </row>
    <row r="56" spans="1:10" ht="18" customHeight="1">
      <c r="A56" s="534" t="s">
        <v>1207</v>
      </c>
      <c r="B56" s="534" t="s">
        <v>1253</v>
      </c>
      <c r="C56" s="535" t="s">
        <v>729</v>
      </c>
      <c r="D56" s="530">
        <f>VLOOKUP(C56,'급수계통별장래인구(출x)'!$C$5:$D$491,2,FALSE)</f>
        <v>249</v>
      </c>
      <c r="E56" s="518">
        <f t="shared" si="6"/>
        <v>1.9307564067770325E-3</v>
      </c>
      <c r="F56" s="541">
        <f t="shared" si="7"/>
        <v>256</v>
      </c>
      <c r="G56" s="530">
        <f t="shared" si="7"/>
        <v>252</v>
      </c>
      <c r="H56" s="530">
        <f t="shared" si="7"/>
        <v>257</v>
      </c>
      <c r="I56" s="530">
        <f t="shared" si="7"/>
        <v>263</v>
      </c>
      <c r="J56" s="530">
        <f t="shared" si="7"/>
        <v>268</v>
      </c>
    </row>
    <row r="57" spans="1:10" ht="18" customHeight="1">
      <c r="A57" s="534" t="s">
        <v>1207</v>
      </c>
      <c r="B57" s="534" t="s">
        <v>1253</v>
      </c>
      <c r="C57" s="535" t="s">
        <v>730</v>
      </c>
      <c r="D57" s="530">
        <f>VLOOKUP(C57,'급수계통별장래인구(출x)'!$C$5:$D$491,2,FALSE)</f>
        <v>108</v>
      </c>
      <c r="E57" s="518">
        <f t="shared" si="6"/>
        <v>8.3743651378280926E-4</v>
      </c>
      <c r="F57" s="541">
        <f t="shared" si="7"/>
        <v>111</v>
      </c>
      <c r="G57" s="530">
        <f t="shared" si="7"/>
        <v>109</v>
      </c>
      <c r="H57" s="530">
        <f t="shared" si="7"/>
        <v>112</v>
      </c>
      <c r="I57" s="530">
        <f t="shared" si="7"/>
        <v>114</v>
      </c>
      <c r="J57" s="530">
        <f t="shared" si="7"/>
        <v>116</v>
      </c>
    </row>
    <row r="58" spans="1:10" ht="18" customHeight="1">
      <c r="A58" s="534" t="s">
        <v>1207</v>
      </c>
      <c r="B58" s="534" t="s">
        <v>1254</v>
      </c>
      <c r="C58" s="535" t="s">
        <v>731</v>
      </c>
      <c r="D58" s="530">
        <f>VLOOKUP(C58,'급수계통별장래인구(출x)'!$C$5:$D$491,2,FALSE)</f>
        <v>251</v>
      </c>
      <c r="E58" s="518">
        <f t="shared" si="6"/>
        <v>1.946264490365603E-3</v>
      </c>
      <c r="F58" s="541">
        <f t="shared" si="7"/>
        <v>258</v>
      </c>
      <c r="G58" s="530">
        <f t="shared" si="7"/>
        <v>254</v>
      </c>
      <c r="H58" s="530">
        <f t="shared" si="7"/>
        <v>259</v>
      </c>
      <c r="I58" s="530">
        <f t="shared" si="7"/>
        <v>265</v>
      </c>
      <c r="J58" s="530">
        <f t="shared" si="7"/>
        <v>270</v>
      </c>
    </row>
    <row r="59" spans="1:10" ht="18" customHeight="1">
      <c r="A59" s="534" t="s">
        <v>1207</v>
      </c>
      <c r="B59" s="534" t="s">
        <v>1254</v>
      </c>
      <c r="C59" s="535" t="s">
        <v>732</v>
      </c>
      <c r="D59" s="530">
        <f>VLOOKUP(C59,'급수계통별장래인구(출x)'!$C$5:$D$491,2,FALSE)</f>
        <v>157</v>
      </c>
      <c r="E59" s="518">
        <f t="shared" si="6"/>
        <v>1.2173845617027875E-3</v>
      </c>
      <c r="F59" s="541">
        <f t="shared" si="7"/>
        <v>161</v>
      </c>
      <c r="G59" s="530">
        <f t="shared" si="7"/>
        <v>159</v>
      </c>
      <c r="H59" s="530">
        <f t="shared" si="7"/>
        <v>162</v>
      </c>
      <c r="I59" s="530">
        <f t="shared" si="7"/>
        <v>166</v>
      </c>
      <c r="J59" s="530">
        <f t="shared" si="7"/>
        <v>169</v>
      </c>
    </row>
    <row r="60" spans="1:10" ht="18" customHeight="1">
      <c r="A60" s="534" t="s">
        <v>1207</v>
      </c>
      <c r="B60" s="534" t="s">
        <v>1254</v>
      </c>
      <c r="C60" s="535" t="s">
        <v>733</v>
      </c>
      <c r="D60" s="530">
        <f>VLOOKUP(C60,'급수계통별장래인구(출x)'!$C$5:$D$491,2,FALSE)</f>
        <v>146</v>
      </c>
      <c r="E60" s="518">
        <f t="shared" si="6"/>
        <v>1.1320901019656496E-3</v>
      </c>
      <c r="F60" s="541">
        <f t="shared" si="7"/>
        <v>150</v>
      </c>
      <c r="G60" s="530">
        <f t="shared" si="7"/>
        <v>148</v>
      </c>
      <c r="H60" s="530">
        <f t="shared" si="7"/>
        <v>151</v>
      </c>
      <c r="I60" s="530">
        <f t="shared" si="7"/>
        <v>154</v>
      </c>
      <c r="J60" s="530">
        <f t="shared" si="7"/>
        <v>157</v>
      </c>
    </row>
    <row r="61" spans="1:10" ht="18" customHeight="1">
      <c r="A61" s="534" t="s">
        <v>1207</v>
      </c>
      <c r="B61" s="534" t="s">
        <v>1254</v>
      </c>
      <c r="C61" s="535" t="s">
        <v>734</v>
      </c>
      <c r="D61" s="530">
        <f>VLOOKUP(C61,'급수계통별장래인구(출x)'!$C$5:$D$491,2,FALSE)</f>
        <v>106</v>
      </c>
      <c r="E61" s="518">
        <f t="shared" si="6"/>
        <v>8.2192843019423872E-4</v>
      </c>
      <c r="F61" s="541">
        <f t="shared" si="7"/>
        <v>109</v>
      </c>
      <c r="G61" s="530">
        <f t="shared" si="7"/>
        <v>107</v>
      </c>
      <c r="H61" s="530">
        <f t="shared" si="7"/>
        <v>109</v>
      </c>
      <c r="I61" s="530">
        <f t="shared" si="7"/>
        <v>112</v>
      </c>
      <c r="J61" s="530">
        <f t="shared" si="7"/>
        <v>114</v>
      </c>
    </row>
    <row r="62" spans="1:10" ht="18" customHeight="1">
      <c r="A62" s="534" t="s">
        <v>1207</v>
      </c>
      <c r="B62" s="534" t="s">
        <v>1254</v>
      </c>
      <c r="C62" s="535" t="s">
        <v>735</v>
      </c>
      <c r="D62" s="530">
        <f>VLOOKUP(C62,'급수계통별장래인구(출x)'!$C$5:$D$491,2,FALSE)</f>
        <v>81</v>
      </c>
      <c r="E62" s="518">
        <f t="shared" si="6"/>
        <v>6.2807738533710695E-4</v>
      </c>
      <c r="F62" s="541">
        <f t="shared" si="7"/>
        <v>83</v>
      </c>
      <c r="G62" s="530">
        <f t="shared" si="7"/>
        <v>82</v>
      </c>
      <c r="H62" s="530">
        <f t="shared" si="7"/>
        <v>84</v>
      </c>
      <c r="I62" s="530">
        <f t="shared" si="7"/>
        <v>86</v>
      </c>
      <c r="J62" s="530">
        <f t="shared" si="7"/>
        <v>87</v>
      </c>
    </row>
    <row r="63" spans="1:10" ht="18" customHeight="1">
      <c r="A63" s="534" t="s">
        <v>1207</v>
      </c>
      <c r="B63" s="534" t="s">
        <v>1254</v>
      </c>
      <c r="C63" s="535" t="s">
        <v>736</v>
      </c>
      <c r="D63" s="530">
        <f>VLOOKUP(C63,'급수계통별장래인구(출x)'!$C$5:$D$491,2,FALSE)</f>
        <v>60</v>
      </c>
      <c r="E63" s="518">
        <f t="shared" si="6"/>
        <v>4.6524250765711626E-4</v>
      </c>
      <c r="F63" s="541">
        <f t="shared" si="7"/>
        <v>62</v>
      </c>
      <c r="G63" s="530">
        <f t="shared" si="7"/>
        <v>61</v>
      </c>
      <c r="H63" s="530">
        <f t="shared" si="7"/>
        <v>62</v>
      </c>
      <c r="I63" s="530">
        <f t="shared" si="7"/>
        <v>63</v>
      </c>
      <c r="J63" s="530">
        <f t="shared" si="7"/>
        <v>64</v>
      </c>
    </row>
    <row r="64" spans="1:10" ht="18" customHeight="1">
      <c r="A64" s="534" t="s">
        <v>1207</v>
      </c>
      <c r="B64" s="534" t="s">
        <v>1255</v>
      </c>
      <c r="C64" s="535" t="s">
        <v>737</v>
      </c>
      <c r="D64" s="530">
        <f>VLOOKUP(C64,'급수계통별장래인구(출x)'!$C$5:$D$491,2,FALSE)</f>
        <v>55</v>
      </c>
      <c r="E64" s="518">
        <f t="shared" si="6"/>
        <v>4.264722986856899E-4</v>
      </c>
      <c r="F64" s="541">
        <f t="shared" si="7"/>
        <v>56</v>
      </c>
      <c r="G64" s="530">
        <f t="shared" si="7"/>
        <v>56</v>
      </c>
      <c r="H64" s="530">
        <f t="shared" si="7"/>
        <v>57</v>
      </c>
      <c r="I64" s="530">
        <f t="shared" si="7"/>
        <v>58</v>
      </c>
      <c r="J64" s="530">
        <f t="shared" si="7"/>
        <v>59</v>
      </c>
    </row>
    <row r="65" spans="1:10" ht="18" customHeight="1">
      <c r="A65" s="534" t="s">
        <v>1207</v>
      </c>
      <c r="B65" s="534" t="s">
        <v>1255</v>
      </c>
      <c r="C65" s="535" t="s">
        <v>738</v>
      </c>
      <c r="D65" s="530">
        <f>VLOOKUP(C65,'급수계통별장래인구(출x)'!$C$5:$D$491,2,FALSE)</f>
        <v>127</v>
      </c>
      <c r="E65" s="518">
        <f t="shared" si="6"/>
        <v>9.8476330787422941E-4</v>
      </c>
      <c r="F65" s="541">
        <f t="shared" si="7"/>
        <v>130</v>
      </c>
      <c r="G65" s="530">
        <f t="shared" si="7"/>
        <v>128</v>
      </c>
      <c r="H65" s="530">
        <f t="shared" si="7"/>
        <v>131</v>
      </c>
      <c r="I65" s="530">
        <f t="shared" si="7"/>
        <v>134</v>
      </c>
      <c r="J65" s="530">
        <f t="shared" si="7"/>
        <v>136</v>
      </c>
    </row>
    <row r="66" spans="1:10" ht="18" customHeight="1">
      <c r="A66" s="534" t="s">
        <v>1207</v>
      </c>
      <c r="B66" s="534" t="s">
        <v>1255</v>
      </c>
      <c r="C66" s="535" t="s">
        <v>739</v>
      </c>
      <c r="D66" s="530">
        <f>VLOOKUP(C66,'급수계통별장래인구(출x)'!$C$5:$D$491,2,FALSE)</f>
        <v>138</v>
      </c>
      <c r="E66" s="518">
        <f t="shared" si="6"/>
        <v>1.0700577676113674E-3</v>
      </c>
      <c r="F66" s="541">
        <f t="shared" ref="F66:J91" si="8">ROUND($E66*F$3,0)</f>
        <v>142</v>
      </c>
      <c r="G66" s="530">
        <f t="shared" si="8"/>
        <v>140</v>
      </c>
      <c r="H66" s="530">
        <f t="shared" si="8"/>
        <v>143</v>
      </c>
      <c r="I66" s="530">
        <f t="shared" si="8"/>
        <v>146</v>
      </c>
      <c r="J66" s="530">
        <f t="shared" si="8"/>
        <v>148</v>
      </c>
    </row>
    <row r="67" spans="1:10" ht="18" customHeight="1">
      <c r="A67" s="534" t="s">
        <v>1207</v>
      </c>
      <c r="B67" s="534" t="s">
        <v>1255</v>
      </c>
      <c r="C67" s="535" t="s">
        <v>740</v>
      </c>
      <c r="D67" s="530">
        <f>VLOOKUP(C67,'급수계통별장래인구(출x)'!$C$5:$D$491,2,FALSE)</f>
        <v>73</v>
      </c>
      <c r="E67" s="518">
        <f t="shared" si="6"/>
        <v>5.6604505098282478E-4</v>
      </c>
      <c r="F67" s="541">
        <f t="shared" si="8"/>
        <v>75</v>
      </c>
      <c r="G67" s="530">
        <f t="shared" si="8"/>
        <v>74</v>
      </c>
      <c r="H67" s="530">
        <f t="shared" si="8"/>
        <v>75</v>
      </c>
      <c r="I67" s="530">
        <f t="shared" si="8"/>
        <v>77</v>
      </c>
      <c r="J67" s="530">
        <f t="shared" si="8"/>
        <v>78</v>
      </c>
    </row>
    <row r="68" spans="1:10" ht="18" customHeight="1">
      <c r="A68" s="534" t="s">
        <v>1207</v>
      </c>
      <c r="B68" s="534" t="s">
        <v>1255</v>
      </c>
      <c r="C68" s="535" t="s">
        <v>741</v>
      </c>
      <c r="D68" s="530">
        <f>VLOOKUP(C68,'급수계통별장래인구(출x)'!$C$5:$D$491,2,FALSE)</f>
        <v>72</v>
      </c>
      <c r="E68" s="518">
        <f t="shared" si="6"/>
        <v>5.5829100918853951E-4</v>
      </c>
      <c r="F68" s="541">
        <f t="shared" si="8"/>
        <v>74</v>
      </c>
      <c r="G68" s="530">
        <f t="shared" si="8"/>
        <v>73</v>
      </c>
      <c r="H68" s="530">
        <f t="shared" si="8"/>
        <v>74</v>
      </c>
      <c r="I68" s="530">
        <f t="shared" si="8"/>
        <v>76</v>
      </c>
      <c r="J68" s="530">
        <f t="shared" si="8"/>
        <v>77</v>
      </c>
    </row>
    <row r="69" spans="1:10" ht="18" customHeight="1">
      <c r="A69" s="534" t="s">
        <v>1207</v>
      </c>
      <c r="B69" s="534" t="s">
        <v>1255</v>
      </c>
      <c r="C69" s="535" t="s">
        <v>742</v>
      </c>
      <c r="D69" s="530">
        <f>VLOOKUP(C69,'급수계통별장래인구(출x)'!$C$5:$D$491,2,FALSE)</f>
        <v>179</v>
      </c>
      <c r="E69" s="518">
        <f t="shared" si="6"/>
        <v>1.3879734811770635E-3</v>
      </c>
      <c r="F69" s="541">
        <f t="shared" si="8"/>
        <v>184</v>
      </c>
      <c r="G69" s="530">
        <f t="shared" si="8"/>
        <v>181</v>
      </c>
      <c r="H69" s="530">
        <f t="shared" si="8"/>
        <v>185</v>
      </c>
      <c r="I69" s="530">
        <f t="shared" si="8"/>
        <v>189</v>
      </c>
      <c r="J69" s="530">
        <f t="shared" si="8"/>
        <v>192</v>
      </c>
    </row>
    <row r="70" spans="1:10" ht="18" customHeight="1">
      <c r="A70" s="534" t="s">
        <v>1207</v>
      </c>
      <c r="B70" s="534" t="s">
        <v>1256</v>
      </c>
      <c r="C70" s="535" t="s">
        <v>743</v>
      </c>
      <c r="D70" s="530">
        <f>VLOOKUP(C70,'급수계통별장래인구(출x)'!$C$5:$D$491,2,FALSE)</f>
        <v>173</v>
      </c>
      <c r="E70" s="518">
        <f t="shared" si="6"/>
        <v>1.3414492304113519E-3</v>
      </c>
      <c r="F70" s="541">
        <f t="shared" si="8"/>
        <v>178</v>
      </c>
      <c r="G70" s="530">
        <f t="shared" si="8"/>
        <v>175</v>
      </c>
      <c r="H70" s="530">
        <f t="shared" si="8"/>
        <v>179</v>
      </c>
      <c r="I70" s="530">
        <f t="shared" si="8"/>
        <v>183</v>
      </c>
      <c r="J70" s="530">
        <f t="shared" si="8"/>
        <v>186</v>
      </c>
    </row>
    <row r="71" spans="1:10" ht="18" customHeight="1">
      <c r="A71" s="534" t="s">
        <v>1207</v>
      </c>
      <c r="B71" s="534" t="s">
        <v>1256</v>
      </c>
      <c r="C71" s="535" t="s">
        <v>744</v>
      </c>
      <c r="D71" s="530">
        <f>VLOOKUP(C71,'급수계통별장래인구(출x)'!$C$5:$D$491,2,FALSE)</f>
        <v>145</v>
      </c>
      <c r="E71" s="518">
        <f t="shared" si="6"/>
        <v>1.1243360601713643E-3</v>
      </c>
      <c r="F71" s="541">
        <f t="shared" si="8"/>
        <v>149</v>
      </c>
      <c r="G71" s="530">
        <f t="shared" si="8"/>
        <v>147</v>
      </c>
      <c r="H71" s="530">
        <f t="shared" si="8"/>
        <v>150</v>
      </c>
      <c r="I71" s="530">
        <f t="shared" si="8"/>
        <v>153</v>
      </c>
      <c r="J71" s="530">
        <f t="shared" si="8"/>
        <v>156</v>
      </c>
    </row>
    <row r="72" spans="1:10" ht="18" customHeight="1">
      <c r="A72" s="534" t="s">
        <v>1207</v>
      </c>
      <c r="B72" s="534" t="s">
        <v>1256</v>
      </c>
      <c r="C72" s="535" t="s">
        <v>745</v>
      </c>
      <c r="D72" s="530">
        <f>VLOOKUP(C72,'급수계통별장래인구(출x)'!$C$5:$D$491,2,FALSE)</f>
        <v>289</v>
      </c>
      <c r="E72" s="518">
        <f t="shared" si="6"/>
        <v>2.2409180785484435E-3</v>
      </c>
      <c r="F72" s="541">
        <f t="shared" si="8"/>
        <v>297</v>
      </c>
      <c r="G72" s="530">
        <f t="shared" si="8"/>
        <v>292</v>
      </c>
      <c r="H72" s="530">
        <f t="shared" si="8"/>
        <v>298</v>
      </c>
      <c r="I72" s="530">
        <f t="shared" si="8"/>
        <v>305</v>
      </c>
      <c r="J72" s="530">
        <f t="shared" si="8"/>
        <v>311</v>
      </c>
    </row>
    <row r="73" spans="1:10" ht="18" customHeight="1">
      <c r="A73" s="534" t="s">
        <v>1207</v>
      </c>
      <c r="B73" s="534" t="s">
        <v>1256</v>
      </c>
      <c r="C73" s="535" t="s">
        <v>746</v>
      </c>
      <c r="D73" s="530">
        <f>VLOOKUP(C73,'급수계통별장래인구(출x)'!$C$5:$D$491,2,FALSE)</f>
        <v>122</v>
      </c>
      <c r="E73" s="518">
        <f t="shared" si="6"/>
        <v>9.4599309890280306E-4</v>
      </c>
      <c r="F73" s="541">
        <f t="shared" si="8"/>
        <v>125</v>
      </c>
      <c r="G73" s="530">
        <f t="shared" si="8"/>
        <v>123</v>
      </c>
      <c r="H73" s="530">
        <f t="shared" si="8"/>
        <v>126</v>
      </c>
      <c r="I73" s="530">
        <f t="shared" si="8"/>
        <v>129</v>
      </c>
      <c r="J73" s="530">
        <f t="shared" si="8"/>
        <v>131</v>
      </c>
    </row>
    <row r="74" spans="1:10" ht="18" customHeight="1">
      <c r="A74" s="534" t="s">
        <v>1207</v>
      </c>
      <c r="B74" s="534" t="s">
        <v>1257</v>
      </c>
      <c r="C74" s="535" t="s">
        <v>747</v>
      </c>
      <c r="D74" s="530">
        <f>VLOOKUP(C74,'급수계통별장래인구(출x)'!$C$5:$D$491,2,FALSE)</f>
        <v>637</v>
      </c>
      <c r="E74" s="518">
        <f t="shared" si="6"/>
        <v>4.9393246229597178E-3</v>
      </c>
      <c r="F74" s="541">
        <f t="shared" si="8"/>
        <v>654</v>
      </c>
      <c r="G74" s="530">
        <f t="shared" si="8"/>
        <v>644</v>
      </c>
      <c r="H74" s="530">
        <f t="shared" si="8"/>
        <v>658</v>
      </c>
      <c r="I74" s="530">
        <f t="shared" si="8"/>
        <v>673</v>
      </c>
      <c r="J74" s="530">
        <f t="shared" si="8"/>
        <v>684</v>
      </c>
    </row>
    <row r="75" spans="1:10" ht="18" customHeight="1">
      <c r="A75" s="534" t="s">
        <v>1207</v>
      </c>
      <c r="B75" s="534" t="s">
        <v>1257</v>
      </c>
      <c r="C75" s="535" t="s">
        <v>748</v>
      </c>
      <c r="D75" s="530">
        <f>VLOOKUP(C75,'급수계통별장래인구(출x)'!$C$5:$D$491,2,FALSE)</f>
        <v>475</v>
      </c>
      <c r="E75" s="518">
        <f t="shared" si="6"/>
        <v>3.6831698522855039E-3</v>
      </c>
      <c r="F75" s="541">
        <f t="shared" si="8"/>
        <v>488</v>
      </c>
      <c r="G75" s="530">
        <f t="shared" si="8"/>
        <v>481</v>
      </c>
      <c r="H75" s="530">
        <f t="shared" si="8"/>
        <v>491</v>
      </c>
      <c r="I75" s="530">
        <f t="shared" si="8"/>
        <v>502</v>
      </c>
      <c r="J75" s="530">
        <f t="shared" si="8"/>
        <v>510</v>
      </c>
    </row>
    <row r="76" spans="1:10" ht="18" customHeight="1">
      <c r="A76" s="534" t="s">
        <v>1207</v>
      </c>
      <c r="B76" s="534" t="s">
        <v>1257</v>
      </c>
      <c r="C76" s="535" t="s">
        <v>749</v>
      </c>
      <c r="D76" s="530">
        <f>VLOOKUP(C76,'급수계통별장래인구(출x)'!$C$5:$D$491,2,FALSE)</f>
        <v>149</v>
      </c>
      <c r="E76" s="518">
        <f t="shared" si="6"/>
        <v>1.1553522273485054E-3</v>
      </c>
      <c r="F76" s="541">
        <f t="shared" si="8"/>
        <v>153</v>
      </c>
      <c r="G76" s="530">
        <f t="shared" si="8"/>
        <v>151</v>
      </c>
      <c r="H76" s="530">
        <f t="shared" si="8"/>
        <v>154</v>
      </c>
      <c r="I76" s="530">
        <f t="shared" si="8"/>
        <v>157</v>
      </c>
      <c r="J76" s="530">
        <f t="shared" si="8"/>
        <v>160</v>
      </c>
    </row>
    <row r="77" spans="1:10" ht="18" customHeight="1">
      <c r="A77" s="534" t="s">
        <v>1207</v>
      </c>
      <c r="B77" s="534" t="s">
        <v>1257</v>
      </c>
      <c r="C77" s="535" t="s">
        <v>750</v>
      </c>
      <c r="D77" s="530">
        <f>VLOOKUP(C77,'급수계통별장래인구(출x)'!$C$5:$D$491,2,FALSE)</f>
        <v>264</v>
      </c>
      <c r="E77" s="518">
        <f t="shared" si="6"/>
        <v>2.0470670336913115E-3</v>
      </c>
      <c r="F77" s="541">
        <f t="shared" si="8"/>
        <v>271</v>
      </c>
      <c r="G77" s="530">
        <f t="shared" si="8"/>
        <v>267</v>
      </c>
      <c r="H77" s="530">
        <f t="shared" si="8"/>
        <v>273</v>
      </c>
      <c r="I77" s="530">
        <f t="shared" si="8"/>
        <v>279</v>
      </c>
      <c r="J77" s="530">
        <f t="shared" si="8"/>
        <v>284</v>
      </c>
    </row>
    <row r="78" spans="1:10" ht="18" customHeight="1">
      <c r="A78" s="534" t="s">
        <v>1207</v>
      </c>
      <c r="B78" s="534" t="s">
        <v>1257</v>
      </c>
      <c r="C78" s="535" t="s">
        <v>751</v>
      </c>
      <c r="D78" s="530">
        <f>VLOOKUP(C78,'급수계통별장래인구(출x)'!$C$5:$D$491,2,FALSE)</f>
        <v>216</v>
      </c>
      <c r="E78" s="518">
        <f t="shared" si="6"/>
        <v>1.6748730275656185E-3</v>
      </c>
      <c r="F78" s="541">
        <f t="shared" si="8"/>
        <v>222</v>
      </c>
      <c r="G78" s="530">
        <f t="shared" si="8"/>
        <v>219</v>
      </c>
      <c r="H78" s="530">
        <f t="shared" si="8"/>
        <v>223</v>
      </c>
      <c r="I78" s="530">
        <f t="shared" si="8"/>
        <v>228</v>
      </c>
      <c r="J78" s="530">
        <f t="shared" si="8"/>
        <v>232</v>
      </c>
    </row>
    <row r="79" spans="1:10" ht="18" customHeight="1">
      <c r="A79" s="534" t="s">
        <v>1207</v>
      </c>
      <c r="B79" s="534" t="s">
        <v>1257</v>
      </c>
      <c r="C79" s="535" t="s">
        <v>752</v>
      </c>
      <c r="D79" s="530">
        <f>VLOOKUP(C79,'급수계통별장래인구(출x)'!$C$5:$D$491,2,FALSE)</f>
        <v>160</v>
      </c>
      <c r="E79" s="518">
        <f t="shared" si="6"/>
        <v>1.2406466870856434E-3</v>
      </c>
      <c r="F79" s="541">
        <f t="shared" si="8"/>
        <v>164</v>
      </c>
      <c r="G79" s="530">
        <f t="shared" si="8"/>
        <v>162</v>
      </c>
      <c r="H79" s="530">
        <f t="shared" si="8"/>
        <v>165</v>
      </c>
      <c r="I79" s="530">
        <f t="shared" si="8"/>
        <v>169</v>
      </c>
      <c r="J79" s="530">
        <f t="shared" si="8"/>
        <v>172</v>
      </c>
    </row>
    <row r="80" spans="1:10" ht="18" customHeight="1">
      <c r="A80" s="534" t="s">
        <v>1207</v>
      </c>
      <c r="B80" s="534" t="s">
        <v>1257</v>
      </c>
      <c r="C80" s="535" t="s">
        <v>753</v>
      </c>
      <c r="D80" s="530">
        <f>VLOOKUP(C80,'급수계통별장래인구(출x)'!$C$5:$D$491,2,FALSE)</f>
        <v>808</v>
      </c>
      <c r="E80" s="518">
        <f t="shared" si="6"/>
        <v>6.2652657697824989E-3</v>
      </c>
      <c r="F80" s="541">
        <f t="shared" si="8"/>
        <v>830</v>
      </c>
      <c r="G80" s="530">
        <f t="shared" si="8"/>
        <v>817</v>
      </c>
      <c r="H80" s="530">
        <f t="shared" si="8"/>
        <v>835</v>
      </c>
      <c r="I80" s="530">
        <f t="shared" si="8"/>
        <v>853</v>
      </c>
      <c r="J80" s="530">
        <f t="shared" si="8"/>
        <v>868</v>
      </c>
    </row>
    <row r="81" spans="1:10" ht="18" customHeight="1">
      <c r="A81" s="534" t="s">
        <v>1207</v>
      </c>
      <c r="B81" s="534" t="s">
        <v>1257</v>
      </c>
      <c r="C81" s="535" t="s">
        <v>754</v>
      </c>
      <c r="D81" s="530">
        <f>VLOOKUP(C81,'급수계통별장래인구(출x)'!$C$5:$D$491,2,FALSE)</f>
        <v>994</v>
      </c>
      <c r="E81" s="518">
        <f t="shared" si="6"/>
        <v>7.7075175435195598E-3</v>
      </c>
      <c r="F81" s="541">
        <f t="shared" si="8"/>
        <v>1021</v>
      </c>
      <c r="G81" s="530">
        <f t="shared" si="8"/>
        <v>1006</v>
      </c>
      <c r="H81" s="530">
        <f t="shared" si="8"/>
        <v>1027</v>
      </c>
      <c r="I81" s="530">
        <f t="shared" si="8"/>
        <v>1050</v>
      </c>
      <c r="J81" s="530">
        <f t="shared" si="8"/>
        <v>1068</v>
      </c>
    </row>
    <row r="82" spans="1:10" ht="18" customHeight="1">
      <c r="A82" s="534" t="s">
        <v>1207</v>
      </c>
      <c r="B82" s="534" t="s">
        <v>1257</v>
      </c>
      <c r="C82" s="535" t="s">
        <v>755</v>
      </c>
      <c r="D82" s="530">
        <f>VLOOKUP(C82,'급수계통별장래인구(출x)'!$C$5:$D$491,2,FALSE)</f>
        <v>1765</v>
      </c>
      <c r="E82" s="518">
        <f t="shared" si="6"/>
        <v>1.3685883766913504E-2</v>
      </c>
      <c r="F82" s="541">
        <f t="shared" si="8"/>
        <v>1813</v>
      </c>
      <c r="G82" s="530">
        <f t="shared" si="8"/>
        <v>1786</v>
      </c>
      <c r="H82" s="530">
        <f t="shared" si="8"/>
        <v>1823</v>
      </c>
      <c r="I82" s="530">
        <f t="shared" si="8"/>
        <v>1864</v>
      </c>
      <c r="J82" s="530">
        <f t="shared" si="8"/>
        <v>1896</v>
      </c>
    </row>
    <row r="83" spans="1:10" ht="18" customHeight="1">
      <c r="A83" s="534" t="s">
        <v>1207</v>
      </c>
      <c r="B83" s="534" t="s">
        <v>1258</v>
      </c>
      <c r="C83" s="535" t="s">
        <v>1169</v>
      </c>
      <c r="D83" s="530">
        <f>VLOOKUP(C83,'급수계통별장래인구(출x)'!$C$5:$D$491,2,FALSE)</f>
        <v>196</v>
      </c>
      <c r="E83" s="518">
        <f t="shared" si="6"/>
        <v>1.5197921916799131E-3</v>
      </c>
      <c r="F83" s="541">
        <f t="shared" si="8"/>
        <v>201</v>
      </c>
      <c r="G83" s="530">
        <f t="shared" si="8"/>
        <v>198</v>
      </c>
      <c r="H83" s="530">
        <f t="shared" si="8"/>
        <v>202</v>
      </c>
      <c r="I83" s="530">
        <f t="shared" si="8"/>
        <v>207</v>
      </c>
      <c r="J83" s="530">
        <f t="shared" si="8"/>
        <v>211</v>
      </c>
    </row>
    <row r="84" spans="1:10" ht="18" customHeight="1">
      <c r="A84" s="534" t="s">
        <v>1207</v>
      </c>
      <c r="B84" s="534" t="s">
        <v>1258</v>
      </c>
      <c r="C84" s="535" t="s">
        <v>1170</v>
      </c>
      <c r="D84" s="530">
        <f>VLOOKUP(C84,'급수계통별장래인구(출x)'!$C$5:$D$491,2,FALSE)</f>
        <v>103</v>
      </c>
      <c r="E84" s="518">
        <f t="shared" si="6"/>
        <v>7.9866630481138291E-4</v>
      </c>
      <c r="F84" s="541">
        <f t="shared" si="8"/>
        <v>106</v>
      </c>
      <c r="G84" s="530">
        <f t="shared" si="8"/>
        <v>104</v>
      </c>
      <c r="H84" s="530">
        <f t="shared" si="8"/>
        <v>106</v>
      </c>
      <c r="I84" s="530">
        <f t="shared" si="8"/>
        <v>109</v>
      </c>
      <c r="J84" s="530">
        <f t="shared" si="8"/>
        <v>111</v>
      </c>
    </row>
    <row r="85" spans="1:10" ht="18" customHeight="1">
      <c r="A85" s="534" t="s">
        <v>1207</v>
      </c>
      <c r="B85" s="534" t="s">
        <v>1258</v>
      </c>
      <c r="C85" s="535" t="s">
        <v>1171</v>
      </c>
      <c r="D85" s="530">
        <f>VLOOKUP(C85,'급수계통별장래인구(출x)'!$C$5:$D$491,2,FALSE)</f>
        <v>85</v>
      </c>
      <c r="E85" s="518">
        <f t="shared" si="6"/>
        <v>6.5909355251424803E-4</v>
      </c>
      <c r="F85" s="541">
        <f t="shared" si="8"/>
        <v>87</v>
      </c>
      <c r="G85" s="530">
        <f t="shared" si="8"/>
        <v>86</v>
      </c>
      <c r="H85" s="530">
        <f t="shared" si="8"/>
        <v>88</v>
      </c>
      <c r="I85" s="530">
        <f t="shared" si="8"/>
        <v>90</v>
      </c>
      <c r="J85" s="530">
        <f t="shared" si="8"/>
        <v>91</v>
      </c>
    </row>
    <row r="86" spans="1:10" ht="18" customHeight="1">
      <c r="A86" s="534" t="s">
        <v>1207</v>
      </c>
      <c r="B86" s="534" t="s">
        <v>1259</v>
      </c>
      <c r="C86" s="535" t="s">
        <v>756</v>
      </c>
      <c r="D86" s="530">
        <f>VLOOKUP(C86,'급수계통별장래인구(출x)'!$C$5:$D$491,2,FALSE)</f>
        <v>147</v>
      </c>
      <c r="E86" s="518">
        <f t="shared" si="6"/>
        <v>1.1398441437599348E-3</v>
      </c>
      <c r="F86" s="541">
        <f t="shared" si="8"/>
        <v>151</v>
      </c>
      <c r="G86" s="530">
        <f t="shared" si="8"/>
        <v>149</v>
      </c>
      <c r="H86" s="530">
        <f t="shared" si="8"/>
        <v>152</v>
      </c>
      <c r="I86" s="530">
        <f t="shared" si="8"/>
        <v>155</v>
      </c>
      <c r="J86" s="530">
        <f t="shared" si="8"/>
        <v>158</v>
      </c>
    </row>
    <row r="87" spans="1:10" ht="18" customHeight="1">
      <c r="A87" s="534" t="s">
        <v>1207</v>
      </c>
      <c r="B87" s="534" t="s">
        <v>1259</v>
      </c>
      <c r="C87" s="535" t="s">
        <v>757</v>
      </c>
      <c r="D87" s="530">
        <f>VLOOKUP(C87,'급수계통별장래인구(출x)'!$C$5:$D$491,2,FALSE)</f>
        <v>103</v>
      </c>
      <c r="E87" s="518">
        <f t="shared" si="6"/>
        <v>7.9866630481138291E-4</v>
      </c>
      <c r="F87" s="541">
        <f t="shared" si="8"/>
        <v>106</v>
      </c>
      <c r="G87" s="530">
        <f t="shared" si="8"/>
        <v>104</v>
      </c>
      <c r="H87" s="530">
        <f t="shared" si="8"/>
        <v>106</v>
      </c>
      <c r="I87" s="530">
        <f t="shared" si="8"/>
        <v>109</v>
      </c>
      <c r="J87" s="530">
        <f t="shared" si="8"/>
        <v>111</v>
      </c>
    </row>
    <row r="88" spans="1:10" ht="18" customHeight="1">
      <c r="A88" s="534" t="s">
        <v>1207</v>
      </c>
      <c r="B88" s="534" t="s">
        <v>1259</v>
      </c>
      <c r="C88" s="535" t="s">
        <v>758</v>
      </c>
      <c r="D88" s="530">
        <f>VLOOKUP(C88,'급수계통별장래인구(출x)'!$C$5:$D$491,2,FALSE)</f>
        <v>199</v>
      </c>
      <c r="E88" s="518">
        <f t="shared" si="6"/>
        <v>1.5430543170627689E-3</v>
      </c>
      <c r="F88" s="541">
        <f t="shared" si="8"/>
        <v>204</v>
      </c>
      <c r="G88" s="530">
        <f t="shared" si="8"/>
        <v>201</v>
      </c>
      <c r="H88" s="530">
        <f t="shared" si="8"/>
        <v>206</v>
      </c>
      <c r="I88" s="530">
        <f t="shared" si="8"/>
        <v>210</v>
      </c>
      <c r="J88" s="530">
        <f t="shared" si="8"/>
        <v>214</v>
      </c>
    </row>
    <row r="89" spans="1:10" ht="18" customHeight="1">
      <c r="A89" s="534" t="s">
        <v>1207</v>
      </c>
      <c r="B89" s="534" t="s">
        <v>1259</v>
      </c>
      <c r="C89" s="535" t="s">
        <v>759</v>
      </c>
      <c r="D89" s="530">
        <f>VLOOKUP(C89,'급수계통별장래인구(출x)'!$C$5:$D$491,2,FALSE)</f>
        <v>153</v>
      </c>
      <c r="E89" s="518">
        <f t="shared" si="6"/>
        <v>1.1863683945256465E-3</v>
      </c>
      <c r="F89" s="541">
        <f t="shared" si="8"/>
        <v>157</v>
      </c>
      <c r="G89" s="530">
        <f t="shared" si="8"/>
        <v>155</v>
      </c>
      <c r="H89" s="530">
        <f t="shared" si="8"/>
        <v>158</v>
      </c>
      <c r="I89" s="530">
        <f t="shared" si="8"/>
        <v>162</v>
      </c>
      <c r="J89" s="530">
        <f t="shared" si="8"/>
        <v>164</v>
      </c>
    </row>
    <row r="90" spans="1:10" ht="18" customHeight="1">
      <c r="A90" s="534" t="s">
        <v>1207</v>
      </c>
      <c r="B90" s="534" t="s">
        <v>1259</v>
      </c>
      <c r="C90" s="535" t="s">
        <v>760</v>
      </c>
      <c r="D90" s="530">
        <f>VLOOKUP(C90,'급수계통별장래인구(출x)'!$C$5:$D$491,2,FALSE)</f>
        <v>67</v>
      </c>
      <c r="E90" s="518">
        <f t="shared" si="6"/>
        <v>5.1952080021711315E-4</v>
      </c>
      <c r="F90" s="541">
        <f t="shared" si="8"/>
        <v>69</v>
      </c>
      <c r="G90" s="530">
        <f t="shared" si="8"/>
        <v>68</v>
      </c>
      <c r="H90" s="530">
        <f t="shared" si="8"/>
        <v>69</v>
      </c>
      <c r="I90" s="530">
        <f t="shared" si="8"/>
        <v>71</v>
      </c>
      <c r="J90" s="530">
        <f t="shared" si="8"/>
        <v>72</v>
      </c>
    </row>
    <row r="91" spans="1:10" ht="18" customHeight="1">
      <c r="A91" s="534" t="s">
        <v>1207</v>
      </c>
      <c r="B91" s="534" t="s">
        <v>1259</v>
      </c>
      <c r="C91" s="535" t="s">
        <v>761</v>
      </c>
      <c r="D91" s="530">
        <f>VLOOKUP(C91,'급수계통별장래인구(출x)'!$C$5:$D$491,2,FALSE)</f>
        <v>65</v>
      </c>
      <c r="E91" s="518">
        <f t="shared" si="6"/>
        <v>5.0401271662854261E-4</v>
      </c>
      <c r="F91" s="541">
        <f t="shared" si="8"/>
        <v>67</v>
      </c>
      <c r="G91" s="530">
        <f t="shared" si="8"/>
        <v>66</v>
      </c>
      <c r="H91" s="530">
        <f t="shared" si="8"/>
        <v>67</v>
      </c>
      <c r="I91" s="530">
        <f t="shared" si="8"/>
        <v>69</v>
      </c>
      <c r="J91" s="530">
        <f t="shared" si="8"/>
        <v>70</v>
      </c>
    </row>
    <row r="92" spans="1:10" ht="18" customHeight="1">
      <c r="A92" s="537" t="s">
        <v>1208</v>
      </c>
      <c r="B92" s="577" t="s">
        <v>1232</v>
      </c>
      <c r="C92" s="577"/>
      <c r="D92" s="538">
        <f>SUM(D93:D123)</f>
        <v>5357</v>
      </c>
      <c r="E92" s="538"/>
      <c r="F92" s="538">
        <f t="shared" ref="F92" si="9">SUM(F93:F123)</f>
        <v>5502</v>
      </c>
      <c r="G92" s="538">
        <f t="shared" ref="G92:J92" si="10">SUM(G93:G123)</f>
        <v>5421</v>
      </c>
      <c r="H92" s="538">
        <f t="shared" si="10"/>
        <v>5534</v>
      </c>
      <c r="I92" s="538">
        <f t="shared" si="10"/>
        <v>5658</v>
      </c>
      <c r="J92" s="538">
        <f t="shared" si="10"/>
        <v>5754</v>
      </c>
    </row>
    <row r="93" spans="1:10" ht="18" customHeight="1">
      <c r="A93" s="534" t="s">
        <v>1208</v>
      </c>
      <c r="B93" s="534" t="s">
        <v>1260</v>
      </c>
      <c r="C93" s="535" t="s">
        <v>1209</v>
      </c>
      <c r="D93" s="530">
        <f>VLOOKUP(C93,'급수계통별장래인구(출x)'!$C$5:$D$491,2,FALSE)</f>
        <v>223</v>
      </c>
      <c r="E93" s="518">
        <f t="shared" ref="E93:E123" si="11">D93/$D$3</f>
        <v>1.7291513201256154E-3</v>
      </c>
      <c r="F93" s="541">
        <f t="shared" ref="F93:J123" si="12">ROUND($E93*F$3,0)</f>
        <v>229</v>
      </c>
      <c r="G93" s="530">
        <f t="shared" si="12"/>
        <v>226</v>
      </c>
      <c r="H93" s="530">
        <f t="shared" si="12"/>
        <v>230</v>
      </c>
      <c r="I93" s="530">
        <f t="shared" si="12"/>
        <v>236</v>
      </c>
      <c r="J93" s="530">
        <f t="shared" si="12"/>
        <v>240</v>
      </c>
    </row>
    <row r="94" spans="1:10" ht="18" customHeight="1">
      <c r="A94" s="534" t="s">
        <v>1208</v>
      </c>
      <c r="B94" s="534" t="s">
        <v>1260</v>
      </c>
      <c r="C94" s="535" t="s">
        <v>997</v>
      </c>
      <c r="D94" s="530">
        <f>VLOOKUP(C94,'급수계통별장래인구(출x)'!$C$5:$D$491,2,FALSE)</f>
        <v>140</v>
      </c>
      <c r="E94" s="518">
        <f t="shared" si="11"/>
        <v>1.0855658511999379E-3</v>
      </c>
      <c r="F94" s="541">
        <f t="shared" si="12"/>
        <v>144</v>
      </c>
      <c r="G94" s="530">
        <f t="shared" si="12"/>
        <v>142</v>
      </c>
      <c r="H94" s="530">
        <f t="shared" si="12"/>
        <v>145</v>
      </c>
      <c r="I94" s="530">
        <f t="shared" si="12"/>
        <v>148</v>
      </c>
      <c r="J94" s="530">
        <f t="shared" si="12"/>
        <v>150</v>
      </c>
    </row>
    <row r="95" spans="1:10" ht="18" customHeight="1">
      <c r="A95" s="534" t="s">
        <v>1208</v>
      </c>
      <c r="B95" s="534" t="s">
        <v>1261</v>
      </c>
      <c r="C95" s="535" t="s">
        <v>998</v>
      </c>
      <c r="D95" s="530">
        <f>VLOOKUP(C95,'급수계통별장래인구(출x)'!$C$5:$D$491,2,FALSE)</f>
        <v>133</v>
      </c>
      <c r="E95" s="518">
        <f t="shared" si="11"/>
        <v>1.031287558639941E-3</v>
      </c>
      <c r="F95" s="541">
        <f t="shared" si="12"/>
        <v>137</v>
      </c>
      <c r="G95" s="530">
        <f t="shared" si="12"/>
        <v>135</v>
      </c>
      <c r="H95" s="530">
        <f t="shared" si="12"/>
        <v>137</v>
      </c>
      <c r="I95" s="530">
        <f t="shared" si="12"/>
        <v>140</v>
      </c>
      <c r="J95" s="530">
        <f t="shared" si="12"/>
        <v>143</v>
      </c>
    </row>
    <row r="96" spans="1:10" ht="18" customHeight="1">
      <c r="A96" s="534" t="s">
        <v>1208</v>
      </c>
      <c r="B96" s="534" t="s">
        <v>1261</v>
      </c>
      <c r="C96" s="535" t="s">
        <v>999</v>
      </c>
      <c r="D96" s="530">
        <f>VLOOKUP(C96,'급수계통별장래인구(출x)'!$C$5:$D$491,2,FALSE)</f>
        <v>190</v>
      </c>
      <c r="E96" s="518">
        <f t="shared" si="11"/>
        <v>1.4732679409142015E-3</v>
      </c>
      <c r="F96" s="541">
        <f t="shared" si="12"/>
        <v>195</v>
      </c>
      <c r="G96" s="530">
        <f t="shared" si="12"/>
        <v>192</v>
      </c>
      <c r="H96" s="530">
        <f t="shared" si="12"/>
        <v>196</v>
      </c>
      <c r="I96" s="530">
        <f t="shared" si="12"/>
        <v>201</v>
      </c>
      <c r="J96" s="530">
        <f t="shared" si="12"/>
        <v>204</v>
      </c>
    </row>
    <row r="97" spans="1:10" ht="18" customHeight="1">
      <c r="A97" s="534" t="s">
        <v>1208</v>
      </c>
      <c r="B97" s="534" t="s">
        <v>1261</v>
      </c>
      <c r="C97" s="535" t="s">
        <v>1000</v>
      </c>
      <c r="D97" s="530">
        <f>VLOOKUP(C97,'급수계통별장래인구(출x)'!$C$5:$D$491,2,FALSE)</f>
        <v>147</v>
      </c>
      <c r="E97" s="518">
        <f t="shared" si="11"/>
        <v>1.1398441437599348E-3</v>
      </c>
      <c r="F97" s="541">
        <f t="shared" si="12"/>
        <v>151</v>
      </c>
      <c r="G97" s="530">
        <f t="shared" si="12"/>
        <v>149</v>
      </c>
      <c r="H97" s="530">
        <f t="shared" si="12"/>
        <v>152</v>
      </c>
      <c r="I97" s="530">
        <f t="shared" si="12"/>
        <v>155</v>
      </c>
      <c r="J97" s="530">
        <f t="shared" si="12"/>
        <v>158</v>
      </c>
    </row>
    <row r="98" spans="1:10" ht="18" customHeight="1">
      <c r="A98" s="534" t="s">
        <v>1208</v>
      </c>
      <c r="B98" s="534" t="s">
        <v>1262</v>
      </c>
      <c r="C98" s="535" t="s">
        <v>1001</v>
      </c>
      <c r="D98" s="530">
        <f>VLOOKUP(C98,'급수계통별장래인구(출x)'!$C$5:$D$491,2,FALSE)</f>
        <v>123</v>
      </c>
      <c r="E98" s="518">
        <f t="shared" si="11"/>
        <v>9.5374714069708833E-4</v>
      </c>
      <c r="F98" s="541">
        <f t="shared" si="12"/>
        <v>126</v>
      </c>
      <c r="G98" s="530">
        <f t="shared" si="12"/>
        <v>124</v>
      </c>
      <c r="H98" s="530">
        <f t="shared" si="12"/>
        <v>127</v>
      </c>
      <c r="I98" s="530">
        <f t="shared" si="12"/>
        <v>130</v>
      </c>
      <c r="J98" s="530">
        <f t="shared" si="12"/>
        <v>132</v>
      </c>
    </row>
    <row r="99" spans="1:10" ht="18" customHeight="1">
      <c r="A99" s="534" t="s">
        <v>1208</v>
      </c>
      <c r="B99" s="534" t="s">
        <v>1262</v>
      </c>
      <c r="C99" s="535" t="s">
        <v>1002</v>
      </c>
      <c r="D99" s="530">
        <f>VLOOKUP(C99,'급수계통별장래인구(출x)'!$C$5:$D$491,2,FALSE)</f>
        <v>177</v>
      </c>
      <c r="E99" s="518">
        <f t="shared" si="11"/>
        <v>1.372465397588493E-3</v>
      </c>
      <c r="F99" s="541">
        <f t="shared" si="12"/>
        <v>182</v>
      </c>
      <c r="G99" s="530">
        <f t="shared" si="12"/>
        <v>179</v>
      </c>
      <c r="H99" s="530">
        <f t="shared" si="12"/>
        <v>183</v>
      </c>
      <c r="I99" s="530">
        <f t="shared" si="12"/>
        <v>187</v>
      </c>
      <c r="J99" s="530">
        <f t="shared" si="12"/>
        <v>190</v>
      </c>
    </row>
    <row r="100" spans="1:10" ht="18" customHeight="1">
      <c r="A100" s="534" t="s">
        <v>1208</v>
      </c>
      <c r="B100" s="534" t="s">
        <v>1263</v>
      </c>
      <c r="C100" s="535" t="s">
        <v>1003</v>
      </c>
      <c r="D100" s="530">
        <f>VLOOKUP(C100,'급수계통별장래인구(출x)'!$C$5:$D$491,2,FALSE)</f>
        <v>245</v>
      </c>
      <c r="E100" s="518">
        <f t="shared" si="11"/>
        <v>1.8997402395998914E-3</v>
      </c>
      <c r="F100" s="541">
        <f t="shared" si="12"/>
        <v>252</v>
      </c>
      <c r="G100" s="530">
        <f t="shared" si="12"/>
        <v>248</v>
      </c>
      <c r="H100" s="530">
        <f t="shared" si="12"/>
        <v>253</v>
      </c>
      <c r="I100" s="530">
        <f t="shared" si="12"/>
        <v>259</v>
      </c>
      <c r="J100" s="530">
        <f t="shared" si="12"/>
        <v>263</v>
      </c>
    </row>
    <row r="101" spans="1:10" ht="18" customHeight="1">
      <c r="A101" s="534" t="s">
        <v>1208</v>
      </c>
      <c r="B101" s="534" t="s">
        <v>1263</v>
      </c>
      <c r="C101" s="535" t="s">
        <v>1004</v>
      </c>
      <c r="D101" s="530">
        <f>VLOOKUP(C101,'급수계통별장래인구(출x)'!$C$5:$D$491,2,FALSE)</f>
        <v>134</v>
      </c>
      <c r="E101" s="518">
        <f t="shared" si="11"/>
        <v>1.0390416004342263E-3</v>
      </c>
      <c r="F101" s="541">
        <f t="shared" si="12"/>
        <v>138</v>
      </c>
      <c r="G101" s="530">
        <f t="shared" si="12"/>
        <v>136</v>
      </c>
      <c r="H101" s="530">
        <f t="shared" si="12"/>
        <v>138</v>
      </c>
      <c r="I101" s="530">
        <f t="shared" si="12"/>
        <v>142</v>
      </c>
      <c r="J101" s="530">
        <f t="shared" si="12"/>
        <v>144</v>
      </c>
    </row>
    <row r="102" spans="1:10" ht="18" customHeight="1">
      <c r="A102" s="534" t="s">
        <v>1208</v>
      </c>
      <c r="B102" s="534" t="s">
        <v>1263</v>
      </c>
      <c r="C102" s="535" t="s">
        <v>1172</v>
      </c>
      <c r="D102" s="530">
        <f>VLOOKUP(C102,'급수계통별장래인구(출x)'!$C$5:$D$491,2,FALSE)</f>
        <v>192</v>
      </c>
      <c r="E102" s="518">
        <f t="shared" si="11"/>
        <v>1.488776024502772E-3</v>
      </c>
      <c r="F102" s="541">
        <f t="shared" si="12"/>
        <v>197</v>
      </c>
      <c r="G102" s="530">
        <f t="shared" si="12"/>
        <v>194</v>
      </c>
      <c r="H102" s="530">
        <f t="shared" si="12"/>
        <v>198</v>
      </c>
      <c r="I102" s="530">
        <f t="shared" si="12"/>
        <v>203</v>
      </c>
      <c r="J102" s="530">
        <f t="shared" si="12"/>
        <v>206</v>
      </c>
    </row>
    <row r="103" spans="1:10" ht="18" customHeight="1">
      <c r="A103" s="534" t="s">
        <v>1208</v>
      </c>
      <c r="B103" s="534" t="s">
        <v>1264</v>
      </c>
      <c r="C103" s="535" t="s">
        <v>1005</v>
      </c>
      <c r="D103" s="530">
        <f>VLOOKUP(C103,'급수계통별장래인구(출x)'!$C$5:$D$491,2,FALSE)</f>
        <v>213</v>
      </c>
      <c r="E103" s="518">
        <f t="shared" si="11"/>
        <v>1.6516109021827627E-3</v>
      </c>
      <c r="F103" s="541">
        <f t="shared" si="12"/>
        <v>219</v>
      </c>
      <c r="G103" s="530">
        <f t="shared" si="12"/>
        <v>215</v>
      </c>
      <c r="H103" s="530">
        <f t="shared" si="12"/>
        <v>220</v>
      </c>
      <c r="I103" s="530">
        <f t="shared" si="12"/>
        <v>225</v>
      </c>
      <c r="J103" s="530">
        <f t="shared" si="12"/>
        <v>229</v>
      </c>
    </row>
    <row r="104" spans="1:10" ht="18" customHeight="1">
      <c r="A104" s="534" t="s">
        <v>1208</v>
      </c>
      <c r="B104" s="534" t="s">
        <v>1264</v>
      </c>
      <c r="C104" s="535" t="s">
        <v>1006</v>
      </c>
      <c r="D104" s="530">
        <f>VLOOKUP(C104,'급수계통별장래인구(출x)'!$C$5:$D$491,2,FALSE)</f>
        <v>154</v>
      </c>
      <c r="E104" s="518">
        <f t="shared" si="11"/>
        <v>1.1941224363199317E-3</v>
      </c>
      <c r="F104" s="541">
        <f t="shared" si="12"/>
        <v>158</v>
      </c>
      <c r="G104" s="530">
        <f t="shared" si="12"/>
        <v>156</v>
      </c>
      <c r="H104" s="530">
        <f t="shared" si="12"/>
        <v>159</v>
      </c>
      <c r="I104" s="530">
        <f t="shared" si="12"/>
        <v>163</v>
      </c>
      <c r="J104" s="530">
        <f t="shared" si="12"/>
        <v>165</v>
      </c>
    </row>
    <row r="105" spans="1:10" ht="18" customHeight="1">
      <c r="A105" s="534" t="s">
        <v>1208</v>
      </c>
      <c r="B105" s="534" t="s">
        <v>1264</v>
      </c>
      <c r="C105" s="535" t="s">
        <v>1007</v>
      </c>
      <c r="D105" s="530">
        <f>VLOOKUP(C105,'급수계통별장래인구(출x)'!$C$5:$D$491,2,FALSE)</f>
        <v>115</v>
      </c>
      <c r="E105" s="518">
        <f t="shared" si="11"/>
        <v>8.9171480634280616E-4</v>
      </c>
      <c r="F105" s="541">
        <f t="shared" si="12"/>
        <v>118</v>
      </c>
      <c r="G105" s="530">
        <f t="shared" si="12"/>
        <v>116</v>
      </c>
      <c r="H105" s="530">
        <f t="shared" si="12"/>
        <v>119</v>
      </c>
      <c r="I105" s="530">
        <f t="shared" si="12"/>
        <v>121</v>
      </c>
      <c r="J105" s="530">
        <f t="shared" si="12"/>
        <v>124</v>
      </c>
    </row>
    <row r="106" spans="1:10" ht="18" customHeight="1">
      <c r="A106" s="534" t="s">
        <v>1208</v>
      </c>
      <c r="B106" s="534" t="s">
        <v>1264</v>
      </c>
      <c r="C106" s="535" t="s">
        <v>1008</v>
      </c>
      <c r="D106" s="530">
        <f>VLOOKUP(C106,'급수계통별장래인구(출x)'!$C$5:$D$491,2,FALSE)</f>
        <v>215</v>
      </c>
      <c r="E106" s="518">
        <f t="shared" si="11"/>
        <v>1.6671189857713333E-3</v>
      </c>
      <c r="F106" s="541">
        <f t="shared" si="12"/>
        <v>221</v>
      </c>
      <c r="G106" s="530">
        <f t="shared" si="12"/>
        <v>218</v>
      </c>
      <c r="H106" s="530">
        <f t="shared" si="12"/>
        <v>222</v>
      </c>
      <c r="I106" s="530">
        <f t="shared" si="12"/>
        <v>227</v>
      </c>
      <c r="J106" s="530">
        <f t="shared" si="12"/>
        <v>231</v>
      </c>
    </row>
    <row r="107" spans="1:10" ht="18" customHeight="1">
      <c r="A107" s="534" t="s">
        <v>1208</v>
      </c>
      <c r="B107" s="534" t="s">
        <v>1265</v>
      </c>
      <c r="C107" s="535" t="s">
        <v>1009</v>
      </c>
      <c r="D107" s="530">
        <f>VLOOKUP(C107,'급수계통별장래인구(출x)'!$C$5:$D$491,2,FALSE)</f>
        <v>275</v>
      </c>
      <c r="E107" s="518">
        <f t="shared" si="11"/>
        <v>2.1323614934284497E-3</v>
      </c>
      <c r="F107" s="541">
        <f t="shared" si="12"/>
        <v>282</v>
      </c>
      <c r="G107" s="530">
        <f t="shared" si="12"/>
        <v>278</v>
      </c>
      <c r="H107" s="530">
        <f t="shared" si="12"/>
        <v>284</v>
      </c>
      <c r="I107" s="530">
        <f t="shared" si="12"/>
        <v>290</v>
      </c>
      <c r="J107" s="530">
        <f t="shared" si="12"/>
        <v>295</v>
      </c>
    </row>
    <row r="108" spans="1:10" ht="18" customHeight="1">
      <c r="A108" s="534" t="s">
        <v>1208</v>
      </c>
      <c r="B108" s="534" t="s">
        <v>1265</v>
      </c>
      <c r="C108" s="535" t="s">
        <v>1010</v>
      </c>
      <c r="D108" s="530">
        <f>VLOOKUP(C108,'급수계통별장래인구(출x)'!$C$5:$D$491,2,FALSE)</f>
        <v>86</v>
      </c>
      <c r="E108" s="518">
        <f t="shared" si="11"/>
        <v>6.668475943085333E-4</v>
      </c>
      <c r="F108" s="541">
        <f t="shared" si="12"/>
        <v>88</v>
      </c>
      <c r="G108" s="530">
        <f t="shared" si="12"/>
        <v>87</v>
      </c>
      <c r="H108" s="530">
        <f t="shared" si="12"/>
        <v>89</v>
      </c>
      <c r="I108" s="530">
        <f t="shared" si="12"/>
        <v>91</v>
      </c>
      <c r="J108" s="530">
        <f t="shared" si="12"/>
        <v>92</v>
      </c>
    </row>
    <row r="109" spans="1:10" ht="18" customHeight="1">
      <c r="A109" s="534" t="s">
        <v>1208</v>
      </c>
      <c r="B109" s="534" t="s">
        <v>1265</v>
      </c>
      <c r="C109" s="535" t="s">
        <v>1011</v>
      </c>
      <c r="D109" s="530">
        <f>VLOOKUP(C109,'급수계통별장래인구(출x)'!$C$5:$D$491,2,FALSE)</f>
        <v>110</v>
      </c>
      <c r="E109" s="518">
        <f t="shared" si="11"/>
        <v>8.529445973713798E-4</v>
      </c>
      <c r="F109" s="541">
        <f t="shared" si="12"/>
        <v>113</v>
      </c>
      <c r="G109" s="530">
        <f t="shared" si="12"/>
        <v>111</v>
      </c>
      <c r="H109" s="530">
        <f t="shared" si="12"/>
        <v>114</v>
      </c>
      <c r="I109" s="530">
        <f t="shared" si="12"/>
        <v>116</v>
      </c>
      <c r="J109" s="530">
        <f t="shared" si="12"/>
        <v>118</v>
      </c>
    </row>
    <row r="110" spans="1:10" ht="18" customHeight="1">
      <c r="A110" s="534" t="s">
        <v>1208</v>
      </c>
      <c r="B110" s="534" t="s">
        <v>1266</v>
      </c>
      <c r="C110" s="535" t="s">
        <v>1012</v>
      </c>
      <c r="D110" s="530">
        <f>VLOOKUP(C110,'급수계통별장래인구(출x)'!$C$5:$D$491,2,FALSE)</f>
        <v>231</v>
      </c>
      <c r="E110" s="518">
        <f t="shared" si="11"/>
        <v>1.7911836544798976E-3</v>
      </c>
      <c r="F110" s="541">
        <f t="shared" si="12"/>
        <v>237</v>
      </c>
      <c r="G110" s="530">
        <f t="shared" si="12"/>
        <v>234</v>
      </c>
      <c r="H110" s="530">
        <f t="shared" si="12"/>
        <v>239</v>
      </c>
      <c r="I110" s="530">
        <f t="shared" si="12"/>
        <v>244</v>
      </c>
      <c r="J110" s="530">
        <f t="shared" si="12"/>
        <v>248</v>
      </c>
    </row>
    <row r="111" spans="1:10" ht="18" customHeight="1">
      <c r="A111" s="534" t="s">
        <v>1208</v>
      </c>
      <c r="B111" s="534" t="s">
        <v>1266</v>
      </c>
      <c r="C111" s="535" t="s">
        <v>1013</v>
      </c>
      <c r="D111" s="530">
        <f>VLOOKUP(C111,'급수계통별장래인구(출x)'!$C$5:$D$491,2,FALSE)</f>
        <v>176</v>
      </c>
      <c r="E111" s="518">
        <f t="shared" si="11"/>
        <v>1.3647113557942077E-3</v>
      </c>
      <c r="F111" s="541">
        <f t="shared" si="12"/>
        <v>181</v>
      </c>
      <c r="G111" s="530">
        <f t="shared" si="12"/>
        <v>178</v>
      </c>
      <c r="H111" s="530">
        <f t="shared" si="12"/>
        <v>182</v>
      </c>
      <c r="I111" s="530">
        <f t="shared" si="12"/>
        <v>186</v>
      </c>
      <c r="J111" s="530">
        <f t="shared" si="12"/>
        <v>189</v>
      </c>
    </row>
    <row r="112" spans="1:10" ht="18" customHeight="1">
      <c r="A112" s="534" t="s">
        <v>1208</v>
      </c>
      <c r="B112" s="534" t="s">
        <v>1266</v>
      </c>
      <c r="C112" s="535" t="s">
        <v>1014</v>
      </c>
      <c r="D112" s="530">
        <f>VLOOKUP(C112,'급수계통별장래인구(출x)'!$C$5:$D$491,2,FALSE)</f>
        <v>161</v>
      </c>
      <c r="E112" s="518">
        <f t="shared" si="11"/>
        <v>1.2484007288799286E-3</v>
      </c>
      <c r="F112" s="541">
        <f t="shared" si="12"/>
        <v>165</v>
      </c>
      <c r="G112" s="530">
        <f t="shared" si="12"/>
        <v>163</v>
      </c>
      <c r="H112" s="530">
        <f t="shared" si="12"/>
        <v>166</v>
      </c>
      <c r="I112" s="530">
        <f t="shared" si="12"/>
        <v>170</v>
      </c>
      <c r="J112" s="530">
        <f t="shared" si="12"/>
        <v>173</v>
      </c>
    </row>
    <row r="113" spans="1:10" ht="18" customHeight="1">
      <c r="A113" s="534" t="s">
        <v>1208</v>
      </c>
      <c r="B113" s="534" t="s">
        <v>1267</v>
      </c>
      <c r="C113" s="535" t="s">
        <v>1015</v>
      </c>
      <c r="D113" s="530">
        <f>VLOOKUP(C113,'급수계통별장래인구(출x)'!$C$5:$D$491,2,FALSE)</f>
        <v>259</v>
      </c>
      <c r="E113" s="518">
        <f t="shared" si="11"/>
        <v>2.0082968247198854E-3</v>
      </c>
      <c r="F113" s="541">
        <f t="shared" si="12"/>
        <v>266</v>
      </c>
      <c r="G113" s="530">
        <f t="shared" si="12"/>
        <v>262</v>
      </c>
      <c r="H113" s="530">
        <f t="shared" si="12"/>
        <v>268</v>
      </c>
      <c r="I113" s="530">
        <f t="shared" si="12"/>
        <v>274</v>
      </c>
      <c r="J113" s="530">
        <f t="shared" si="12"/>
        <v>278</v>
      </c>
    </row>
    <row r="114" spans="1:10" ht="18" customHeight="1">
      <c r="A114" s="534" t="s">
        <v>1208</v>
      </c>
      <c r="B114" s="534" t="s">
        <v>1267</v>
      </c>
      <c r="C114" s="535" t="s">
        <v>1016</v>
      </c>
      <c r="D114" s="530">
        <f>VLOOKUP(C114,'급수계통별장래인구(출x)'!$C$5:$D$491,2,FALSE)</f>
        <v>160</v>
      </c>
      <c r="E114" s="518">
        <f t="shared" si="11"/>
        <v>1.2406466870856434E-3</v>
      </c>
      <c r="F114" s="541">
        <f t="shared" si="12"/>
        <v>164</v>
      </c>
      <c r="G114" s="530">
        <f t="shared" si="12"/>
        <v>162</v>
      </c>
      <c r="H114" s="530">
        <f t="shared" si="12"/>
        <v>165</v>
      </c>
      <c r="I114" s="530">
        <f t="shared" si="12"/>
        <v>169</v>
      </c>
      <c r="J114" s="530">
        <f t="shared" si="12"/>
        <v>172</v>
      </c>
    </row>
    <row r="115" spans="1:10" ht="18" customHeight="1">
      <c r="A115" s="534" t="s">
        <v>1208</v>
      </c>
      <c r="B115" s="534" t="s">
        <v>1267</v>
      </c>
      <c r="C115" s="535" t="s">
        <v>1017</v>
      </c>
      <c r="D115" s="530">
        <f>VLOOKUP(C115,'급수계통별장래인구(출x)'!$C$5:$D$491,2,FALSE)</f>
        <v>199</v>
      </c>
      <c r="E115" s="518">
        <f t="shared" si="11"/>
        <v>1.5430543170627689E-3</v>
      </c>
      <c r="F115" s="541">
        <f t="shared" si="12"/>
        <v>204</v>
      </c>
      <c r="G115" s="530">
        <f t="shared" si="12"/>
        <v>201</v>
      </c>
      <c r="H115" s="530">
        <f t="shared" si="12"/>
        <v>206</v>
      </c>
      <c r="I115" s="530">
        <f t="shared" si="12"/>
        <v>210</v>
      </c>
      <c r="J115" s="530">
        <f t="shared" si="12"/>
        <v>214</v>
      </c>
    </row>
    <row r="116" spans="1:10" ht="18" customHeight="1">
      <c r="A116" s="534" t="s">
        <v>1208</v>
      </c>
      <c r="B116" s="534" t="s">
        <v>1267</v>
      </c>
      <c r="C116" s="535" t="s">
        <v>1018</v>
      </c>
      <c r="D116" s="530">
        <f>VLOOKUP(C116,'급수계통별장래인구(출x)'!$C$5:$D$491,2,FALSE)</f>
        <v>133</v>
      </c>
      <c r="E116" s="518">
        <f t="shared" si="11"/>
        <v>1.031287558639941E-3</v>
      </c>
      <c r="F116" s="541">
        <f t="shared" si="12"/>
        <v>137</v>
      </c>
      <c r="G116" s="530">
        <f t="shared" si="12"/>
        <v>135</v>
      </c>
      <c r="H116" s="530">
        <f t="shared" si="12"/>
        <v>137</v>
      </c>
      <c r="I116" s="530">
        <f t="shared" si="12"/>
        <v>140</v>
      </c>
      <c r="J116" s="530">
        <f t="shared" si="12"/>
        <v>143</v>
      </c>
    </row>
    <row r="117" spans="1:10" ht="18" customHeight="1">
      <c r="A117" s="534" t="s">
        <v>1208</v>
      </c>
      <c r="B117" s="534" t="s">
        <v>1268</v>
      </c>
      <c r="C117" s="535" t="s">
        <v>1019</v>
      </c>
      <c r="D117" s="530">
        <f>VLOOKUP(C117,'급수계통별장래인구(출x)'!$C$5:$D$491,2,FALSE)</f>
        <v>153</v>
      </c>
      <c r="E117" s="518">
        <f t="shared" si="11"/>
        <v>1.1863683945256465E-3</v>
      </c>
      <c r="F117" s="541">
        <f t="shared" si="12"/>
        <v>157</v>
      </c>
      <c r="G117" s="530">
        <f t="shared" si="12"/>
        <v>155</v>
      </c>
      <c r="H117" s="530">
        <f t="shared" si="12"/>
        <v>158</v>
      </c>
      <c r="I117" s="530">
        <f t="shared" si="12"/>
        <v>162</v>
      </c>
      <c r="J117" s="530">
        <f t="shared" si="12"/>
        <v>164</v>
      </c>
    </row>
    <row r="118" spans="1:10" ht="18" customHeight="1">
      <c r="A118" s="534" t="s">
        <v>1208</v>
      </c>
      <c r="B118" s="534" t="s">
        <v>1268</v>
      </c>
      <c r="C118" s="535" t="s">
        <v>1020</v>
      </c>
      <c r="D118" s="530">
        <f>VLOOKUP(C118,'급수계통별장래인구(출x)'!$C$5:$D$491,2,FALSE)</f>
        <v>168</v>
      </c>
      <c r="E118" s="518">
        <f t="shared" si="11"/>
        <v>1.3026790214399255E-3</v>
      </c>
      <c r="F118" s="541">
        <f t="shared" si="12"/>
        <v>173</v>
      </c>
      <c r="G118" s="530">
        <f t="shared" si="12"/>
        <v>170</v>
      </c>
      <c r="H118" s="530">
        <f t="shared" si="12"/>
        <v>174</v>
      </c>
      <c r="I118" s="530">
        <f t="shared" si="12"/>
        <v>177</v>
      </c>
      <c r="J118" s="530">
        <f t="shared" si="12"/>
        <v>181</v>
      </c>
    </row>
    <row r="119" spans="1:10" ht="18" customHeight="1">
      <c r="A119" s="534" t="s">
        <v>1208</v>
      </c>
      <c r="B119" s="534" t="s">
        <v>1268</v>
      </c>
      <c r="C119" s="535" t="s">
        <v>1021</v>
      </c>
      <c r="D119" s="530">
        <f>VLOOKUP(C119,'급수계통별장래인구(출x)'!$C$5:$D$491,2,FALSE)</f>
        <v>199</v>
      </c>
      <c r="E119" s="518">
        <f t="shared" si="11"/>
        <v>1.5430543170627689E-3</v>
      </c>
      <c r="F119" s="541">
        <f t="shared" si="12"/>
        <v>204</v>
      </c>
      <c r="G119" s="530">
        <f t="shared" si="12"/>
        <v>201</v>
      </c>
      <c r="H119" s="530">
        <f t="shared" si="12"/>
        <v>206</v>
      </c>
      <c r="I119" s="530">
        <f t="shared" si="12"/>
        <v>210</v>
      </c>
      <c r="J119" s="530">
        <f t="shared" si="12"/>
        <v>214</v>
      </c>
    </row>
    <row r="120" spans="1:10" ht="18" customHeight="1">
      <c r="A120" s="534" t="s">
        <v>1208</v>
      </c>
      <c r="B120" s="534" t="s">
        <v>1268</v>
      </c>
      <c r="C120" s="535" t="s">
        <v>1022</v>
      </c>
      <c r="D120" s="530">
        <f>VLOOKUP(C120,'급수계통별장래인구(출x)'!$C$5:$D$491,2,FALSE)</f>
        <v>178</v>
      </c>
      <c r="E120" s="518">
        <f t="shared" si="11"/>
        <v>1.3802194393827782E-3</v>
      </c>
      <c r="F120" s="541">
        <f t="shared" si="12"/>
        <v>183</v>
      </c>
      <c r="G120" s="530">
        <f t="shared" si="12"/>
        <v>180</v>
      </c>
      <c r="H120" s="530">
        <f t="shared" si="12"/>
        <v>184</v>
      </c>
      <c r="I120" s="530">
        <f t="shared" si="12"/>
        <v>188</v>
      </c>
      <c r="J120" s="530">
        <f t="shared" si="12"/>
        <v>191</v>
      </c>
    </row>
    <row r="121" spans="1:10" ht="18" customHeight="1">
      <c r="A121" s="534" t="s">
        <v>1208</v>
      </c>
      <c r="B121" s="534" t="s">
        <v>1269</v>
      </c>
      <c r="C121" s="535" t="s">
        <v>1270</v>
      </c>
      <c r="D121" s="530">
        <f>VLOOKUP(C121,'급수계통별장래인구(출x)'!$C$5:$D$491,2,FALSE)</f>
        <v>186</v>
      </c>
      <c r="E121" s="518">
        <f t="shared" si="11"/>
        <v>1.4422517737370604E-3</v>
      </c>
      <c r="F121" s="541">
        <f t="shared" si="12"/>
        <v>191</v>
      </c>
      <c r="G121" s="530">
        <f t="shared" si="12"/>
        <v>188</v>
      </c>
      <c r="H121" s="530">
        <f t="shared" si="12"/>
        <v>192</v>
      </c>
      <c r="I121" s="530">
        <f t="shared" si="12"/>
        <v>196</v>
      </c>
      <c r="J121" s="530">
        <f t="shared" si="12"/>
        <v>200</v>
      </c>
    </row>
    <row r="122" spans="1:10" ht="18" customHeight="1">
      <c r="A122" s="534" t="s">
        <v>1208</v>
      </c>
      <c r="B122" s="534" t="s">
        <v>1269</v>
      </c>
      <c r="C122" s="535" t="s">
        <v>1271</v>
      </c>
      <c r="D122" s="530">
        <f>VLOOKUP(C122,'급수계통별장래인구(출x)'!$C$5:$D$491,2,FALSE)</f>
        <v>148</v>
      </c>
      <c r="E122" s="518">
        <f t="shared" si="11"/>
        <v>1.1475981855542201E-3</v>
      </c>
      <c r="F122" s="541">
        <f t="shared" si="12"/>
        <v>152</v>
      </c>
      <c r="G122" s="530">
        <f t="shared" si="12"/>
        <v>150</v>
      </c>
      <c r="H122" s="530">
        <f t="shared" si="12"/>
        <v>153</v>
      </c>
      <c r="I122" s="530">
        <f t="shared" si="12"/>
        <v>156</v>
      </c>
      <c r="J122" s="530">
        <f t="shared" si="12"/>
        <v>159</v>
      </c>
    </row>
    <row r="123" spans="1:10" ht="18" customHeight="1">
      <c r="A123" s="534" t="s">
        <v>1208</v>
      </c>
      <c r="B123" s="534" t="s">
        <v>1272</v>
      </c>
      <c r="C123" s="535" t="s">
        <v>1023</v>
      </c>
      <c r="D123" s="530">
        <f>VLOOKUP(C123,'급수계통별장래인구(출x)'!$C$5:$D$491,2,FALSE)</f>
        <v>134</v>
      </c>
      <c r="E123" s="518">
        <f t="shared" si="11"/>
        <v>1.0390416004342263E-3</v>
      </c>
      <c r="F123" s="541">
        <f t="shared" si="12"/>
        <v>138</v>
      </c>
      <c r="G123" s="530">
        <f t="shared" si="12"/>
        <v>136</v>
      </c>
      <c r="H123" s="530">
        <f t="shared" si="12"/>
        <v>138</v>
      </c>
      <c r="I123" s="530">
        <f t="shared" si="12"/>
        <v>142</v>
      </c>
      <c r="J123" s="530">
        <f t="shared" si="12"/>
        <v>144</v>
      </c>
    </row>
    <row r="124" spans="1:10" ht="18" customHeight="1">
      <c r="A124" s="537" t="s">
        <v>1210</v>
      </c>
      <c r="B124" s="577" t="s">
        <v>1232</v>
      </c>
      <c r="C124" s="577"/>
      <c r="D124" s="538">
        <f>SUM(D125:D157)</f>
        <v>5303</v>
      </c>
      <c r="E124" s="538"/>
      <c r="F124" s="538">
        <f t="shared" ref="F124" si="13">SUM(F125:F157)</f>
        <v>5445</v>
      </c>
      <c r="G124" s="538">
        <f t="shared" ref="G124:J124" si="14">SUM(G125:G157)</f>
        <v>5364</v>
      </c>
      <c r="H124" s="538">
        <f t="shared" si="14"/>
        <v>5477</v>
      </c>
      <c r="I124" s="538">
        <f t="shared" si="14"/>
        <v>5601</v>
      </c>
      <c r="J124" s="538">
        <f t="shared" si="14"/>
        <v>5699</v>
      </c>
    </row>
    <row r="125" spans="1:10" ht="18" customHeight="1">
      <c r="A125" s="534" t="s">
        <v>1210</v>
      </c>
      <c r="B125" s="534" t="s">
        <v>1273</v>
      </c>
      <c r="C125" s="535" t="s">
        <v>1024</v>
      </c>
      <c r="D125" s="530">
        <f>VLOOKUP(C125,'급수계통별장래인구(출x)'!$C$5:$D$491,2,FALSE)</f>
        <v>300</v>
      </c>
      <c r="E125" s="518">
        <f t="shared" ref="E125:E157" si="15">D125/$D$3</f>
        <v>2.3262125382855813E-3</v>
      </c>
      <c r="F125" s="541">
        <f t="shared" ref="F125:J187" si="16">ROUND($E125*F$3,0)</f>
        <v>308</v>
      </c>
      <c r="G125" s="530">
        <f t="shared" si="16"/>
        <v>303</v>
      </c>
      <c r="H125" s="530">
        <f t="shared" si="16"/>
        <v>310</v>
      </c>
      <c r="I125" s="530">
        <f t="shared" si="16"/>
        <v>317</v>
      </c>
      <c r="J125" s="530">
        <f t="shared" si="16"/>
        <v>322</v>
      </c>
    </row>
    <row r="126" spans="1:10" ht="18" customHeight="1">
      <c r="A126" s="534" t="s">
        <v>1210</v>
      </c>
      <c r="B126" s="534" t="s">
        <v>1273</v>
      </c>
      <c r="C126" s="535" t="s">
        <v>1025</v>
      </c>
      <c r="D126" s="530">
        <f>VLOOKUP(C126,'급수계통별장래인구(출x)'!$C$5:$D$491,2,FALSE)</f>
        <v>170</v>
      </c>
      <c r="E126" s="518">
        <f t="shared" si="15"/>
        <v>1.3181871050284961E-3</v>
      </c>
      <c r="F126" s="541">
        <f t="shared" si="16"/>
        <v>175</v>
      </c>
      <c r="G126" s="530">
        <f t="shared" si="16"/>
        <v>172</v>
      </c>
      <c r="H126" s="530">
        <f t="shared" si="16"/>
        <v>176</v>
      </c>
      <c r="I126" s="530">
        <f t="shared" si="16"/>
        <v>180</v>
      </c>
      <c r="J126" s="530">
        <f t="shared" si="16"/>
        <v>183</v>
      </c>
    </row>
    <row r="127" spans="1:10" ht="18" customHeight="1">
      <c r="A127" s="534" t="s">
        <v>1210</v>
      </c>
      <c r="B127" s="534" t="s">
        <v>1273</v>
      </c>
      <c r="C127" s="535" t="s">
        <v>1026</v>
      </c>
      <c r="D127" s="530">
        <f>VLOOKUP(C127,'급수계통별장래인구(출x)'!$C$5:$D$491,2,FALSE)</f>
        <v>155</v>
      </c>
      <c r="E127" s="518">
        <f t="shared" si="15"/>
        <v>1.201876478114217E-3</v>
      </c>
      <c r="F127" s="541">
        <f t="shared" si="16"/>
        <v>159</v>
      </c>
      <c r="G127" s="530">
        <f t="shared" si="16"/>
        <v>157</v>
      </c>
      <c r="H127" s="530">
        <f t="shared" si="16"/>
        <v>160</v>
      </c>
      <c r="I127" s="530">
        <f t="shared" si="16"/>
        <v>164</v>
      </c>
      <c r="J127" s="530">
        <f t="shared" si="16"/>
        <v>167</v>
      </c>
    </row>
    <row r="128" spans="1:10" ht="18" customHeight="1">
      <c r="A128" s="534" t="s">
        <v>1210</v>
      </c>
      <c r="B128" s="534" t="s">
        <v>1274</v>
      </c>
      <c r="C128" s="535" t="s">
        <v>1027</v>
      </c>
      <c r="D128" s="530">
        <f>VLOOKUP(C128,'급수계통별장래인구(출x)'!$C$5:$D$491,2,FALSE)</f>
        <v>125</v>
      </c>
      <c r="E128" s="518">
        <f t="shared" si="15"/>
        <v>9.6925522428565887E-4</v>
      </c>
      <c r="F128" s="541">
        <f t="shared" si="16"/>
        <v>128</v>
      </c>
      <c r="G128" s="530">
        <f t="shared" si="16"/>
        <v>126</v>
      </c>
      <c r="H128" s="530">
        <f t="shared" si="16"/>
        <v>129</v>
      </c>
      <c r="I128" s="530">
        <f t="shared" si="16"/>
        <v>132</v>
      </c>
      <c r="J128" s="530">
        <f t="shared" si="16"/>
        <v>134</v>
      </c>
    </row>
    <row r="129" spans="1:10" ht="18" customHeight="1">
      <c r="A129" s="534" t="s">
        <v>1210</v>
      </c>
      <c r="B129" s="534" t="s">
        <v>1274</v>
      </c>
      <c r="C129" s="535" t="s">
        <v>1028</v>
      </c>
      <c r="D129" s="530">
        <f>VLOOKUP(C129,'급수계통별장래인구(출x)'!$C$5:$D$491,2,FALSE)</f>
        <v>115</v>
      </c>
      <c r="E129" s="518">
        <f t="shared" si="15"/>
        <v>8.9171480634280616E-4</v>
      </c>
      <c r="F129" s="541">
        <f t="shared" si="16"/>
        <v>118</v>
      </c>
      <c r="G129" s="530">
        <f t="shared" si="16"/>
        <v>116</v>
      </c>
      <c r="H129" s="530">
        <f t="shared" si="16"/>
        <v>119</v>
      </c>
      <c r="I129" s="530">
        <f t="shared" si="16"/>
        <v>121</v>
      </c>
      <c r="J129" s="530">
        <f t="shared" si="16"/>
        <v>124</v>
      </c>
    </row>
    <row r="130" spans="1:10" ht="18" customHeight="1">
      <c r="A130" s="534" t="s">
        <v>1210</v>
      </c>
      <c r="B130" s="534" t="s">
        <v>1275</v>
      </c>
      <c r="C130" s="535" t="s">
        <v>1029</v>
      </c>
      <c r="D130" s="530">
        <f>VLOOKUP(C130,'급수계통별장래인구(출x)'!$C$5:$D$491,2,FALSE)</f>
        <v>192</v>
      </c>
      <c r="E130" s="518">
        <f t="shared" si="15"/>
        <v>1.488776024502772E-3</v>
      </c>
      <c r="F130" s="541">
        <f t="shared" si="16"/>
        <v>197</v>
      </c>
      <c r="G130" s="530">
        <f t="shared" si="16"/>
        <v>194</v>
      </c>
      <c r="H130" s="530">
        <f t="shared" si="16"/>
        <v>198</v>
      </c>
      <c r="I130" s="530">
        <f t="shared" si="16"/>
        <v>203</v>
      </c>
      <c r="J130" s="530">
        <f t="shared" si="16"/>
        <v>206</v>
      </c>
    </row>
    <row r="131" spans="1:10" ht="18" customHeight="1">
      <c r="A131" s="534" t="s">
        <v>1210</v>
      </c>
      <c r="B131" s="534" t="s">
        <v>1275</v>
      </c>
      <c r="C131" s="535" t="s">
        <v>1030</v>
      </c>
      <c r="D131" s="530">
        <f>VLOOKUP(C131,'급수계통별장래인구(출x)'!$C$5:$D$491,2,FALSE)</f>
        <v>211</v>
      </c>
      <c r="E131" s="518">
        <f t="shared" si="15"/>
        <v>1.6361028185941922E-3</v>
      </c>
      <c r="F131" s="541">
        <f t="shared" si="16"/>
        <v>217</v>
      </c>
      <c r="G131" s="530">
        <f t="shared" si="16"/>
        <v>213</v>
      </c>
      <c r="H131" s="530">
        <f t="shared" si="16"/>
        <v>218</v>
      </c>
      <c r="I131" s="530">
        <f t="shared" si="16"/>
        <v>223</v>
      </c>
      <c r="J131" s="530">
        <f t="shared" si="16"/>
        <v>227</v>
      </c>
    </row>
    <row r="132" spans="1:10" ht="18" customHeight="1">
      <c r="A132" s="534" t="s">
        <v>1210</v>
      </c>
      <c r="B132" s="534" t="s">
        <v>1275</v>
      </c>
      <c r="C132" s="535" t="s">
        <v>1031</v>
      </c>
      <c r="D132" s="530">
        <f>VLOOKUP(C132,'급수계통별장래인구(출x)'!$C$5:$D$491,2,FALSE)</f>
        <v>183</v>
      </c>
      <c r="E132" s="518">
        <f t="shared" si="15"/>
        <v>1.4189896483542046E-3</v>
      </c>
      <c r="F132" s="541">
        <f t="shared" si="16"/>
        <v>188</v>
      </c>
      <c r="G132" s="530">
        <f t="shared" si="16"/>
        <v>185</v>
      </c>
      <c r="H132" s="530">
        <f t="shared" si="16"/>
        <v>189</v>
      </c>
      <c r="I132" s="530">
        <f t="shared" si="16"/>
        <v>193</v>
      </c>
      <c r="J132" s="530">
        <f t="shared" si="16"/>
        <v>197</v>
      </c>
    </row>
    <row r="133" spans="1:10" ht="18" customHeight="1">
      <c r="A133" s="534" t="s">
        <v>1210</v>
      </c>
      <c r="B133" s="534" t="s">
        <v>1276</v>
      </c>
      <c r="C133" s="535" t="s">
        <v>1032</v>
      </c>
      <c r="D133" s="530">
        <f>VLOOKUP(C133,'급수계통별장래인구(출x)'!$C$5:$D$491,2,FALSE)</f>
        <v>217</v>
      </c>
      <c r="E133" s="518">
        <f t="shared" si="15"/>
        <v>1.6826270693599038E-3</v>
      </c>
      <c r="F133" s="541">
        <f t="shared" si="16"/>
        <v>223</v>
      </c>
      <c r="G133" s="530">
        <f t="shared" si="16"/>
        <v>220</v>
      </c>
      <c r="H133" s="530">
        <f t="shared" si="16"/>
        <v>224</v>
      </c>
      <c r="I133" s="530">
        <f t="shared" si="16"/>
        <v>229</v>
      </c>
      <c r="J133" s="530">
        <f t="shared" si="16"/>
        <v>233</v>
      </c>
    </row>
    <row r="134" spans="1:10" ht="18" customHeight="1">
      <c r="A134" s="534" t="s">
        <v>1210</v>
      </c>
      <c r="B134" s="534" t="s">
        <v>1276</v>
      </c>
      <c r="C134" s="535" t="s">
        <v>1033</v>
      </c>
      <c r="D134" s="530">
        <f>VLOOKUP(C134,'급수계통별장래인구(출x)'!$C$5:$D$491,2,FALSE)</f>
        <v>164</v>
      </c>
      <c r="E134" s="518">
        <f t="shared" si="15"/>
        <v>1.2716628542627844E-3</v>
      </c>
      <c r="F134" s="541">
        <f t="shared" si="16"/>
        <v>168</v>
      </c>
      <c r="G134" s="530">
        <f t="shared" si="16"/>
        <v>166</v>
      </c>
      <c r="H134" s="530">
        <f t="shared" si="16"/>
        <v>169</v>
      </c>
      <c r="I134" s="530">
        <f t="shared" si="16"/>
        <v>173</v>
      </c>
      <c r="J134" s="530">
        <f t="shared" si="16"/>
        <v>176</v>
      </c>
    </row>
    <row r="135" spans="1:10" ht="18" customHeight="1">
      <c r="A135" s="534" t="s">
        <v>1210</v>
      </c>
      <c r="B135" s="534" t="s">
        <v>1277</v>
      </c>
      <c r="C135" s="536" t="s">
        <v>1034</v>
      </c>
      <c r="D135" s="530">
        <f>VLOOKUP(C135,'급수계통별장래인구(출x)'!$C$5:$D$491,2,FALSE)</f>
        <v>156</v>
      </c>
      <c r="E135" s="518">
        <f t="shared" si="15"/>
        <v>1.2096305199085023E-3</v>
      </c>
      <c r="F135" s="541">
        <f t="shared" si="16"/>
        <v>160</v>
      </c>
      <c r="G135" s="530">
        <f t="shared" si="16"/>
        <v>158</v>
      </c>
      <c r="H135" s="530">
        <f t="shared" si="16"/>
        <v>161</v>
      </c>
      <c r="I135" s="530">
        <f t="shared" si="16"/>
        <v>165</v>
      </c>
      <c r="J135" s="530">
        <f t="shared" si="16"/>
        <v>168</v>
      </c>
    </row>
    <row r="136" spans="1:10" ht="18" customHeight="1">
      <c r="A136" s="534" t="s">
        <v>1210</v>
      </c>
      <c r="B136" s="534" t="s">
        <v>1278</v>
      </c>
      <c r="C136" s="535" t="s">
        <v>1035</v>
      </c>
      <c r="D136" s="530">
        <f>VLOOKUP(C136,'급수계통별장래인구(출x)'!$C$5:$D$491,2,FALSE)</f>
        <v>248</v>
      </c>
      <c r="E136" s="518">
        <f t="shared" si="15"/>
        <v>1.9230023649827472E-3</v>
      </c>
      <c r="F136" s="541">
        <f t="shared" si="16"/>
        <v>255</v>
      </c>
      <c r="G136" s="530">
        <f t="shared" si="16"/>
        <v>251</v>
      </c>
      <c r="H136" s="530">
        <f t="shared" si="16"/>
        <v>256</v>
      </c>
      <c r="I136" s="530">
        <f t="shared" si="16"/>
        <v>262</v>
      </c>
      <c r="J136" s="530">
        <f t="shared" si="16"/>
        <v>266</v>
      </c>
    </row>
    <row r="137" spans="1:10" ht="18" customHeight="1">
      <c r="A137" s="534" t="s">
        <v>1210</v>
      </c>
      <c r="B137" s="534" t="s">
        <v>1278</v>
      </c>
      <c r="C137" s="535" t="s">
        <v>1036</v>
      </c>
      <c r="D137" s="530">
        <f>VLOOKUP(C137,'급수계통별장래인구(출x)'!$C$5:$D$491,2,FALSE)</f>
        <v>107</v>
      </c>
      <c r="E137" s="518">
        <f t="shared" si="15"/>
        <v>8.2968247198852399E-4</v>
      </c>
      <c r="F137" s="541">
        <f t="shared" ref="F137:F187" si="17">ROUND($E137*F$3,0)</f>
        <v>110</v>
      </c>
      <c r="G137" s="530">
        <f t="shared" si="16"/>
        <v>108</v>
      </c>
      <c r="H137" s="530">
        <f t="shared" si="16"/>
        <v>111</v>
      </c>
      <c r="I137" s="530">
        <f t="shared" si="16"/>
        <v>113</v>
      </c>
      <c r="J137" s="530">
        <f t="shared" si="16"/>
        <v>115</v>
      </c>
    </row>
    <row r="138" spans="1:10" ht="18" customHeight="1">
      <c r="A138" s="534" t="s">
        <v>1210</v>
      </c>
      <c r="B138" s="534" t="s">
        <v>1279</v>
      </c>
      <c r="C138" s="535" t="s">
        <v>1037</v>
      </c>
      <c r="D138" s="530">
        <f>VLOOKUP(C138,'급수계통별장래인구(출x)'!$C$5:$D$491,2,FALSE)</f>
        <v>187</v>
      </c>
      <c r="E138" s="518">
        <f t="shared" si="15"/>
        <v>1.4500058155313457E-3</v>
      </c>
      <c r="F138" s="541">
        <f t="shared" si="17"/>
        <v>192</v>
      </c>
      <c r="G138" s="530">
        <f t="shared" si="16"/>
        <v>189</v>
      </c>
      <c r="H138" s="530">
        <f t="shared" si="16"/>
        <v>193</v>
      </c>
      <c r="I138" s="530">
        <f t="shared" si="16"/>
        <v>198</v>
      </c>
      <c r="J138" s="530">
        <f t="shared" si="16"/>
        <v>201</v>
      </c>
    </row>
    <row r="139" spans="1:10" ht="18" customHeight="1">
      <c r="A139" s="534" t="s">
        <v>1210</v>
      </c>
      <c r="B139" s="534" t="s">
        <v>1280</v>
      </c>
      <c r="C139" s="535" t="s">
        <v>1038</v>
      </c>
      <c r="D139" s="530">
        <f>VLOOKUP(C139,'급수계통별장래인구(출x)'!$C$5:$D$491,2,FALSE)</f>
        <v>239</v>
      </c>
      <c r="E139" s="518">
        <f t="shared" si="15"/>
        <v>1.8532159888341798E-3</v>
      </c>
      <c r="F139" s="541">
        <f t="shared" si="17"/>
        <v>246</v>
      </c>
      <c r="G139" s="530">
        <f t="shared" si="16"/>
        <v>242</v>
      </c>
      <c r="H139" s="530">
        <f t="shared" si="16"/>
        <v>247</v>
      </c>
      <c r="I139" s="530">
        <f t="shared" si="16"/>
        <v>252</v>
      </c>
      <c r="J139" s="530">
        <f t="shared" si="16"/>
        <v>257</v>
      </c>
    </row>
    <row r="140" spans="1:10" ht="18" customHeight="1">
      <c r="A140" s="534" t="s">
        <v>1210</v>
      </c>
      <c r="B140" s="534" t="s">
        <v>1280</v>
      </c>
      <c r="C140" s="535" t="s">
        <v>1039</v>
      </c>
      <c r="D140" s="530">
        <f>VLOOKUP(C140,'급수계통별장래인구(출x)'!$C$5:$D$491,2,FALSE)</f>
        <v>237</v>
      </c>
      <c r="E140" s="518">
        <f t="shared" si="15"/>
        <v>1.8377079052456092E-3</v>
      </c>
      <c r="F140" s="541">
        <f t="shared" si="17"/>
        <v>243</v>
      </c>
      <c r="G140" s="530">
        <f t="shared" si="16"/>
        <v>240</v>
      </c>
      <c r="H140" s="530">
        <f t="shared" si="16"/>
        <v>245</v>
      </c>
      <c r="I140" s="530">
        <f t="shared" si="16"/>
        <v>250</v>
      </c>
      <c r="J140" s="530">
        <f t="shared" si="16"/>
        <v>255</v>
      </c>
    </row>
    <row r="141" spans="1:10" ht="18" customHeight="1">
      <c r="A141" s="534" t="s">
        <v>1210</v>
      </c>
      <c r="B141" s="534" t="s">
        <v>1280</v>
      </c>
      <c r="C141" s="535" t="s">
        <v>1040</v>
      </c>
      <c r="D141" s="530">
        <f>VLOOKUP(C141,'급수계통별장래인구(출x)'!$C$5:$D$491,2,FALSE)</f>
        <v>163</v>
      </c>
      <c r="E141" s="518">
        <f t="shared" si="15"/>
        <v>1.2639088124684992E-3</v>
      </c>
      <c r="F141" s="541">
        <f t="shared" si="17"/>
        <v>167</v>
      </c>
      <c r="G141" s="530">
        <f t="shared" si="16"/>
        <v>165</v>
      </c>
      <c r="H141" s="530">
        <f t="shared" si="16"/>
        <v>168</v>
      </c>
      <c r="I141" s="530">
        <f t="shared" si="16"/>
        <v>172</v>
      </c>
      <c r="J141" s="530">
        <f t="shared" si="16"/>
        <v>175</v>
      </c>
    </row>
    <row r="142" spans="1:10" ht="18" customHeight="1">
      <c r="A142" s="534" t="s">
        <v>1210</v>
      </c>
      <c r="B142" s="534" t="s">
        <v>1280</v>
      </c>
      <c r="C142" s="535" t="s">
        <v>1041</v>
      </c>
      <c r="D142" s="530">
        <f>VLOOKUP(C142,'급수계통별장래인구(출x)'!$C$5:$D$491,2,FALSE)</f>
        <v>93</v>
      </c>
      <c r="E142" s="518">
        <f t="shared" si="15"/>
        <v>7.211258868685302E-4</v>
      </c>
      <c r="F142" s="541">
        <f t="shared" si="17"/>
        <v>96</v>
      </c>
      <c r="G142" s="530">
        <f t="shared" si="16"/>
        <v>94</v>
      </c>
      <c r="H142" s="530">
        <f t="shared" si="16"/>
        <v>96</v>
      </c>
      <c r="I142" s="530">
        <f t="shared" si="16"/>
        <v>98</v>
      </c>
      <c r="J142" s="530">
        <f t="shared" si="16"/>
        <v>100</v>
      </c>
    </row>
    <row r="143" spans="1:10" ht="18" customHeight="1">
      <c r="A143" s="534" t="s">
        <v>1210</v>
      </c>
      <c r="B143" s="534" t="s">
        <v>1281</v>
      </c>
      <c r="C143" s="535" t="s">
        <v>1042</v>
      </c>
      <c r="D143" s="530">
        <f>VLOOKUP(C143,'급수계통별장래인구(출x)'!$C$5:$D$491,2,FALSE)</f>
        <v>401</v>
      </c>
      <c r="E143" s="518">
        <f t="shared" si="15"/>
        <v>3.1093707595083939E-3</v>
      </c>
      <c r="F143" s="541">
        <f t="shared" si="17"/>
        <v>412</v>
      </c>
      <c r="G143" s="530">
        <f t="shared" si="16"/>
        <v>406</v>
      </c>
      <c r="H143" s="530">
        <f t="shared" si="16"/>
        <v>414</v>
      </c>
      <c r="I143" s="530">
        <f t="shared" si="16"/>
        <v>424</v>
      </c>
      <c r="J143" s="530">
        <f t="shared" si="16"/>
        <v>431</v>
      </c>
    </row>
    <row r="144" spans="1:10" ht="18" customHeight="1">
      <c r="A144" s="534" t="s">
        <v>1210</v>
      </c>
      <c r="B144" s="534" t="s">
        <v>1281</v>
      </c>
      <c r="C144" s="535" t="s">
        <v>1043</v>
      </c>
      <c r="D144" s="530">
        <f>VLOOKUP(C144,'급수계통별장래인구(출x)'!$C$5:$D$491,2,FALSE)</f>
        <v>71</v>
      </c>
      <c r="E144" s="518">
        <f t="shared" si="15"/>
        <v>5.5053696739425424E-4</v>
      </c>
      <c r="F144" s="541">
        <f t="shared" si="17"/>
        <v>73</v>
      </c>
      <c r="G144" s="530">
        <f t="shared" si="16"/>
        <v>72</v>
      </c>
      <c r="H144" s="530">
        <f t="shared" si="16"/>
        <v>73</v>
      </c>
      <c r="I144" s="530">
        <f t="shared" si="16"/>
        <v>75</v>
      </c>
      <c r="J144" s="530">
        <f t="shared" si="16"/>
        <v>76</v>
      </c>
    </row>
    <row r="145" spans="1:10" ht="18" customHeight="1">
      <c r="A145" s="534" t="s">
        <v>1210</v>
      </c>
      <c r="B145" s="534" t="s">
        <v>1281</v>
      </c>
      <c r="C145" s="535" t="s">
        <v>1044</v>
      </c>
      <c r="D145" s="530">
        <f>VLOOKUP(C145,'급수계통별장래인구(출x)'!$C$5:$D$491,2,FALSE)</f>
        <v>94</v>
      </c>
      <c r="E145" s="518">
        <f t="shared" si="15"/>
        <v>7.2887992866281547E-4</v>
      </c>
      <c r="F145" s="541">
        <f t="shared" si="17"/>
        <v>97</v>
      </c>
      <c r="G145" s="530">
        <f t="shared" si="16"/>
        <v>95</v>
      </c>
      <c r="H145" s="530">
        <f t="shared" si="16"/>
        <v>97</v>
      </c>
      <c r="I145" s="530">
        <f t="shared" si="16"/>
        <v>99</v>
      </c>
      <c r="J145" s="530">
        <f t="shared" si="16"/>
        <v>101</v>
      </c>
    </row>
    <row r="146" spans="1:10" ht="18" customHeight="1">
      <c r="A146" s="534" t="s">
        <v>1210</v>
      </c>
      <c r="B146" s="534" t="s">
        <v>1282</v>
      </c>
      <c r="C146" s="535" t="s">
        <v>1045</v>
      </c>
      <c r="D146" s="530">
        <f>VLOOKUP(C146,'급수계통별장래인구(출x)'!$C$5:$D$491,2,FALSE)</f>
        <v>154</v>
      </c>
      <c r="E146" s="518">
        <f t="shared" si="15"/>
        <v>1.1941224363199317E-3</v>
      </c>
      <c r="F146" s="541">
        <f t="shared" si="17"/>
        <v>158</v>
      </c>
      <c r="G146" s="530">
        <f t="shared" si="16"/>
        <v>156</v>
      </c>
      <c r="H146" s="530">
        <f t="shared" si="16"/>
        <v>159</v>
      </c>
      <c r="I146" s="530">
        <f t="shared" si="16"/>
        <v>163</v>
      </c>
      <c r="J146" s="530">
        <f t="shared" si="16"/>
        <v>165</v>
      </c>
    </row>
    <row r="147" spans="1:10" ht="18" customHeight="1">
      <c r="A147" s="534" t="s">
        <v>1210</v>
      </c>
      <c r="B147" s="534" t="s">
        <v>1282</v>
      </c>
      <c r="C147" s="535" t="s">
        <v>1046</v>
      </c>
      <c r="D147" s="530">
        <f>VLOOKUP(C147,'급수계통별장래인구(출x)'!$C$5:$D$491,2,FALSE)</f>
        <v>123</v>
      </c>
      <c r="E147" s="518">
        <f t="shared" si="15"/>
        <v>9.5374714069708833E-4</v>
      </c>
      <c r="F147" s="541">
        <f t="shared" si="17"/>
        <v>126</v>
      </c>
      <c r="G147" s="530">
        <f t="shared" si="16"/>
        <v>124</v>
      </c>
      <c r="H147" s="530">
        <f t="shared" si="16"/>
        <v>127</v>
      </c>
      <c r="I147" s="530">
        <f t="shared" si="16"/>
        <v>130</v>
      </c>
      <c r="J147" s="530">
        <f t="shared" si="16"/>
        <v>132</v>
      </c>
    </row>
    <row r="148" spans="1:10" ht="18" customHeight="1">
      <c r="A148" s="534" t="s">
        <v>1210</v>
      </c>
      <c r="B148" s="534" t="s">
        <v>1282</v>
      </c>
      <c r="C148" s="535" t="s">
        <v>1047</v>
      </c>
      <c r="D148" s="530">
        <f>VLOOKUP(C148,'급수계통별장래인구(출x)'!$C$5:$D$491,2,FALSE)</f>
        <v>82</v>
      </c>
      <c r="E148" s="518">
        <f t="shared" si="15"/>
        <v>6.3583142713139222E-4</v>
      </c>
      <c r="F148" s="541">
        <f t="shared" si="17"/>
        <v>84</v>
      </c>
      <c r="G148" s="530">
        <f t="shared" si="16"/>
        <v>83</v>
      </c>
      <c r="H148" s="530">
        <f t="shared" si="16"/>
        <v>85</v>
      </c>
      <c r="I148" s="530">
        <f t="shared" si="16"/>
        <v>87</v>
      </c>
      <c r="J148" s="530">
        <f t="shared" si="16"/>
        <v>88</v>
      </c>
    </row>
    <row r="149" spans="1:10" ht="18" customHeight="1">
      <c r="A149" s="534" t="s">
        <v>1210</v>
      </c>
      <c r="B149" s="534" t="s">
        <v>1282</v>
      </c>
      <c r="C149" s="535" t="s">
        <v>1048</v>
      </c>
      <c r="D149" s="530">
        <f>VLOOKUP(C149,'급수계통별장래인구(출x)'!$C$5:$D$491,2,FALSE)</f>
        <v>88</v>
      </c>
      <c r="E149" s="518">
        <f t="shared" si="15"/>
        <v>6.8235567789710384E-4</v>
      </c>
      <c r="F149" s="541">
        <f t="shared" si="17"/>
        <v>90</v>
      </c>
      <c r="G149" s="530">
        <f t="shared" si="16"/>
        <v>89</v>
      </c>
      <c r="H149" s="530">
        <f t="shared" si="16"/>
        <v>91</v>
      </c>
      <c r="I149" s="530">
        <f t="shared" si="16"/>
        <v>93</v>
      </c>
      <c r="J149" s="530">
        <f t="shared" si="16"/>
        <v>95</v>
      </c>
    </row>
    <row r="150" spans="1:10" ht="18" customHeight="1">
      <c r="A150" s="534" t="s">
        <v>1210</v>
      </c>
      <c r="B150" s="534" t="s">
        <v>1283</v>
      </c>
      <c r="C150" s="535" t="s">
        <v>1049</v>
      </c>
      <c r="D150" s="530">
        <f>VLOOKUP(C150,'급수계통별장래인구(출x)'!$C$5:$D$491,2,FALSE)</f>
        <v>162</v>
      </c>
      <c r="E150" s="518">
        <f t="shared" si="15"/>
        <v>1.2561547706742139E-3</v>
      </c>
      <c r="F150" s="541">
        <f t="shared" si="17"/>
        <v>166</v>
      </c>
      <c r="G150" s="530">
        <f t="shared" si="16"/>
        <v>164</v>
      </c>
      <c r="H150" s="530">
        <f t="shared" si="16"/>
        <v>167</v>
      </c>
      <c r="I150" s="530">
        <f t="shared" si="16"/>
        <v>171</v>
      </c>
      <c r="J150" s="530">
        <f t="shared" si="16"/>
        <v>174</v>
      </c>
    </row>
    <row r="151" spans="1:10" ht="18" customHeight="1">
      <c r="A151" s="534" t="s">
        <v>1210</v>
      </c>
      <c r="B151" s="534" t="s">
        <v>1283</v>
      </c>
      <c r="C151" s="535" t="s">
        <v>1050</v>
      </c>
      <c r="D151" s="530">
        <f>VLOOKUP(C151,'급수계통별장래인구(출x)'!$C$5:$D$491,2,FALSE)</f>
        <v>95</v>
      </c>
      <c r="E151" s="518">
        <f t="shared" si="15"/>
        <v>7.3663397045710074E-4</v>
      </c>
      <c r="F151" s="541">
        <f t="shared" si="17"/>
        <v>98</v>
      </c>
      <c r="G151" s="530">
        <f t="shared" si="16"/>
        <v>96</v>
      </c>
      <c r="H151" s="530">
        <f t="shared" si="16"/>
        <v>98</v>
      </c>
      <c r="I151" s="530">
        <f t="shared" si="16"/>
        <v>100</v>
      </c>
      <c r="J151" s="530">
        <f t="shared" si="16"/>
        <v>102</v>
      </c>
    </row>
    <row r="152" spans="1:10" ht="18" customHeight="1">
      <c r="A152" s="534" t="s">
        <v>1210</v>
      </c>
      <c r="B152" s="534" t="s">
        <v>1283</v>
      </c>
      <c r="C152" s="535" t="s">
        <v>1051</v>
      </c>
      <c r="D152" s="530">
        <f>VLOOKUP(C152,'급수계통별장래인구(출x)'!$C$5:$D$491,2,FALSE)</f>
        <v>115</v>
      </c>
      <c r="E152" s="518">
        <f t="shared" si="15"/>
        <v>8.9171480634280616E-4</v>
      </c>
      <c r="F152" s="541">
        <f t="shared" si="17"/>
        <v>118</v>
      </c>
      <c r="G152" s="530">
        <f t="shared" si="16"/>
        <v>116</v>
      </c>
      <c r="H152" s="530">
        <f t="shared" si="16"/>
        <v>119</v>
      </c>
      <c r="I152" s="530">
        <f t="shared" si="16"/>
        <v>121</v>
      </c>
      <c r="J152" s="530">
        <f t="shared" si="16"/>
        <v>124</v>
      </c>
    </row>
    <row r="153" spans="1:10" ht="18" customHeight="1">
      <c r="A153" s="534" t="s">
        <v>1210</v>
      </c>
      <c r="B153" s="534" t="s">
        <v>1284</v>
      </c>
      <c r="C153" s="535" t="s">
        <v>1052</v>
      </c>
      <c r="D153" s="530">
        <f>VLOOKUP(C153,'급수계통별장래인구(출x)'!$C$5:$D$491,2,FALSE)</f>
        <v>156</v>
      </c>
      <c r="E153" s="518">
        <f t="shared" si="15"/>
        <v>1.2096305199085023E-3</v>
      </c>
      <c r="F153" s="541">
        <f t="shared" si="17"/>
        <v>160</v>
      </c>
      <c r="G153" s="530">
        <f t="shared" si="16"/>
        <v>158</v>
      </c>
      <c r="H153" s="530">
        <f t="shared" si="16"/>
        <v>161</v>
      </c>
      <c r="I153" s="530">
        <f t="shared" si="16"/>
        <v>165</v>
      </c>
      <c r="J153" s="530">
        <f t="shared" si="16"/>
        <v>168</v>
      </c>
    </row>
    <row r="154" spans="1:10" ht="18" customHeight="1">
      <c r="A154" s="534" t="s">
        <v>1210</v>
      </c>
      <c r="B154" s="534" t="s">
        <v>1284</v>
      </c>
      <c r="C154" s="535" t="s">
        <v>1053</v>
      </c>
      <c r="D154" s="530">
        <f>VLOOKUP(C154,'급수계통별장래인구(출x)'!$C$5:$D$491,2,FALSE)</f>
        <v>150</v>
      </c>
      <c r="E154" s="518">
        <f t="shared" si="15"/>
        <v>1.1631062691427906E-3</v>
      </c>
      <c r="F154" s="541">
        <f t="shared" si="17"/>
        <v>154</v>
      </c>
      <c r="G154" s="530">
        <f t="shared" si="16"/>
        <v>152</v>
      </c>
      <c r="H154" s="530">
        <f t="shared" si="16"/>
        <v>155</v>
      </c>
      <c r="I154" s="530">
        <f t="shared" si="16"/>
        <v>158</v>
      </c>
      <c r="J154" s="530">
        <f t="shared" si="16"/>
        <v>161</v>
      </c>
    </row>
    <row r="155" spans="1:10" ht="18" customHeight="1">
      <c r="A155" s="534" t="s">
        <v>1210</v>
      </c>
      <c r="B155" s="534" t="s">
        <v>1284</v>
      </c>
      <c r="C155" s="535" t="s">
        <v>1054</v>
      </c>
      <c r="D155" s="530">
        <f>VLOOKUP(C155,'급수계통별장래인구(출x)'!$C$5:$D$491,2,FALSE)</f>
        <v>81</v>
      </c>
      <c r="E155" s="518">
        <f t="shared" si="15"/>
        <v>6.2807738533710695E-4</v>
      </c>
      <c r="F155" s="541">
        <f t="shared" si="17"/>
        <v>83</v>
      </c>
      <c r="G155" s="530">
        <f t="shared" si="16"/>
        <v>82</v>
      </c>
      <c r="H155" s="530">
        <f t="shared" si="16"/>
        <v>84</v>
      </c>
      <c r="I155" s="530">
        <f t="shared" si="16"/>
        <v>86</v>
      </c>
      <c r="J155" s="530">
        <f t="shared" si="16"/>
        <v>87</v>
      </c>
    </row>
    <row r="156" spans="1:10" ht="18" customHeight="1">
      <c r="A156" s="534" t="s">
        <v>1210</v>
      </c>
      <c r="B156" s="534" t="s">
        <v>1285</v>
      </c>
      <c r="C156" s="535" t="s">
        <v>1055</v>
      </c>
      <c r="D156" s="530">
        <f>VLOOKUP(C156,'급수계통별장래인구(출x)'!$C$5:$D$491,2,FALSE)</f>
        <v>120</v>
      </c>
      <c r="E156" s="518">
        <f t="shared" si="15"/>
        <v>9.3048501531423251E-4</v>
      </c>
      <c r="F156" s="541">
        <f t="shared" si="17"/>
        <v>123</v>
      </c>
      <c r="G156" s="530">
        <f t="shared" si="16"/>
        <v>121</v>
      </c>
      <c r="H156" s="530">
        <f t="shared" si="16"/>
        <v>124</v>
      </c>
      <c r="I156" s="530">
        <f t="shared" si="16"/>
        <v>127</v>
      </c>
      <c r="J156" s="530">
        <f t="shared" si="16"/>
        <v>129</v>
      </c>
    </row>
    <row r="157" spans="1:10" ht="18" customHeight="1">
      <c r="A157" s="534" t="s">
        <v>1210</v>
      </c>
      <c r="B157" s="534" t="s">
        <v>1285</v>
      </c>
      <c r="C157" s="535" t="s">
        <v>1056</v>
      </c>
      <c r="D157" s="530">
        <f>VLOOKUP(C157,'급수계통별장래인구(출x)'!$C$5:$D$491,2,FALSE)</f>
        <v>149</v>
      </c>
      <c r="E157" s="518">
        <f t="shared" si="15"/>
        <v>1.1553522273485054E-3</v>
      </c>
      <c r="F157" s="541">
        <f t="shared" si="17"/>
        <v>153</v>
      </c>
      <c r="G157" s="530">
        <f t="shared" si="16"/>
        <v>151</v>
      </c>
      <c r="H157" s="530">
        <f t="shared" si="16"/>
        <v>154</v>
      </c>
      <c r="I157" s="530">
        <f t="shared" si="16"/>
        <v>157</v>
      </c>
      <c r="J157" s="530">
        <f t="shared" si="16"/>
        <v>160</v>
      </c>
    </row>
    <row r="158" spans="1:10" ht="18" customHeight="1">
      <c r="A158" s="537" t="s">
        <v>1211</v>
      </c>
      <c r="B158" s="577" t="s">
        <v>1232</v>
      </c>
      <c r="C158" s="577"/>
      <c r="D158" s="538">
        <f>SUM(D159:D184)</f>
        <v>3897</v>
      </c>
      <c r="E158" s="538"/>
      <c r="F158" s="538">
        <f t="shared" ref="F158" si="18">SUM(F159:F184)</f>
        <v>4003</v>
      </c>
      <c r="G158" s="538">
        <f t="shared" ref="G158:J158" si="19">SUM(G159:G184)</f>
        <v>3943</v>
      </c>
      <c r="H158" s="538">
        <f t="shared" si="19"/>
        <v>4024</v>
      </c>
      <c r="I158" s="538">
        <f t="shared" si="19"/>
        <v>4115</v>
      </c>
      <c r="J158" s="538">
        <f t="shared" si="19"/>
        <v>4186</v>
      </c>
    </row>
    <row r="159" spans="1:10" ht="18" customHeight="1">
      <c r="A159" s="534" t="s">
        <v>1211</v>
      </c>
      <c r="B159" s="534" t="s">
        <v>1286</v>
      </c>
      <c r="C159" s="535" t="s">
        <v>944</v>
      </c>
      <c r="D159" s="530">
        <f>VLOOKUP(C159,'급수계통별장래인구(출x)'!$C$5:$D$491,2,FALSE)</f>
        <v>246</v>
      </c>
      <c r="E159" s="518">
        <f t="shared" ref="E159:E184" si="20">D159/$D$3</f>
        <v>1.9074942813941767E-3</v>
      </c>
      <c r="F159" s="541">
        <f t="shared" si="17"/>
        <v>253</v>
      </c>
      <c r="G159" s="530">
        <f t="shared" si="16"/>
        <v>249</v>
      </c>
      <c r="H159" s="530">
        <f t="shared" si="16"/>
        <v>254</v>
      </c>
      <c r="I159" s="530">
        <f t="shared" si="16"/>
        <v>260</v>
      </c>
      <c r="J159" s="530">
        <f t="shared" si="16"/>
        <v>264</v>
      </c>
    </row>
    <row r="160" spans="1:10" ht="18" customHeight="1">
      <c r="A160" s="534" t="s">
        <v>1211</v>
      </c>
      <c r="B160" s="534" t="s">
        <v>1286</v>
      </c>
      <c r="C160" s="535" t="s">
        <v>945</v>
      </c>
      <c r="D160" s="530">
        <f>VLOOKUP(C160,'급수계통별장래인구(출x)'!$C$5:$D$491,2,FALSE)</f>
        <v>243</v>
      </c>
      <c r="E160" s="518">
        <f t="shared" si="20"/>
        <v>1.8842321560113208E-3</v>
      </c>
      <c r="F160" s="541">
        <f t="shared" si="17"/>
        <v>250</v>
      </c>
      <c r="G160" s="530">
        <f t="shared" si="16"/>
        <v>246</v>
      </c>
      <c r="H160" s="530">
        <f t="shared" si="16"/>
        <v>251</v>
      </c>
      <c r="I160" s="530">
        <f t="shared" si="16"/>
        <v>257</v>
      </c>
      <c r="J160" s="530">
        <f t="shared" si="16"/>
        <v>261</v>
      </c>
    </row>
    <row r="161" spans="1:10" ht="18" customHeight="1">
      <c r="A161" s="534" t="s">
        <v>1211</v>
      </c>
      <c r="B161" s="534" t="s">
        <v>1286</v>
      </c>
      <c r="C161" s="535" t="s">
        <v>946</v>
      </c>
      <c r="D161" s="530">
        <f>VLOOKUP(C161,'급수계통별장래인구(출x)'!$C$5:$D$491,2,FALSE)</f>
        <v>131</v>
      </c>
      <c r="E161" s="518">
        <f t="shared" si="20"/>
        <v>1.0157794750513705E-3</v>
      </c>
      <c r="F161" s="541">
        <f t="shared" si="17"/>
        <v>135</v>
      </c>
      <c r="G161" s="530">
        <f t="shared" si="16"/>
        <v>133</v>
      </c>
      <c r="H161" s="530">
        <f t="shared" si="16"/>
        <v>135</v>
      </c>
      <c r="I161" s="530">
        <f t="shared" si="16"/>
        <v>138</v>
      </c>
      <c r="J161" s="530">
        <f t="shared" si="16"/>
        <v>141</v>
      </c>
    </row>
    <row r="162" spans="1:10" ht="18" customHeight="1">
      <c r="A162" s="534" t="s">
        <v>1211</v>
      </c>
      <c r="B162" s="534" t="s">
        <v>1287</v>
      </c>
      <c r="C162" s="535" t="s">
        <v>947</v>
      </c>
      <c r="D162" s="530">
        <f>VLOOKUP(C162,'급수계통별장래인구(출x)'!$C$5:$D$491,2,FALSE)</f>
        <v>159</v>
      </c>
      <c r="E162" s="518">
        <f t="shared" si="20"/>
        <v>1.2328926452913581E-3</v>
      </c>
      <c r="F162" s="541">
        <f t="shared" si="17"/>
        <v>163</v>
      </c>
      <c r="G162" s="530">
        <f t="shared" si="16"/>
        <v>161</v>
      </c>
      <c r="H162" s="530">
        <f t="shared" si="16"/>
        <v>164</v>
      </c>
      <c r="I162" s="530">
        <f t="shared" si="16"/>
        <v>168</v>
      </c>
      <c r="J162" s="530">
        <f t="shared" si="16"/>
        <v>171</v>
      </c>
    </row>
    <row r="163" spans="1:10" ht="18" customHeight="1">
      <c r="A163" s="534" t="s">
        <v>1211</v>
      </c>
      <c r="B163" s="534" t="s">
        <v>1287</v>
      </c>
      <c r="C163" s="535" t="s">
        <v>948</v>
      </c>
      <c r="D163" s="530">
        <f>VLOOKUP(C163,'급수계통별장래인구(출x)'!$C$5:$D$491,2,FALSE)</f>
        <v>59</v>
      </c>
      <c r="E163" s="518">
        <f t="shared" si="20"/>
        <v>4.5748846586283099E-4</v>
      </c>
      <c r="F163" s="541">
        <f t="shared" si="17"/>
        <v>61</v>
      </c>
      <c r="G163" s="530">
        <f t="shared" si="16"/>
        <v>60</v>
      </c>
      <c r="H163" s="530">
        <f t="shared" si="16"/>
        <v>61</v>
      </c>
      <c r="I163" s="530">
        <f t="shared" si="16"/>
        <v>62</v>
      </c>
      <c r="J163" s="530">
        <f t="shared" si="16"/>
        <v>63</v>
      </c>
    </row>
    <row r="164" spans="1:10" ht="18" customHeight="1">
      <c r="A164" s="534" t="s">
        <v>1211</v>
      </c>
      <c r="B164" s="534" t="s">
        <v>1288</v>
      </c>
      <c r="C164" s="535" t="s">
        <v>949</v>
      </c>
      <c r="D164" s="530">
        <f>VLOOKUP(C164,'급수계통별장래인구(출x)'!$C$5:$D$491,2,FALSE)</f>
        <v>684</v>
      </c>
      <c r="E164" s="518">
        <f t="shared" si="20"/>
        <v>5.3037645872911253E-3</v>
      </c>
      <c r="F164" s="541">
        <f t="shared" si="17"/>
        <v>703</v>
      </c>
      <c r="G164" s="530">
        <f t="shared" si="16"/>
        <v>692</v>
      </c>
      <c r="H164" s="530">
        <f t="shared" si="16"/>
        <v>706</v>
      </c>
      <c r="I164" s="530">
        <f t="shared" si="16"/>
        <v>722</v>
      </c>
      <c r="J164" s="530">
        <f t="shared" si="16"/>
        <v>735</v>
      </c>
    </row>
    <row r="165" spans="1:10" ht="18" customHeight="1">
      <c r="A165" s="534" t="s">
        <v>1211</v>
      </c>
      <c r="B165" s="534" t="s">
        <v>1289</v>
      </c>
      <c r="C165" s="535" t="s">
        <v>950</v>
      </c>
      <c r="D165" s="530">
        <f>VLOOKUP(C165,'급수계통별장래인구(출x)'!$C$5:$D$491,2,FALSE)</f>
        <v>257</v>
      </c>
      <c r="E165" s="518">
        <f t="shared" si="20"/>
        <v>1.9927887411313149E-3</v>
      </c>
      <c r="F165" s="541">
        <f t="shared" si="17"/>
        <v>264</v>
      </c>
      <c r="G165" s="530">
        <f t="shared" si="16"/>
        <v>260</v>
      </c>
      <c r="H165" s="530">
        <f t="shared" si="16"/>
        <v>265</v>
      </c>
      <c r="I165" s="530">
        <f t="shared" si="16"/>
        <v>271</v>
      </c>
      <c r="J165" s="530">
        <f t="shared" si="16"/>
        <v>276</v>
      </c>
    </row>
    <row r="166" spans="1:10" ht="18" customHeight="1">
      <c r="A166" s="534" t="s">
        <v>1211</v>
      </c>
      <c r="B166" s="534" t="s">
        <v>1290</v>
      </c>
      <c r="C166" s="535" t="s">
        <v>951</v>
      </c>
      <c r="D166" s="530">
        <f>VLOOKUP(C166,'급수계통별장래인구(출x)'!$C$5:$D$491,2,FALSE)</f>
        <v>101</v>
      </c>
      <c r="E166" s="518">
        <f t="shared" si="20"/>
        <v>7.8315822122281237E-4</v>
      </c>
      <c r="F166" s="541">
        <f t="shared" si="17"/>
        <v>104</v>
      </c>
      <c r="G166" s="530">
        <f t="shared" si="16"/>
        <v>102</v>
      </c>
      <c r="H166" s="530">
        <f t="shared" si="16"/>
        <v>104</v>
      </c>
      <c r="I166" s="530">
        <f t="shared" si="16"/>
        <v>107</v>
      </c>
      <c r="J166" s="530">
        <f t="shared" si="16"/>
        <v>109</v>
      </c>
    </row>
    <row r="167" spans="1:10" ht="18" customHeight="1">
      <c r="A167" s="534" t="s">
        <v>1211</v>
      </c>
      <c r="B167" s="534" t="s">
        <v>1290</v>
      </c>
      <c r="C167" s="535" t="s">
        <v>952</v>
      </c>
      <c r="D167" s="530">
        <f>VLOOKUP(C167,'급수계통별장래인구(출x)'!$C$5:$D$491,2,FALSE)</f>
        <v>88</v>
      </c>
      <c r="E167" s="518">
        <f t="shared" si="20"/>
        <v>6.8235567789710384E-4</v>
      </c>
      <c r="F167" s="541">
        <f t="shared" si="17"/>
        <v>90</v>
      </c>
      <c r="G167" s="530">
        <f t="shared" si="16"/>
        <v>89</v>
      </c>
      <c r="H167" s="530">
        <f t="shared" si="16"/>
        <v>91</v>
      </c>
      <c r="I167" s="530">
        <f t="shared" si="16"/>
        <v>93</v>
      </c>
      <c r="J167" s="530">
        <f t="shared" si="16"/>
        <v>95</v>
      </c>
    </row>
    <row r="168" spans="1:10" ht="18" customHeight="1">
      <c r="A168" s="534" t="s">
        <v>1211</v>
      </c>
      <c r="B168" s="534" t="s">
        <v>1290</v>
      </c>
      <c r="C168" s="535" t="s">
        <v>953</v>
      </c>
      <c r="D168" s="530">
        <f>VLOOKUP(C168,'급수계통별장래인구(출x)'!$C$5:$D$491,2,FALSE)</f>
        <v>90</v>
      </c>
      <c r="E168" s="518">
        <f t="shared" si="20"/>
        <v>6.9786376148567439E-4</v>
      </c>
      <c r="F168" s="541">
        <f t="shared" si="17"/>
        <v>92</v>
      </c>
      <c r="G168" s="530">
        <f t="shared" si="16"/>
        <v>91</v>
      </c>
      <c r="H168" s="530">
        <f t="shared" si="16"/>
        <v>93</v>
      </c>
      <c r="I168" s="530">
        <f t="shared" si="16"/>
        <v>95</v>
      </c>
      <c r="J168" s="530">
        <f t="shared" si="16"/>
        <v>97</v>
      </c>
    </row>
    <row r="169" spans="1:10" ht="18" customHeight="1">
      <c r="A169" s="534" t="s">
        <v>1211</v>
      </c>
      <c r="B169" s="534" t="s">
        <v>1291</v>
      </c>
      <c r="C169" s="535" t="s">
        <v>954</v>
      </c>
      <c r="D169" s="530">
        <f>VLOOKUP(C169,'급수계통별장래인구(출x)'!$C$5:$D$491,2,FALSE)</f>
        <v>112</v>
      </c>
      <c r="E169" s="518">
        <f t="shared" si="20"/>
        <v>8.6845268095995035E-4</v>
      </c>
      <c r="F169" s="541">
        <f t="shared" si="17"/>
        <v>115</v>
      </c>
      <c r="G169" s="530">
        <f t="shared" si="16"/>
        <v>113</v>
      </c>
      <c r="H169" s="530">
        <f t="shared" si="16"/>
        <v>116</v>
      </c>
      <c r="I169" s="530">
        <f t="shared" si="16"/>
        <v>118</v>
      </c>
      <c r="J169" s="530">
        <f t="shared" si="16"/>
        <v>120</v>
      </c>
    </row>
    <row r="170" spans="1:10" ht="18" customHeight="1">
      <c r="A170" s="534" t="s">
        <v>1211</v>
      </c>
      <c r="B170" s="534" t="s">
        <v>1291</v>
      </c>
      <c r="C170" s="535" t="s">
        <v>955</v>
      </c>
      <c r="D170" s="530">
        <f>VLOOKUP(C170,'급수계통별장래인구(출x)'!$C$5:$D$491,2,FALSE)</f>
        <v>163</v>
      </c>
      <c r="E170" s="518">
        <f t="shared" si="20"/>
        <v>1.2639088124684992E-3</v>
      </c>
      <c r="F170" s="541">
        <f t="shared" si="17"/>
        <v>167</v>
      </c>
      <c r="G170" s="530">
        <f t="shared" si="16"/>
        <v>165</v>
      </c>
      <c r="H170" s="530">
        <f t="shared" si="16"/>
        <v>168</v>
      </c>
      <c r="I170" s="530">
        <f t="shared" si="16"/>
        <v>172</v>
      </c>
      <c r="J170" s="530">
        <f t="shared" si="16"/>
        <v>175</v>
      </c>
    </row>
    <row r="171" spans="1:10" ht="18" customHeight="1">
      <c r="A171" s="534" t="s">
        <v>1211</v>
      </c>
      <c r="B171" s="534" t="s">
        <v>1292</v>
      </c>
      <c r="C171" s="535" t="s">
        <v>956</v>
      </c>
      <c r="D171" s="530">
        <f>VLOOKUP(C171,'급수계통별장래인구(출x)'!$C$5:$D$491,2,FALSE)</f>
        <v>63</v>
      </c>
      <c r="E171" s="518">
        <f t="shared" si="20"/>
        <v>4.8850463303997207E-4</v>
      </c>
      <c r="F171" s="541">
        <f t="shared" si="17"/>
        <v>65</v>
      </c>
      <c r="G171" s="530">
        <f t="shared" si="16"/>
        <v>64</v>
      </c>
      <c r="H171" s="530">
        <f t="shared" si="16"/>
        <v>65</v>
      </c>
      <c r="I171" s="530">
        <f t="shared" si="16"/>
        <v>67</v>
      </c>
      <c r="J171" s="530">
        <f t="shared" si="16"/>
        <v>68</v>
      </c>
    </row>
    <row r="172" spans="1:10" ht="18" customHeight="1">
      <c r="A172" s="534" t="s">
        <v>1211</v>
      </c>
      <c r="B172" s="534" t="s">
        <v>1292</v>
      </c>
      <c r="C172" s="535" t="s">
        <v>957</v>
      </c>
      <c r="D172" s="530">
        <f>VLOOKUP(C172,'급수계통별장래인구(출x)'!$C$5:$D$491,2,FALSE)</f>
        <v>91</v>
      </c>
      <c r="E172" s="518">
        <f t="shared" si="20"/>
        <v>7.0561780327995966E-4</v>
      </c>
      <c r="F172" s="541">
        <f t="shared" si="17"/>
        <v>93</v>
      </c>
      <c r="G172" s="530">
        <f t="shared" si="16"/>
        <v>92</v>
      </c>
      <c r="H172" s="530">
        <f t="shared" si="16"/>
        <v>94</v>
      </c>
      <c r="I172" s="530">
        <f t="shared" si="16"/>
        <v>96</v>
      </c>
      <c r="J172" s="530">
        <f t="shared" si="16"/>
        <v>98</v>
      </c>
    </row>
    <row r="173" spans="1:10" ht="18" customHeight="1">
      <c r="A173" s="534" t="s">
        <v>1211</v>
      </c>
      <c r="B173" s="534" t="s">
        <v>1293</v>
      </c>
      <c r="C173" s="535" t="s">
        <v>958</v>
      </c>
      <c r="D173" s="530">
        <f>VLOOKUP(C173,'급수계통별장래인구(출x)'!$C$5:$D$491,2,FALSE)</f>
        <v>111</v>
      </c>
      <c r="E173" s="518">
        <f t="shared" si="20"/>
        <v>8.6069863916566508E-4</v>
      </c>
      <c r="F173" s="541">
        <f t="shared" si="17"/>
        <v>114</v>
      </c>
      <c r="G173" s="530">
        <f t="shared" si="16"/>
        <v>112</v>
      </c>
      <c r="H173" s="530">
        <f t="shared" si="16"/>
        <v>115</v>
      </c>
      <c r="I173" s="530">
        <f t="shared" si="16"/>
        <v>117</v>
      </c>
      <c r="J173" s="530">
        <f t="shared" si="16"/>
        <v>119</v>
      </c>
    </row>
    <row r="174" spans="1:10" ht="18" customHeight="1">
      <c r="A174" s="534" t="s">
        <v>1211</v>
      </c>
      <c r="B174" s="534" t="s">
        <v>1293</v>
      </c>
      <c r="C174" s="535" t="s">
        <v>959</v>
      </c>
      <c r="D174" s="530">
        <f>VLOOKUP(C174,'급수계통별장래인구(출x)'!$C$5:$D$491,2,FALSE)</f>
        <v>144</v>
      </c>
      <c r="E174" s="518">
        <f t="shared" si="20"/>
        <v>1.116582018377079E-3</v>
      </c>
      <c r="F174" s="541">
        <f t="shared" si="17"/>
        <v>148</v>
      </c>
      <c r="G174" s="530">
        <f t="shared" si="16"/>
        <v>146</v>
      </c>
      <c r="H174" s="530">
        <f t="shared" si="16"/>
        <v>149</v>
      </c>
      <c r="I174" s="530">
        <f t="shared" si="16"/>
        <v>152</v>
      </c>
      <c r="J174" s="530">
        <f t="shared" si="16"/>
        <v>155</v>
      </c>
    </row>
    <row r="175" spans="1:10" ht="18" customHeight="1">
      <c r="A175" s="534" t="s">
        <v>1211</v>
      </c>
      <c r="B175" s="534" t="s">
        <v>1294</v>
      </c>
      <c r="C175" s="535" t="s">
        <v>960</v>
      </c>
      <c r="D175" s="530">
        <f>VLOOKUP(C175,'급수계통별장래인구(출x)'!$C$5:$D$491,2,FALSE)</f>
        <v>126</v>
      </c>
      <c r="E175" s="518">
        <f t="shared" si="20"/>
        <v>9.7700926607994414E-4</v>
      </c>
      <c r="F175" s="541">
        <f t="shared" si="17"/>
        <v>129</v>
      </c>
      <c r="G175" s="530">
        <f t="shared" si="16"/>
        <v>127</v>
      </c>
      <c r="H175" s="530">
        <f t="shared" si="16"/>
        <v>130</v>
      </c>
      <c r="I175" s="530">
        <f t="shared" si="16"/>
        <v>133</v>
      </c>
      <c r="J175" s="530">
        <f t="shared" si="16"/>
        <v>135</v>
      </c>
    </row>
    <row r="176" spans="1:10" ht="18" customHeight="1">
      <c r="A176" s="534" t="s">
        <v>1211</v>
      </c>
      <c r="B176" s="534" t="s">
        <v>1295</v>
      </c>
      <c r="C176" s="535" t="s">
        <v>961</v>
      </c>
      <c r="D176" s="530">
        <f>VLOOKUP(C176,'급수계통별장래인구(출x)'!$C$5:$D$491,2,FALSE)</f>
        <v>141</v>
      </c>
      <c r="E176" s="518">
        <f t="shared" si="20"/>
        <v>1.0933198929942232E-3</v>
      </c>
      <c r="F176" s="541">
        <f t="shared" si="17"/>
        <v>145</v>
      </c>
      <c r="G176" s="530">
        <f t="shared" si="16"/>
        <v>143</v>
      </c>
      <c r="H176" s="530">
        <f t="shared" si="16"/>
        <v>146</v>
      </c>
      <c r="I176" s="530">
        <f t="shared" si="16"/>
        <v>149</v>
      </c>
      <c r="J176" s="530">
        <f t="shared" si="16"/>
        <v>151</v>
      </c>
    </row>
    <row r="177" spans="1:10" ht="18" customHeight="1">
      <c r="A177" s="534" t="s">
        <v>1211</v>
      </c>
      <c r="B177" s="534" t="s">
        <v>1295</v>
      </c>
      <c r="C177" s="535" t="s">
        <v>962</v>
      </c>
      <c r="D177" s="530">
        <f>VLOOKUP(C177,'급수계통별장래인구(출x)'!$C$5:$D$491,2,FALSE)</f>
        <v>107</v>
      </c>
      <c r="E177" s="518">
        <f t="shared" si="20"/>
        <v>8.2968247198852399E-4</v>
      </c>
      <c r="F177" s="541">
        <f t="shared" si="17"/>
        <v>110</v>
      </c>
      <c r="G177" s="530">
        <f t="shared" si="16"/>
        <v>108</v>
      </c>
      <c r="H177" s="530">
        <f t="shared" si="16"/>
        <v>111</v>
      </c>
      <c r="I177" s="530">
        <f t="shared" si="16"/>
        <v>113</v>
      </c>
      <c r="J177" s="530">
        <f t="shared" si="16"/>
        <v>115</v>
      </c>
    </row>
    <row r="178" spans="1:10" ht="18" customHeight="1">
      <c r="A178" s="534" t="s">
        <v>1211</v>
      </c>
      <c r="B178" s="534" t="s">
        <v>1295</v>
      </c>
      <c r="C178" s="535" t="s">
        <v>963</v>
      </c>
      <c r="D178" s="530">
        <f>VLOOKUP(C178,'급수계통별장래인구(출x)'!$C$5:$D$491,2,FALSE)</f>
        <v>71</v>
      </c>
      <c r="E178" s="518">
        <f t="shared" si="20"/>
        <v>5.5053696739425424E-4</v>
      </c>
      <c r="F178" s="541">
        <f t="shared" si="17"/>
        <v>73</v>
      </c>
      <c r="G178" s="530">
        <f t="shared" si="16"/>
        <v>72</v>
      </c>
      <c r="H178" s="530">
        <f t="shared" si="16"/>
        <v>73</v>
      </c>
      <c r="I178" s="530">
        <f t="shared" si="16"/>
        <v>75</v>
      </c>
      <c r="J178" s="530">
        <f t="shared" si="16"/>
        <v>76</v>
      </c>
    </row>
    <row r="179" spans="1:10" ht="18" customHeight="1">
      <c r="A179" s="534" t="s">
        <v>1211</v>
      </c>
      <c r="B179" s="534" t="s">
        <v>1296</v>
      </c>
      <c r="C179" s="535" t="s">
        <v>964</v>
      </c>
      <c r="D179" s="530">
        <f>VLOOKUP(C179,'급수계통별장래인구(출x)'!$C$5:$D$491,2,FALSE)</f>
        <v>161</v>
      </c>
      <c r="E179" s="518">
        <f t="shared" si="20"/>
        <v>1.2484007288799286E-3</v>
      </c>
      <c r="F179" s="541">
        <f t="shared" si="17"/>
        <v>165</v>
      </c>
      <c r="G179" s="530">
        <f t="shared" si="16"/>
        <v>163</v>
      </c>
      <c r="H179" s="530">
        <f t="shared" si="16"/>
        <v>166</v>
      </c>
      <c r="I179" s="530">
        <f t="shared" si="16"/>
        <v>170</v>
      </c>
      <c r="J179" s="530">
        <f t="shared" si="16"/>
        <v>173</v>
      </c>
    </row>
    <row r="180" spans="1:10" ht="18" customHeight="1">
      <c r="A180" s="534" t="s">
        <v>1211</v>
      </c>
      <c r="B180" s="534" t="s">
        <v>1296</v>
      </c>
      <c r="C180" s="535" t="s">
        <v>965</v>
      </c>
      <c r="D180" s="530">
        <f>VLOOKUP(C180,'급수계통별장래인구(출x)'!$C$5:$D$491,2,FALSE)</f>
        <v>122</v>
      </c>
      <c r="E180" s="518">
        <f t="shared" si="20"/>
        <v>9.4599309890280306E-4</v>
      </c>
      <c r="F180" s="541">
        <f t="shared" si="17"/>
        <v>125</v>
      </c>
      <c r="G180" s="530">
        <f t="shared" si="16"/>
        <v>123</v>
      </c>
      <c r="H180" s="530">
        <f t="shared" si="16"/>
        <v>126</v>
      </c>
      <c r="I180" s="530">
        <f t="shared" si="16"/>
        <v>129</v>
      </c>
      <c r="J180" s="530">
        <f t="shared" si="16"/>
        <v>131</v>
      </c>
    </row>
    <row r="181" spans="1:10" ht="18" customHeight="1">
      <c r="A181" s="534" t="s">
        <v>1211</v>
      </c>
      <c r="B181" s="534" t="s">
        <v>1297</v>
      </c>
      <c r="C181" s="535" t="s">
        <v>966</v>
      </c>
      <c r="D181" s="530">
        <f>VLOOKUP(C181,'급수계통별장래인구(출x)'!$C$5:$D$491,2,FALSE)</f>
        <v>99</v>
      </c>
      <c r="E181" s="518">
        <f t="shared" si="20"/>
        <v>7.6765013763424182E-4</v>
      </c>
      <c r="F181" s="541">
        <f t="shared" si="17"/>
        <v>102</v>
      </c>
      <c r="G181" s="530">
        <f t="shared" si="16"/>
        <v>100</v>
      </c>
      <c r="H181" s="530">
        <f t="shared" si="16"/>
        <v>102</v>
      </c>
      <c r="I181" s="530">
        <f t="shared" si="16"/>
        <v>105</v>
      </c>
      <c r="J181" s="530">
        <f t="shared" si="16"/>
        <v>106</v>
      </c>
    </row>
    <row r="182" spans="1:10" ht="18" customHeight="1">
      <c r="A182" s="534" t="s">
        <v>1211</v>
      </c>
      <c r="B182" s="534" t="s">
        <v>1297</v>
      </c>
      <c r="C182" s="535" t="s">
        <v>967</v>
      </c>
      <c r="D182" s="530">
        <f>VLOOKUP(C182,'급수계통별장래인구(출x)'!$C$5:$D$491,2,FALSE)</f>
        <v>132</v>
      </c>
      <c r="E182" s="518">
        <f t="shared" si="20"/>
        <v>1.0235335168456558E-3</v>
      </c>
      <c r="F182" s="541">
        <f t="shared" si="17"/>
        <v>136</v>
      </c>
      <c r="G182" s="530">
        <f t="shared" si="16"/>
        <v>134</v>
      </c>
      <c r="H182" s="530">
        <f t="shared" si="16"/>
        <v>136</v>
      </c>
      <c r="I182" s="530">
        <f t="shared" si="16"/>
        <v>139</v>
      </c>
      <c r="J182" s="530">
        <f t="shared" si="16"/>
        <v>142</v>
      </c>
    </row>
    <row r="183" spans="1:10" ht="18" customHeight="1">
      <c r="A183" s="534" t="s">
        <v>1211</v>
      </c>
      <c r="B183" s="534" t="s">
        <v>1298</v>
      </c>
      <c r="C183" s="535" t="s">
        <v>968</v>
      </c>
      <c r="D183" s="530">
        <f>VLOOKUP(C183,'급수계통별장래인구(출x)'!$C$5:$D$491,2,FALSE)</f>
        <v>110</v>
      </c>
      <c r="E183" s="518">
        <f t="shared" si="20"/>
        <v>8.529445973713798E-4</v>
      </c>
      <c r="F183" s="541">
        <f t="shared" si="17"/>
        <v>113</v>
      </c>
      <c r="G183" s="530">
        <f t="shared" si="16"/>
        <v>111</v>
      </c>
      <c r="H183" s="530">
        <f t="shared" si="16"/>
        <v>114</v>
      </c>
      <c r="I183" s="530">
        <f t="shared" si="16"/>
        <v>116</v>
      </c>
      <c r="J183" s="530">
        <f t="shared" si="16"/>
        <v>118</v>
      </c>
    </row>
    <row r="184" spans="1:10" ht="18" customHeight="1">
      <c r="A184" s="534" t="s">
        <v>1211</v>
      </c>
      <c r="B184" s="534" t="s">
        <v>1299</v>
      </c>
      <c r="C184" s="535" t="s">
        <v>969</v>
      </c>
      <c r="D184" s="530">
        <f>VLOOKUP(C184,'급수계통별장래인구(출x)'!$C$5:$D$491,2,FALSE)</f>
        <v>86</v>
      </c>
      <c r="E184" s="518">
        <f t="shared" si="20"/>
        <v>6.668475943085333E-4</v>
      </c>
      <c r="F184" s="541">
        <f t="shared" si="17"/>
        <v>88</v>
      </c>
      <c r="G184" s="530">
        <f t="shared" si="16"/>
        <v>87</v>
      </c>
      <c r="H184" s="530">
        <f t="shared" si="16"/>
        <v>89</v>
      </c>
      <c r="I184" s="530">
        <f t="shared" si="16"/>
        <v>91</v>
      </c>
      <c r="J184" s="530">
        <f t="shared" si="16"/>
        <v>92</v>
      </c>
    </row>
    <row r="185" spans="1:10" ht="18" customHeight="1">
      <c r="A185" s="537" t="s">
        <v>1212</v>
      </c>
      <c r="B185" s="577" t="s">
        <v>1232</v>
      </c>
      <c r="C185" s="577"/>
      <c r="D185" s="538">
        <f>SUM(D186:D211)</f>
        <v>4131</v>
      </c>
      <c r="E185" s="538"/>
      <c r="F185" s="538">
        <f t="shared" ref="F185" si="21">SUM(F186:F211)</f>
        <v>4243</v>
      </c>
      <c r="G185" s="538">
        <f t="shared" ref="G185:J185" si="22">SUM(G186:G211)</f>
        <v>4179</v>
      </c>
      <c r="H185" s="538">
        <f t="shared" si="22"/>
        <v>4266</v>
      </c>
      <c r="I185" s="538">
        <f t="shared" si="22"/>
        <v>4362</v>
      </c>
      <c r="J185" s="538">
        <f t="shared" si="22"/>
        <v>4439</v>
      </c>
    </row>
    <row r="186" spans="1:10" ht="18" customHeight="1">
      <c r="A186" s="534" t="s">
        <v>1212</v>
      </c>
      <c r="B186" s="534" t="s">
        <v>1300</v>
      </c>
      <c r="C186" s="535" t="s">
        <v>970</v>
      </c>
      <c r="D186" s="530">
        <f>VLOOKUP(C186,'급수계통별장래인구(출x)'!$C$5:$D$491,2,FALSE)</f>
        <v>237</v>
      </c>
      <c r="E186" s="518">
        <f t="shared" ref="E186:E211" si="23">D186/$D$3</f>
        <v>1.8377079052456092E-3</v>
      </c>
      <c r="F186" s="541">
        <f t="shared" si="17"/>
        <v>243</v>
      </c>
      <c r="G186" s="530">
        <f t="shared" si="16"/>
        <v>240</v>
      </c>
      <c r="H186" s="530">
        <f t="shared" si="16"/>
        <v>245</v>
      </c>
      <c r="I186" s="530">
        <f t="shared" si="16"/>
        <v>250</v>
      </c>
      <c r="J186" s="530">
        <f t="shared" si="16"/>
        <v>255</v>
      </c>
    </row>
    <row r="187" spans="1:10" ht="18" customHeight="1">
      <c r="A187" s="534" t="s">
        <v>1212</v>
      </c>
      <c r="B187" s="534" t="s">
        <v>1300</v>
      </c>
      <c r="C187" s="535" t="s">
        <v>971</v>
      </c>
      <c r="D187" s="530">
        <f>VLOOKUP(C187,'급수계통별장래인구(출x)'!$C$5:$D$491,2,FALSE)</f>
        <v>49</v>
      </c>
      <c r="E187" s="518">
        <f t="shared" si="23"/>
        <v>3.7994804791997828E-4</v>
      </c>
      <c r="F187" s="541">
        <f t="shared" si="17"/>
        <v>50</v>
      </c>
      <c r="G187" s="530">
        <f t="shared" si="16"/>
        <v>50</v>
      </c>
      <c r="H187" s="530">
        <f t="shared" si="16"/>
        <v>51</v>
      </c>
      <c r="I187" s="530">
        <f t="shared" si="16"/>
        <v>52</v>
      </c>
      <c r="J187" s="530">
        <f t="shared" ref="H187:J250" si="24">ROUND($E187*J$3,0)</f>
        <v>53</v>
      </c>
    </row>
    <row r="188" spans="1:10" ht="18" customHeight="1">
      <c r="A188" s="534" t="s">
        <v>1212</v>
      </c>
      <c r="B188" s="534" t="s">
        <v>1300</v>
      </c>
      <c r="C188" s="535" t="s">
        <v>972</v>
      </c>
      <c r="D188" s="530">
        <f>VLOOKUP(C188,'급수계통별장래인구(출x)'!$C$5:$D$491,2,FALSE)</f>
        <v>122</v>
      </c>
      <c r="E188" s="518">
        <f t="shared" si="23"/>
        <v>9.4599309890280306E-4</v>
      </c>
      <c r="F188" s="541">
        <f t="shared" ref="F188:J251" si="25">ROUND($E188*F$3,0)</f>
        <v>125</v>
      </c>
      <c r="G188" s="530">
        <f t="shared" si="25"/>
        <v>123</v>
      </c>
      <c r="H188" s="530">
        <f t="shared" si="24"/>
        <v>126</v>
      </c>
      <c r="I188" s="530">
        <f t="shared" si="24"/>
        <v>129</v>
      </c>
      <c r="J188" s="530">
        <f t="shared" si="24"/>
        <v>131</v>
      </c>
    </row>
    <row r="189" spans="1:10" ht="18" customHeight="1">
      <c r="A189" s="534" t="s">
        <v>1212</v>
      </c>
      <c r="B189" s="534" t="s">
        <v>1301</v>
      </c>
      <c r="C189" s="535" t="s">
        <v>973</v>
      </c>
      <c r="D189" s="530">
        <f>VLOOKUP(C189,'급수계통별장래인구(출x)'!$C$5:$D$491,2,FALSE)</f>
        <v>116</v>
      </c>
      <c r="E189" s="518">
        <f t="shared" si="23"/>
        <v>8.9946884813709143E-4</v>
      </c>
      <c r="F189" s="541">
        <f t="shared" si="25"/>
        <v>119</v>
      </c>
      <c r="G189" s="530">
        <f t="shared" si="25"/>
        <v>117</v>
      </c>
      <c r="H189" s="530">
        <f t="shared" si="24"/>
        <v>120</v>
      </c>
      <c r="I189" s="530">
        <f t="shared" si="24"/>
        <v>123</v>
      </c>
      <c r="J189" s="530">
        <f t="shared" si="24"/>
        <v>125</v>
      </c>
    </row>
    <row r="190" spans="1:10" ht="18" customHeight="1">
      <c r="A190" s="534" t="s">
        <v>1212</v>
      </c>
      <c r="B190" s="534" t="s">
        <v>1302</v>
      </c>
      <c r="C190" s="535" t="s">
        <v>974</v>
      </c>
      <c r="D190" s="530">
        <f>VLOOKUP(C190,'급수계통별장래인구(출x)'!$C$5:$D$491,2,FALSE)</f>
        <v>326</v>
      </c>
      <c r="E190" s="518">
        <f t="shared" si="23"/>
        <v>2.5278176249369983E-3</v>
      </c>
      <c r="F190" s="541">
        <f t="shared" si="25"/>
        <v>335</v>
      </c>
      <c r="G190" s="530">
        <f t="shared" si="25"/>
        <v>330</v>
      </c>
      <c r="H190" s="530">
        <f t="shared" si="24"/>
        <v>337</v>
      </c>
      <c r="I190" s="530">
        <f t="shared" si="24"/>
        <v>344</v>
      </c>
      <c r="J190" s="530">
        <f t="shared" si="24"/>
        <v>350</v>
      </c>
    </row>
    <row r="191" spans="1:10" ht="18" customHeight="1">
      <c r="A191" s="534" t="s">
        <v>1212</v>
      </c>
      <c r="B191" s="534" t="s">
        <v>1302</v>
      </c>
      <c r="C191" s="535" t="s">
        <v>975</v>
      </c>
      <c r="D191" s="530">
        <f>VLOOKUP(C191,'급수계통별장래인구(출x)'!$C$5:$D$491,2,FALSE)</f>
        <v>111</v>
      </c>
      <c r="E191" s="518">
        <f t="shared" si="23"/>
        <v>8.6069863916566508E-4</v>
      </c>
      <c r="F191" s="541">
        <f t="shared" si="25"/>
        <v>114</v>
      </c>
      <c r="G191" s="530">
        <f t="shared" si="25"/>
        <v>112</v>
      </c>
      <c r="H191" s="530">
        <f t="shared" si="24"/>
        <v>115</v>
      </c>
      <c r="I191" s="530">
        <f t="shared" si="24"/>
        <v>117</v>
      </c>
      <c r="J191" s="530">
        <f t="shared" si="24"/>
        <v>119</v>
      </c>
    </row>
    <row r="192" spans="1:10" ht="18" customHeight="1">
      <c r="A192" s="534" t="s">
        <v>1212</v>
      </c>
      <c r="B192" s="534" t="s">
        <v>1303</v>
      </c>
      <c r="C192" s="535" t="s">
        <v>976</v>
      </c>
      <c r="D192" s="530">
        <f>VLOOKUP(C192,'급수계통별장래인구(출x)'!$C$5:$D$491,2,FALSE)</f>
        <v>190</v>
      </c>
      <c r="E192" s="518">
        <f t="shared" si="23"/>
        <v>1.4732679409142015E-3</v>
      </c>
      <c r="F192" s="541">
        <f t="shared" si="25"/>
        <v>195</v>
      </c>
      <c r="G192" s="530">
        <f t="shared" si="25"/>
        <v>192</v>
      </c>
      <c r="H192" s="530">
        <f t="shared" si="24"/>
        <v>196</v>
      </c>
      <c r="I192" s="530">
        <f t="shared" si="24"/>
        <v>201</v>
      </c>
      <c r="J192" s="530">
        <f t="shared" si="24"/>
        <v>204</v>
      </c>
    </row>
    <row r="193" spans="1:10" ht="18" customHeight="1">
      <c r="A193" s="534" t="s">
        <v>1212</v>
      </c>
      <c r="B193" s="534" t="s">
        <v>1303</v>
      </c>
      <c r="C193" s="535" t="s">
        <v>977</v>
      </c>
      <c r="D193" s="530">
        <f>VLOOKUP(C193,'급수계통별장래인구(출x)'!$C$5:$D$491,2,FALSE)</f>
        <v>70</v>
      </c>
      <c r="E193" s="518">
        <f t="shared" si="23"/>
        <v>5.4278292559996897E-4</v>
      </c>
      <c r="F193" s="541">
        <f t="shared" si="25"/>
        <v>72</v>
      </c>
      <c r="G193" s="530">
        <f t="shared" si="25"/>
        <v>71</v>
      </c>
      <c r="H193" s="530">
        <f t="shared" si="24"/>
        <v>72</v>
      </c>
      <c r="I193" s="530">
        <f t="shared" si="24"/>
        <v>74</v>
      </c>
      <c r="J193" s="530">
        <f t="shared" si="24"/>
        <v>75</v>
      </c>
    </row>
    <row r="194" spans="1:10" ht="18" customHeight="1">
      <c r="A194" s="534" t="s">
        <v>1212</v>
      </c>
      <c r="B194" s="534" t="s">
        <v>1304</v>
      </c>
      <c r="C194" s="535" t="s">
        <v>978</v>
      </c>
      <c r="D194" s="530">
        <f>VLOOKUP(C194,'급수계통별장래인구(출x)'!$C$5:$D$491,2,FALSE)</f>
        <v>75</v>
      </c>
      <c r="E194" s="518">
        <f t="shared" si="23"/>
        <v>5.8155313457139532E-4</v>
      </c>
      <c r="F194" s="541">
        <f t="shared" si="25"/>
        <v>77</v>
      </c>
      <c r="G194" s="530">
        <f t="shared" si="25"/>
        <v>76</v>
      </c>
      <c r="H194" s="530">
        <f t="shared" si="24"/>
        <v>77</v>
      </c>
      <c r="I194" s="530">
        <f t="shared" si="24"/>
        <v>79</v>
      </c>
      <c r="J194" s="530">
        <f t="shared" si="24"/>
        <v>81</v>
      </c>
    </row>
    <row r="195" spans="1:10" ht="18" customHeight="1">
      <c r="A195" s="534" t="s">
        <v>1212</v>
      </c>
      <c r="B195" s="534" t="s">
        <v>1304</v>
      </c>
      <c r="C195" s="535" t="s">
        <v>979</v>
      </c>
      <c r="D195" s="530">
        <f>VLOOKUP(C195,'급수계통별장래인구(출x)'!$C$5:$D$491,2,FALSE)</f>
        <v>361</v>
      </c>
      <c r="E195" s="518">
        <f t="shared" si="23"/>
        <v>2.799209087736983E-3</v>
      </c>
      <c r="F195" s="541">
        <f t="shared" si="25"/>
        <v>371</v>
      </c>
      <c r="G195" s="530">
        <f t="shared" si="25"/>
        <v>365</v>
      </c>
      <c r="H195" s="530">
        <f t="shared" si="24"/>
        <v>373</v>
      </c>
      <c r="I195" s="530">
        <f t="shared" si="24"/>
        <v>381</v>
      </c>
      <c r="J195" s="530">
        <f t="shared" si="24"/>
        <v>388</v>
      </c>
    </row>
    <row r="196" spans="1:10" ht="18" customHeight="1">
      <c r="A196" s="534" t="s">
        <v>1212</v>
      </c>
      <c r="B196" s="534" t="s">
        <v>1304</v>
      </c>
      <c r="C196" s="535" t="s">
        <v>980</v>
      </c>
      <c r="D196" s="530">
        <f>VLOOKUP(C196,'급수계통별장래인구(출x)'!$C$5:$D$491,2,FALSE)</f>
        <v>157</v>
      </c>
      <c r="E196" s="518">
        <f t="shared" si="23"/>
        <v>1.2173845617027875E-3</v>
      </c>
      <c r="F196" s="541">
        <f t="shared" si="25"/>
        <v>161</v>
      </c>
      <c r="G196" s="530">
        <f t="shared" si="25"/>
        <v>159</v>
      </c>
      <c r="H196" s="530">
        <f t="shared" si="24"/>
        <v>162</v>
      </c>
      <c r="I196" s="530">
        <f t="shared" si="24"/>
        <v>166</v>
      </c>
      <c r="J196" s="530">
        <f t="shared" si="24"/>
        <v>169</v>
      </c>
    </row>
    <row r="197" spans="1:10" ht="18" customHeight="1">
      <c r="A197" s="534" t="s">
        <v>1212</v>
      </c>
      <c r="B197" s="534" t="s">
        <v>1305</v>
      </c>
      <c r="C197" s="535" t="s">
        <v>981</v>
      </c>
      <c r="D197" s="530">
        <f>VLOOKUP(C197,'급수계통별장래인구(출x)'!$C$5:$D$491,2,FALSE)</f>
        <v>210</v>
      </c>
      <c r="E197" s="518">
        <f t="shared" si="23"/>
        <v>1.6283487767999069E-3</v>
      </c>
      <c r="F197" s="541">
        <f t="shared" si="25"/>
        <v>216</v>
      </c>
      <c r="G197" s="530">
        <f t="shared" si="25"/>
        <v>212</v>
      </c>
      <c r="H197" s="530">
        <f t="shared" si="24"/>
        <v>217</v>
      </c>
      <c r="I197" s="530">
        <f t="shared" si="24"/>
        <v>222</v>
      </c>
      <c r="J197" s="530">
        <f t="shared" si="24"/>
        <v>226</v>
      </c>
    </row>
    <row r="198" spans="1:10" ht="18" customHeight="1">
      <c r="A198" s="534" t="s">
        <v>1212</v>
      </c>
      <c r="B198" s="534" t="s">
        <v>1305</v>
      </c>
      <c r="C198" s="535" t="s">
        <v>982</v>
      </c>
      <c r="D198" s="530">
        <f>VLOOKUP(C198,'급수계통별장래인구(출x)'!$C$5:$D$491,2,FALSE)</f>
        <v>167</v>
      </c>
      <c r="E198" s="518">
        <f t="shared" si="23"/>
        <v>1.2949249796456402E-3</v>
      </c>
      <c r="F198" s="541">
        <f t="shared" si="25"/>
        <v>172</v>
      </c>
      <c r="G198" s="530">
        <f t="shared" si="25"/>
        <v>169</v>
      </c>
      <c r="H198" s="530">
        <f t="shared" si="24"/>
        <v>172</v>
      </c>
      <c r="I198" s="530">
        <f t="shared" si="24"/>
        <v>176</v>
      </c>
      <c r="J198" s="530">
        <f t="shared" si="24"/>
        <v>179</v>
      </c>
    </row>
    <row r="199" spans="1:10" ht="18" customHeight="1">
      <c r="A199" s="534" t="s">
        <v>1212</v>
      </c>
      <c r="B199" s="534" t="s">
        <v>1305</v>
      </c>
      <c r="C199" s="535" t="s">
        <v>983</v>
      </c>
      <c r="D199" s="530">
        <f>VLOOKUP(C199,'급수계통별장래인구(출x)'!$C$5:$D$491,2,FALSE)</f>
        <v>97</v>
      </c>
      <c r="E199" s="518">
        <f t="shared" si="23"/>
        <v>7.5214205404567128E-4</v>
      </c>
      <c r="F199" s="541">
        <f t="shared" si="25"/>
        <v>100</v>
      </c>
      <c r="G199" s="530">
        <f t="shared" si="25"/>
        <v>98</v>
      </c>
      <c r="H199" s="530">
        <f t="shared" si="24"/>
        <v>100</v>
      </c>
      <c r="I199" s="530">
        <f t="shared" si="24"/>
        <v>102</v>
      </c>
      <c r="J199" s="530">
        <f t="shared" si="24"/>
        <v>104</v>
      </c>
    </row>
    <row r="200" spans="1:10" ht="18" customHeight="1">
      <c r="A200" s="534" t="s">
        <v>1212</v>
      </c>
      <c r="B200" s="534" t="s">
        <v>1306</v>
      </c>
      <c r="C200" s="535" t="s">
        <v>984</v>
      </c>
      <c r="D200" s="530">
        <f>VLOOKUP(C200,'급수계통별장래인구(출x)'!$C$5:$D$491,2,FALSE)</f>
        <v>361</v>
      </c>
      <c r="E200" s="518">
        <f t="shared" si="23"/>
        <v>2.799209087736983E-3</v>
      </c>
      <c r="F200" s="541">
        <f t="shared" si="25"/>
        <v>371</v>
      </c>
      <c r="G200" s="530">
        <f t="shared" si="25"/>
        <v>365</v>
      </c>
      <c r="H200" s="530">
        <f t="shared" si="24"/>
        <v>373</v>
      </c>
      <c r="I200" s="530">
        <f t="shared" si="24"/>
        <v>381</v>
      </c>
      <c r="J200" s="530">
        <f t="shared" si="24"/>
        <v>388</v>
      </c>
    </row>
    <row r="201" spans="1:10" ht="18" customHeight="1">
      <c r="A201" s="534" t="s">
        <v>1212</v>
      </c>
      <c r="B201" s="534" t="s">
        <v>1306</v>
      </c>
      <c r="C201" s="535" t="s">
        <v>985</v>
      </c>
      <c r="D201" s="530">
        <f>VLOOKUP(C201,'급수계통별장래인구(출x)'!$C$5:$D$491,2,FALSE)</f>
        <v>153</v>
      </c>
      <c r="E201" s="518">
        <f t="shared" si="23"/>
        <v>1.1863683945256465E-3</v>
      </c>
      <c r="F201" s="541">
        <f t="shared" si="25"/>
        <v>157</v>
      </c>
      <c r="G201" s="530">
        <f t="shared" si="25"/>
        <v>155</v>
      </c>
      <c r="H201" s="530">
        <f t="shared" si="24"/>
        <v>158</v>
      </c>
      <c r="I201" s="530">
        <f t="shared" si="24"/>
        <v>162</v>
      </c>
      <c r="J201" s="530">
        <f t="shared" si="24"/>
        <v>164</v>
      </c>
    </row>
    <row r="202" spans="1:10" ht="18" customHeight="1">
      <c r="A202" s="534" t="s">
        <v>1212</v>
      </c>
      <c r="B202" s="534" t="s">
        <v>1307</v>
      </c>
      <c r="C202" s="535" t="s">
        <v>986</v>
      </c>
      <c r="D202" s="530">
        <f>VLOOKUP(C202,'급수계통별장래인구(출x)'!$C$5:$D$491,2,FALSE)</f>
        <v>117</v>
      </c>
      <c r="E202" s="518">
        <f t="shared" si="23"/>
        <v>9.072228899313767E-4</v>
      </c>
      <c r="F202" s="541">
        <f t="shared" si="25"/>
        <v>120</v>
      </c>
      <c r="G202" s="530">
        <f t="shared" si="25"/>
        <v>118</v>
      </c>
      <c r="H202" s="530">
        <f t="shared" si="24"/>
        <v>121</v>
      </c>
      <c r="I202" s="530">
        <f t="shared" si="24"/>
        <v>124</v>
      </c>
      <c r="J202" s="530">
        <f t="shared" si="24"/>
        <v>126</v>
      </c>
    </row>
    <row r="203" spans="1:10" ht="18" customHeight="1">
      <c r="A203" s="534" t="s">
        <v>1212</v>
      </c>
      <c r="B203" s="534" t="s">
        <v>1308</v>
      </c>
      <c r="C203" s="535" t="s">
        <v>987</v>
      </c>
      <c r="D203" s="530">
        <f>VLOOKUP(C203,'급수계통별장래인구(출x)'!$C$5:$D$491,2,FALSE)</f>
        <v>237</v>
      </c>
      <c r="E203" s="518">
        <f t="shared" si="23"/>
        <v>1.8377079052456092E-3</v>
      </c>
      <c r="F203" s="541">
        <f t="shared" si="25"/>
        <v>243</v>
      </c>
      <c r="G203" s="530">
        <f t="shared" si="25"/>
        <v>240</v>
      </c>
      <c r="H203" s="530">
        <f t="shared" si="24"/>
        <v>245</v>
      </c>
      <c r="I203" s="530">
        <f t="shared" si="24"/>
        <v>250</v>
      </c>
      <c r="J203" s="530">
        <f t="shared" si="24"/>
        <v>255</v>
      </c>
    </row>
    <row r="204" spans="1:10" ht="18" customHeight="1">
      <c r="A204" s="534" t="s">
        <v>1212</v>
      </c>
      <c r="B204" s="534" t="s">
        <v>1308</v>
      </c>
      <c r="C204" s="535" t="s">
        <v>988</v>
      </c>
      <c r="D204" s="530">
        <f>VLOOKUP(C204,'급수계통별장래인구(출x)'!$C$5:$D$491,2,FALSE)</f>
        <v>72</v>
      </c>
      <c r="E204" s="518">
        <f t="shared" si="23"/>
        <v>5.5829100918853951E-4</v>
      </c>
      <c r="F204" s="541">
        <f t="shared" si="25"/>
        <v>74</v>
      </c>
      <c r="G204" s="530">
        <f t="shared" si="25"/>
        <v>73</v>
      </c>
      <c r="H204" s="530">
        <f t="shared" si="24"/>
        <v>74</v>
      </c>
      <c r="I204" s="530">
        <f t="shared" si="24"/>
        <v>76</v>
      </c>
      <c r="J204" s="530">
        <f t="shared" si="24"/>
        <v>77</v>
      </c>
    </row>
    <row r="205" spans="1:10" ht="18" customHeight="1">
      <c r="A205" s="534" t="s">
        <v>1212</v>
      </c>
      <c r="B205" s="534" t="s">
        <v>1309</v>
      </c>
      <c r="C205" s="535" t="s">
        <v>1412</v>
      </c>
      <c r="D205" s="530">
        <f>VLOOKUP(C205,'급수계통별장래인구(출x)'!$C$5:$D$491,2,FALSE)</f>
        <v>157</v>
      </c>
      <c r="E205" s="518">
        <f t="shared" si="23"/>
        <v>1.2173845617027875E-3</v>
      </c>
      <c r="F205" s="541">
        <f t="shared" si="25"/>
        <v>161</v>
      </c>
      <c r="G205" s="530">
        <f t="shared" si="25"/>
        <v>159</v>
      </c>
      <c r="H205" s="530">
        <f t="shared" si="24"/>
        <v>162</v>
      </c>
      <c r="I205" s="530">
        <f t="shared" si="24"/>
        <v>166</v>
      </c>
      <c r="J205" s="530">
        <f t="shared" si="24"/>
        <v>169</v>
      </c>
    </row>
    <row r="206" spans="1:10" ht="18" customHeight="1">
      <c r="A206" s="534" t="s">
        <v>1212</v>
      </c>
      <c r="B206" s="534" t="s">
        <v>1310</v>
      </c>
      <c r="C206" s="535" t="s">
        <v>990</v>
      </c>
      <c r="D206" s="530">
        <f>VLOOKUP(C206,'급수계통별장래인구(출x)'!$C$5:$D$491,2,FALSE)</f>
        <v>150</v>
      </c>
      <c r="E206" s="518">
        <f t="shared" si="23"/>
        <v>1.1631062691427906E-3</v>
      </c>
      <c r="F206" s="541">
        <f t="shared" si="25"/>
        <v>154</v>
      </c>
      <c r="G206" s="530">
        <f t="shared" si="25"/>
        <v>152</v>
      </c>
      <c r="H206" s="530">
        <f t="shared" si="24"/>
        <v>155</v>
      </c>
      <c r="I206" s="530">
        <f t="shared" si="24"/>
        <v>158</v>
      </c>
      <c r="J206" s="530">
        <f t="shared" si="24"/>
        <v>161</v>
      </c>
    </row>
    <row r="207" spans="1:10" ht="18" customHeight="1">
      <c r="A207" s="534" t="s">
        <v>1212</v>
      </c>
      <c r="B207" s="534" t="s">
        <v>1311</v>
      </c>
      <c r="C207" s="535" t="s">
        <v>991</v>
      </c>
      <c r="D207" s="530">
        <f>VLOOKUP(C207,'급수계통별장래인구(출x)'!$C$5:$D$491,2,FALSE)</f>
        <v>179</v>
      </c>
      <c r="E207" s="518">
        <f t="shared" si="23"/>
        <v>1.3879734811770635E-3</v>
      </c>
      <c r="F207" s="541">
        <f t="shared" si="25"/>
        <v>184</v>
      </c>
      <c r="G207" s="530">
        <f t="shared" si="25"/>
        <v>181</v>
      </c>
      <c r="H207" s="530">
        <f t="shared" si="24"/>
        <v>185</v>
      </c>
      <c r="I207" s="530">
        <f t="shared" si="24"/>
        <v>189</v>
      </c>
      <c r="J207" s="530">
        <f t="shared" si="24"/>
        <v>192</v>
      </c>
    </row>
    <row r="208" spans="1:10" ht="18" customHeight="1">
      <c r="A208" s="534" t="s">
        <v>1212</v>
      </c>
      <c r="B208" s="534" t="s">
        <v>1311</v>
      </c>
      <c r="C208" s="535" t="s">
        <v>992</v>
      </c>
      <c r="D208" s="530">
        <f>VLOOKUP(C208,'급수계통별장래인구(출x)'!$C$5:$D$491,2,FALSE)</f>
        <v>97</v>
      </c>
      <c r="E208" s="518">
        <f t="shared" si="23"/>
        <v>7.5214205404567128E-4</v>
      </c>
      <c r="F208" s="541">
        <f t="shared" si="25"/>
        <v>100</v>
      </c>
      <c r="G208" s="530">
        <f t="shared" si="25"/>
        <v>98</v>
      </c>
      <c r="H208" s="530">
        <f t="shared" si="24"/>
        <v>100</v>
      </c>
      <c r="I208" s="530">
        <f t="shared" si="24"/>
        <v>102</v>
      </c>
      <c r="J208" s="530">
        <f t="shared" si="24"/>
        <v>104</v>
      </c>
    </row>
    <row r="209" spans="1:10" ht="18" customHeight="1">
      <c r="A209" s="534" t="s">
        <v>1212</v>
      </c>
      <c r="B209" s="534" t="s">
        <v>1311</v>
      </c>
      <c r="C209" s="535" t="s">
        <v>993</v>
      </c>
      <c r="D209" s="530">
        <f>VLOOKUP(C209,'급수계통별장래인구(출x)'!$C$5:$D$491,2,FALSE)</f>
        <v>61</v>
      </c>
      <c r="E209" s="518">
        <f t="shared" si="23"/>
        <v>4.7299654945140153E-4</v>
      </c>
      <c r="F209" s="541">
        <f t="shared" si="25"/>
        <v>63</v>
      </c>
      <c r="G209" s="530">
        <f t="shared" si="25"/>
        <v>62</v>
      </c>
      <c r="H209" s="530">
        <f t="shared" si="24"/>
        <v>63</v>
      </c>
      <c r="I209" s="530">
        <f t="shared" si="24"/>
        <v>64</v>
      </c>
      <c r="J209" s="530">
        <f t="shared" si="24"/>
        <v>66</v>
      </c>
    </row>
    <row r="210" spans="1:10" ht="18" customHeight="1">
      <c r="A210" s="534" t="s">
        <v>1212</v>
      </c>
      <c r="B210" s="534" t="s">
        <v>1312</v>
      </c>
      <c r="C210" s="535" t="s">
        <v>994</v>
      </c>
      <c r="D210" s="530">
        <f>VLOOKUP(C210,'급수계통별장래인구(출x)'!$C$5:$D$491,2,FALSE)</f>
        <v>154</v>
      </c>
      <c r="E210" s="518">
        <f t="shared" si="23"/>
        <v>1.1941224363199317E-3</v>
      </c>
      <c r="F210" s="541">
        <f t="shared" si="25"/>
        <v>158</v>
      </c>
      <c r="G210" s="530">
        <f t="shared" si="25"/>
        <v>156</v>
      </c>
      <c r="H210" s="530">
        <f t="shared" si="24"/>
        <v>159</v>
      </c>
      <c r="I210" s="530">
        <f t="shared" si="24"/>
        <v>163</v>
      </c>
      <c r="J210" s="530">
        <f t="shared" si="24"/>
        <v>165</v>
      </c>
    </row>
    <row r="211" spans="1:10" ht="18" customHeight="1">
      <c r="A211" s="534" t="s">
        <v>1212</v>
      </c>
      <c r="B211" s="534" t="s">
        <v>1312</v>
      </c>
      <c r="C211" s="535" t="s">
        <v>995</v>
      </c>
      <c r="D211" s="530">
        <f>VLOOKUP(C211,'급수계통별장래인구(출x)'!$C$5:$D$491,2,FALSE)</f>
        <v>105</v>
      </c>
      <c r="E211" s="518">
        <f t="shared" si="23"/>
        <v>8.1417438839995345E-4</v>
      </c>
      <c r="F211" s="541">
        <f t="shared" si="25"/>
        <v>108</v>
      </c>
      <c r="G211" s="530">
        <f t="shared" si="25"/>
        <v>106</v>
      </c>
      <c r="H211" s="530">
        <f t="shared" si="24"/>
        <v>108</v>
      </c>
      <c r="I211" s="530">
        <f t="shared" si="24"/>
        <v>111</v>
      </c>
      <c r="J211" s="530">
        <f t="shared" si="24"/>
        <v>113</v>
      </c>
    </row>
    <row r="212" spans="1:10" ht="18" customHeight="1">
      <c r="A212" s="537" t="s">
        <v>1213</v>
      </c>
      <c r="B212" s="577" t="s">
        <v>1232</v>
      </c>
      <c r="C212" s="577"/>
      <c r="D212" s="538">
        <f>SUM(D213:D245)</f>
        <v>4307</v>
      </c>
      <c r="E212" s="538"/>
      <c r="F212" s="538">
        <f t="shared" ref="F212" si="26">SUM(F213:F245)</f>
        <v>4426</v>
      </c>
      <c r="G212" s="538">
        <f t="shared" ref="G212:J212" si="27">SUM(G213:G245)</f>
        <v>4359</v>
      </c>
      <c r="H212" s="538">
        <f t="shared" si="27"/>
        <v>4450</v>
      </c>
      <c r="I212" s="538">
        <f t="shared" si="27"/>
        <v>4547</v>
      </c>
      <c r="J212" s="538">
        <f t="shared" si="27"/>
        <v>4630</v>
      </c>
    </row>
    <row r="213" spans="1:10" ht="18" customHeight="1">
      <c r="A213" s="534" t="s">
        <v>1213</v>
      </c>
      <c r="B213" s="534" t="s">
        <v>1313</v>
      </c>
      <c r="C213" s="535" t="s">
        <v>911</v>
      </c>
      <c r="D213" s="530">
        <f>VLOOKUP(C213,'급수계통별장래인구(출x)'!$C$5:$D$491,2,FALSE)</f>
        <v>89</v>
      </c>
      <c r="E213" s="518">
        <f t="shared" ref="E213:E245" si="28">D213/$D$3</f>
        <v>6.9010971969138911E-4</v>
      </c>
      <c r="F213" s="541">
        <f t="shared" si="25"/>
        <v>91</v>
      </c>
      <c r="G213" s="530">
        <f t="shared" si="25"/>
        <v>90</v>
      </c>
      <c r="H213" s="530">
        <f t="shared" si="24"/>
        <v>92</v>
      </c>
      <c r="I213" s="530">
        <f t="shared" si="24"/>
        <v>94</v>
      </c>
      <c r="J213" s="530">
        <f t="shared" si="24"/>
        <v>96</v>
      </c>
    </row>
    <row r="214" spans="1:10" ht="18" customHeight="1">
      <c r="A214" s="534" t="s">
        <v>1213</v>
      </c>
      <c r="B214" s="534" t="s">
        <v>1313</v>
      </c>
      <c r="C214" s="535" t="s">
        <v>912</v>
      </c>
      <c r="D214" s="530">
        <f>VLOOKUP(C214,'급수계통별장래인구(출x)'!$C$5:$D$491,2,FALSE)</f>
        <v>74</v>
      </c>
      <c r="E214" s="518">
        <f t="shared" si="28"/>
        <v>5.7379909277711005E-4</v>
      </c>
      <c r="F214" s="541">
        <f t="shared" si="25"/>
        <v>76</v>
      </c>
      <c r="G214" s="530">
        <f t="shared" si="25"/>
        <v>75</v>
      </c>
      <c r="H214" s="530">
        <f t="shared" si="24"/>
        <v>76</v>
      </c>
      <c r="I214" s="530">
        <f t="shared" si="24"/>
        <v>78</v>
      </c>
      <c r="J214" s="530">
        <f t="shared" si="24"/>
        <v>80</v>
      </c>
    </row>
    <row r="215" spans="1:10" ht="18" customHeight="1">
      <c r="A215" s="534" t="s">
        <v>1213</v>
      </c>
      <c r="B215" s="534" t="s">
        <v>1313</v>
      </c>
      <c r="C215" s="535" t="s">
        <v>913</v>
      </c>
      <c r="D215" s="530">
        <f>VLOOKUP(C215,'급수계통별장래인구(출x)'!$C$5:$D$491,2,FALSE)</f>
        <v>441</v>
      </c>
      <c r="E215" s="518">
        <f t="shared" si="28"/>
        <v>3.4195324312798047E-3</v>
      </c>
      <c r="F215" s="541">
        <f t="shared" si="25"/>
        <v>453</v>
      </c>
      <c r="G215" s="530">
        <f t="shared" si="25"/>
        <v>446</v>
      </c>
      <c r="H215" s="530">
        <f t="shared" si="24"/>
        <v>455</v>
      </c>
      <c r="I215" s="530">
        <f t="shared" si="24"/>
        <v>466</v>
      </c>
      <c r="J215" s="530">
        <f t="shared" si="24"/>
        <v>474</v>
      </c>
    </row>
    <row r="216" spans="1:10" ht="18" customHeight="1">
      <c r="A216" s="534" t="s">
        <v>1213</v>
      </c>
      <c r="B216" s="534" t="s">
        <v>1313</v>
      </c>
      <c r="C216" s="535" t="s">
        <v>914</v>
      </c>
      <c r="D216" s="530">
        <f>VLOOKUP(C216,'급수계통별장래인구(출x)'!$C$5:$D$491,2,FALSE)</f>
        <v>88</v>
      </c>
      <c r="E216" s="518">
        <f t="shared" si="28"/>
        <v>6.8235567789710384E-4</v>
      </c>
      <c r="F216" s="541">
        <f t="shared" si="25"/>
        <v>90</v>
      </c>
      <c r="G216" s="530">
        <f t="shared" si="25"/>
        <v>89</v>
      </c>
      <c r="H216" s="530">
        <f t="shared" si="24"/>
        <v>91</v>
      </c>
      <c r="I216" s="530">
        <f t="shared" si="24"/>
        <v>93</v>
      </c>
      <c r="J216" s="530">
        <f t="shared" si="24"/>
        <v>95</v>
      </c>
    </row>
    <row r="217" spans="1:10" ht="18" customHeight="1">
      <c r="A217" s="534" t="s">
        <v>1213</v>
      </c>
      <c r="B217" s="534" t="s">
        <v>1313</v>
      </c>
      <c r="C217" s="535" t="s">
        <v>915</v>
      </c>
      <c r="D217" s="530">
        <f>VLOOKUP(C217,'급수계통별장래인구(출x)'!$C$5:$D$491,2,FALSE)</f>
        <v>102</v>
      </c>
      <c r="E217" s="518">
        <f t="shared" si="28"/>
        <v>7.9091226301709764E-4</v>
      </c>
      <c r="F217" s="541">
        <f t="shared" si="25"/>
        <v>105</v>
      </c>
      <c r="G217" s="530">
        <f t="shared" si="25"/>
        <v>103</v>
      </c>
      <c r="H217" s="530">
        <f t="shared" si="24"/>
        <v>105</v>
      </c>
      <c r="I217" s="530">
        <f t="shared" si="24"/>
        <v>108</v>
      </c>
      <c r="J217" s="530">
        <f t="shared" si="24"/>
        <v>110</v>
      </c>
    </row>
    <row r="218" spans="1:10" ht="18" customHeight="1">
      <c r="A218" s="534" t="s">
        <v>1213</v>
      </c>
      <c r="B218" s="534" t="s">
        <v>1314</v>
      </c>
      <c r="C218" s="535" t="s">
        <v>916</v>
      </c>
      <c r="D218" s="530">
        <f>VLOOKUP(C218,'급수계통별장래인구(출x)'!$C$5:$D$491,2,FALSE)</f>
        <v>165</v>
      </c>
      <c r="E218" s="518">
        <f t="shared" si="28"/>
        <v>1.2794168960570697E-3</v>
      </c>
      <c r="F218" s="541">
        <f t="shared" si="25"/>
        <v>169</v>
      </c>
      <c r="G218" s="530">
        <f t="shared" si="25"/>
        <v>167</v>
      </c>
      <c r="H218" s="530">
        <f t="shared" si="24"/>
        <v>170</v>
      </c>
      <c r="I218" s="530">
        <f t="shared" si="24"/>
        <v>174</v>
      </c>
      <c r="J218" s="530">
        <f t="shared" si="24"/>
        <v>177</v>
      </c>
    </row>
    <row r="219" spans="1:10" ht="18" customHeight="1">
      <c r="A219" s="534" t="s">
        <v>1213</v>
      </c>
      <c r="B219" s="534" t="s">
        <v>1314</v>
      </c>
      <c r="C219" s="535" t="s">
        <v>917</v>
      </c>
      <c r="D219" s="530">
        <f>VLOOKUP(C219,'급수계통별장래인구(출x)'!$C$5:$D$491,2,FALSE)</f>
        <v>170</v>
      </c>
      <c r="E219" s="518">
        <f t="shared" si="28"/>
        <v>1.3181871050284961E-3</v>
      </c>
      <c r="F219" s="541">
        <f t="shared" si="25"/>
        <v>175</v>
      </c>
      <c r="G219" s="530">
        <f t="shared" si="25"/>
        <v>172</v>
      </c>
      <c r="H219" s="530">
        <f t="shared" si="24"/>
        <v>176</v>
      </c>
      <c r="I219" s="530">
        <f t="shared" si="24"/>
        <v>180</v>
      </c>
      <c r="J219" s="530">
        <f t="shared" si="24"/>
        <v>183</v>
      </c>
    </row>
    <row r="220" spans="1:10" ht="18" customHeight="1">
      <c r="A220" s="534" t="s">
        <v>1213</v>
      </c>
      <c r="B220" s="534" t="s">
        <v>1314</v>
      </c>
      <c r="C220" s="535" t="s">
        <v>918</v>
      </c>
      <c r="D220" s="530">
        <f>VLOOKUP(C220,'급수계통별장래인구(출x)'!$C$5:$D$491,2,FALSE)</f>
        <v>49</v>
      </c>
      <c r="E220" s="518">
        <f t="shared" si="28"/>
        <v>3.7994804791997828E-4</v>
      </c>
      <c r="F220" s="541">
        <f t="shared" si="25"/>
        <v>50</v>
      </c>
      <c r="G220" s="530">
        <f t="shared" si="25"/>
        <v>50</v>
      </c>
      <c r="H220" s="530">
        <f t="shared" si="24"/>
        <v>51</v>
      </c>
      <c r="I220" s="530">
        <f t="shared" si="24"/>
        <v>52</v>
      </c>
      <c r="J220" s="530">
        <f t="shared" si="24"/>
        <v>53</v>
      </c>
    </row>
    <row r="221" spans="1:10" ht="18" customHeight="1">
      <c r="A221" s="534" t="s">
        <v>1213</v>
      </c>
      <c r="B221" s="534" t="s">
        <v>1315</v>
      </c>
      <c r="C221" s="535" t="s">
        <v>919</v>
      </c>
      <c r="D221" s="530">
        <f>VLOOKUP(C221,'급수계통별장래인구(출x)'!$C$5:$D$491,2,FALSE)</f>
        <v>78</v>
      </c>
      <c r="E221" s="518">
        <f t="shared" si="28"/>
        <v>6.0481525995425113E-4</v>
      </c>
      <c r="F221" s="541">
        <f t="shared" si="25"/>
        <v>80</v>
      </c>
      <c r="G221" s="530">
        <f t="shared" si="25"/>
        <v>79</v>
      </c>
      <c r="H221" s="530">
        <f t="shared" si="24"/>
        <v>81</v>
      </c>
      <c r="I221" s="530">
        <f t="shared" si="24"/>
        <v>82</v>
      </c>
      <c r="J221" s="530">
        <f t="shared" si="24"/>
        <v>84</v>
      </c>
    </row>
    <row r="222" spans="1:10" ht="18" customHeight="1">
      <c r="A222" s="534" t="s">
        <v>1213</v>
      </c>
      <c r="B222" s="534" t="s">
        <v>1315</v>
      </c>
      <c r="C222" s="535" t="s">
        <v>920</v>
      </c>
      <c r="D222" s="530">
        <f>VLOOKUP(C222,'급수계통별장래인구(출x)'!$C$5:$D$491,2,FALSE)</f>
        <v>75</v>
      </c>
      <c r="E222" s="518">
        <f t="shared" si="28"/>
        <v>5.8155313457139532E-4</v>
      </c>
      <c r="F222" s="541">
        <f t="shared" si="25"/>
        <v>77</v>
      </c>
      <c r="G222" s="530">
        <f t="shared" si="25"/>
        <v>76</v>
      </c>
      <c r="H222" s="530">
        <f t="shared" si="24"/>
        <v>77</v>
      </c>
      <c r="I222" s="530">
        <f t="shared" si="24"/>
        <v>79</v>
      </c>
      <c r="J222" s="530">
        <f t="shared" si="24"/>
        <v>81</v>
      </c>
    </row>
    <row r="223" spans="1:10" ht="18" customHeight="1">
      <c r="A223" s="534" t="s">
        <v>1213</v>
      </c>
      <c r="B223" s="534" t="s">
        <v>1315</v>
      </c>
      <c r="C223" s="535" t="s">
        <v>921</v>
      </c>
      <c r="D223" s="530">
        <f>VLOOKUP(C223,'급수계통별장래인구(출x)'!$C$5:$D$491,2,FALSE)</f>
        <v>73</v>
      </c>
      <c r="E223" s="518">
        <f t="shared" si="28"/>
        <v>5.6604505098282478E-4</v>
      </c>
      <c r="F223" s="541">
        <f t="shared" si="25"/>
        <v>75</v>
      </c>
      <c r="G223" s="530">
        <f t="shared" si="25"/>
        <v>74</v>
      </c>
      <c r="H223" s="530">
        <f t="shared" si="24"/>
        <v>75</v>
      </c>
      <c r="I223" s="530">
        <f t="shared" si="24"/>
        <v>77</v>
      </c>
      <c r="J223" s="530">
        <f t="shared" si="24"/>
        <v>78</v>
      </c>
    </row>
    <row r="224" spans="1:10" ht="18" customHeight="1">
      <c r="A224" s="534" t="s">
        <v>1213</v>
      </c>
      <c r="B224" s="534" t="s">
        <v>1316</v>
      </c>
      <c r="C224" s="535" t="s">
        <v>922</v>
      </c>
      <c r="D224" s="530">
        <f>VLOOKUP(C224,'급수계통별장래인구(출x)'!$C$5:$D$491,2,FALSE)</f>
        <v>139</v>
      </c>
      <c r="E224" s="518">
        <f t="shared" si="28"/>
        <v>1.0778118094056527E-3</v>
      </c>
      <c r="F224" s="541">
        <f t="shared" si="25"/>
        <v>143</v>
      </c>
      <c r="G224" s="530">
        <f t="shared" si="25"/>
        <v>141</v>
      </c>
      <c r="H224" s="530">
        <f t="shared" si="24"/>
        <v>144</v>
      </c>
      <c r="I224" s="530">
        <f t="shared" si="24"/>
        <v>147</v>
      </c>
      <c r="J224" s="530">
        <f t="shared" si="24"/>
        <v>149</v>
      </c>
    </row>
    <row r="225" spans="1:10" ht="18" customHeight="1">
      <c r="A225" s="534" t="s">
        <v>1213</v>
      </c>
      <c r="B225" s="534" t="s">
        <v>1316</v>
      </c>
      <c r="C225" s="535" t="s">
        <v>923</v>
      </c>
      <c r="D225" s="530">
        <f>VLOOKUP(C225,'급수계통별장래인구(출x)'!$C$5:$D$491,2,FALSE)</f>
        <v>145</v>
      </c>
      <c r="E225" s="518">
        <f t="shared" si="28"/>
        <v>1.1243360601713643E-3</v>
      </c>
      <c r="F225" s="541">
        <f t="shared" si="25"/>
        <v>149</v>
      </c>
      <c r="G225" s="530">
        <f t="shared" si="25"/>
        <v>147</v>
      </c>
      <c r="H225" s="530">
        <f t="shared" si="24"/>
        <v>150</v>
      </c>
      <c r="I225" s="530">
        <f t="shared" si="24"/>
        <v>153</v>
      </c>
      <c r="J225" s="530">
        <f t="shared" si="24"/>
        <v>156</v>
      </c>
    </row>
    <row r="226" spans="1:10" ht="18" customHeight="1">
      <c r="A226" s="534" t="s">
        <v>1213</v>
      </c>
      <c r="B226" s="534" t="s">
        <v>1316</v>
      </c>
      <c r="C226" s="535" t="s">
        <v>924</v>
      </c>
      <c r="D226" s="530">
        <f>VLOOKUP(C226,'급수계통별장래인구(출x)'!$C$5:$D$491,2,FALSE)</f>
        <v>101</v>
      </c>
      <c r="E226" s="518">
        <f t="shared" si="28"/>
        <v>7.8315822122281237E-4</v>
      </c>
      <c r="F226" s="541">
        <f t="shared" si="25"/>
        <v>104</v>
      </c>
      <c r="G226" s="530">
        <f t="shared" si="25"/>
        <v>102</v>
      </c>
      <c r="H226" s="530">
        <f t="shared" si="24"/>
        <v>104</v>
      </c>
      <c r="I226" s="530">
        <f t="shared" si="24"/>
        <v>107</v>
      </c>
      <c r="J226" s="530">
        <f t="shared" si="24"/>
        <v>109</v>
      </c>
    </row>
    <row r="227" spans="1:10" ht="18" customHeight="1">
      <c r="A227" s="534" t="s">
        <v>1213</v>
      </c>
      <c r="B227" s="534" t="s">
        <v>1317</v>
      </c>
      <c r="C227" s="535" t="s">
        <v>925</v>
      </c>
      <c r="D227" s="530">
        <f>VLOOKUP(C227,'급수계통별장래인구(출x)'!$C$5:$D$491,2,FALSE)</f>
        <v>93</v>
      </c>
      <c r="E227" s="518">
        <f t="shared" si="28"/>
        <v>7.211258868685302E-4</v>
      </c>
      <c r="F227" s="541">
        <f t="shared" si="25"/>
        <v>96</v>
      </c>
      <c r="G227" s="530">
        <f t="shared" si="25"/>
        <v>94</v>
      </c>
      <c r="H227" s="530">
        <f t="shared" si="24"/>
        <v>96</v>
      </c>
      <c r="I227" s="530">
        <f t="shared" si="24"/>
        <v>98</v>
      </c>
      <c r="J227" s="530">
        <f t="shared" si="24"/>
        <v>100</v>
      </c>
    </row>
    <row r="228" spans="1:10" ht="18" customHeight="1">
      <c r="A228" s="534" t="s">
        <v>1213</v>
      </c>
      <c r="B228" s="534" t="s">
        <v>1317</v>
      </c>
      <c r="C228" s="535" t="s">
        <v>926</v>
      </c>
      <c r="D228" s="530">
        <f>VLOOKUP(C228,'급수계통별장래인구(출x)'!$C$5:$D$491,2,FALSE)</f>
        <v>180</v>
      </c>
      <c r="E228" s="518">
        <f t="shared" si="28"/>
        <v>1.3957275229713488E-3</v>
      </c>
      <c r="F228" s="541">
        <f t="shared" si="25"/>
        <v>185</v>
      </c>
      <c r="G228" s="530">
        <f t="shared" si="25"/>
        <v>182</v>
      </c>
      <c r="H228" s="530">
        <f t="shared" si="24"/>
        <v>186</v>
      </c>
      <c r="I228" s="530">
        <f t="shared" si="24"/>
        <v>190</v>
      </c>
      <c r="J228" s="530">
        <f t="shared" si="24"/>
        <v>193</v>
      </c>
    </row>
    <row r="229" spans="1:10" ht="18" customHeight="1">
      <c r="A229" s="534" t="s">
        <v>1213</v>
      </c>
      <c r="B229" s="534" t="s">
        <v>1318</v>
      </c>
      <c r="C229" s="535" t="s">
        <v>927</v>
      </c>
      <c r="D229" s="530">
        <f>VLOOKUP(C229,'급수계통별장래인구(출x)'!$C$5:$D$491,2,FALSE)</f>
        <v>92</v>
      </c>
      <c r="E229" s="518">
        <f t="shared" si="28"/>
        <v>7.1337184507424493E-4</v>
      </c>
      <c r="F229" s="541">
        <f t="shared" si="25"/>
        <v>95</v>
      </c>
      <c r="G229" s="530">
        <f t="shared" si="25"/>
        <v>93</v>
      </c>
      <c r="H229" s="530">
        <f t="shared" si="24"/>
        <v>95</v>
      </c>
      <c r="I229" s="530">
        <f t="shared" si="24"/>
        <v>97</v>
      </c>
      <c r="J229" s="530">
        <f t="shared" si="24"/>
        <v>99</v>
      </c>
    </row>
    <row r="230" spans="1:10" ht="18" customHeight="1">
      <c r="A230" s="534" t="s">
        <v>1213</v>
      </c>
      <c r="B230" s="534" t="s">
        <v>1318</v>
      </c>
      <c r="C230" s="535" t="s">
        <v>928</v>
      </c>
      <c r="D230" s="530">
        <f>VLOOKUP(C230,'급수계통별장래인구(출x)'!$C$5:$D$491,2,FALSE)</f>
        <v>145</v>
      </c>
      <c r="E230" s="518">
        <f t="shared" si="28"/>
        <v>1.1243360601713643E-3</v>
      </c>
      <c r="F230" s="541">
        <f t="shared" si="25"/>
        <v>149</v>
      </c>
      <c r="G230" s="530">
        <f t="shared" si="25"/>
        <v>147</v>
      </c>
      <c r="H230" s="530">
        <f t="shared" si="24"/>
        <v>150</v>
      </c>
      <c r="I230" s="530">
        <f t="shared" si="24"/>
        <v>153</v>
      </c>
      <c r="J230" s="530">
        <f t="shared" si="24"/>
        <v>156</v>
      </c>
    </row>
    <row r="231" spans="1:10" ht="18" customHeight="1">
      <c r="A231" s="534" t="s">
        <v>1213</v>
      </c>
      <c r="B231" s="534" t="s">
        <v>1319</v>
      </c>
      <c r="C231" s="535" t="s">
        <v>929</v>
      </c>
      <c r="D231" s="530">
        <f>VLOOKUP(C231,'급수계통별장래인구(출x)'!$C$5:$D$491,2,FALSE)</f>
        <v>110</v>
      </c>
      <c r="E231" s="518">
        <f t="shared" si="28"/>
        <v>8.529445973713798E-4</v>
      </c>
      <c r="F231" s="541">
        <f t="shared" si="25"/>
        <v>113</v>
      </c>
      <c r="G231" s="530">
        <f t="shared" si="25"/>
        <v>111</v>
      </c>
      <c r="H231" s="530">
        <f t="shared" si="24"/>
        <v>114</v>
      </c>
      <c r="I231" s="530">
        <f t="shared" si="24"/>
        <v>116</v>
      </c>
      <c r="J231" s="530">
        <f t="shared" si="24"/>
        <v>118</v>
      </c>
    </row>
    <row r="232" spans="1:10" ht="18" customHeight="1">
      <c r="A232" s="534" t="s">
        <v>1213</v>
      </c>
      <c r="B232" s="534" t="s">
        <v>1320</v>
      </c>
      <c r="C232" s="535" t="s">
        <v>930</v>
      </c>
      <c r="D232" s="530">
        <f>VLOOKUP(C232,'급수계통별장래인구(출x)'!$C$5:$D$491,2,FALSE)</f>
        <v>78</v>
      </c>
      <c r="E232" s="518">
        <f t="shared" si="28"/>
        <v>6.0481525995425113E-4</v>
      </c>
      <c r="F232" s="541">
        <f t="shared" si="25"/>
        <v>80</v>
      </c>
      <c r="G232" s="530">
        <f t="shared" si="25"/>
        <v>79</v>
      </c>
      <c r="H232" s="530">
        <f t="shared" si="24"/>
        <v>81</v>
      </c>
      <c r="I232" s="530">
        <f t="shared" si="24"/>
        <v>82</v>
      </c>
      <c r="J232" s="530">
        <f t="shared" si="24"/>
        <v>84</v>
      </c>
    </row>
    <row r="233" spans="1:10" ht="18" customHeight="1">
      <c r="A233" s="534" t="s">
        <v>1213</v>
      </c>
      <c r="B233" s="534" t="s">
        <v>1320</v>
      </c>
      <c r="C233" s="535" t="s">
        <v>931</v>
      </c>
      <c r="D233" s="530">
        <f>VLOOKUP(C233,'급수계통별장래인구(출x)'!$C$5:$D$491,2,FALSE)</f>
        <v>108</v>
      </c>
      <c r="E233" s="518">
        <f t="shared" si="28"/>
        <v>8.3743651378280926E-4</v>
      </c>
      <c r="F233" s="541">
        <f t="shared" si="25"/>
        <v>111</v>
      </c>
      <c r="G233" s="530">
        <f t="shared" si="25"/>
        <v>109</v>
      </c>
      <c r="H233" s="530">
        <f t="shared" si="24"/>
        <v>112</v>
      </c>
      <c r="I233" s="530">
        <f t="shared" si="24"/>
        <v>114</v>
      </c>
      <c r="J233" s="530">
        <f t="shared" si="24"/>
        <v>116</v>
      </c>
    </row>
    <row r="234" spans="1:10" ht="18" customHeight="1">
      <c r="A234" s="534" t="s">
        <v>1213</v>
      </c>
      <c r="B234" s="534" t="s">
        <v>1320</v>
      </c>
      <c r="C234" s="535" t="s">
        <v>932</v>
      </c>
      <c r="D234" s="530">
        <f>VLOOKUP(C234,'급수계통별장래인구(출x)'!$C$5:$D$491,2,FALSE)</f>
        <v>76</v>
      </c>
      <c r="E234" s="518">
        <f t="shared" si="28"/>
        <v>5.8930717636568059E-4</v>
      </c>
      <c r="F234" s="541">
        <f t="shared" si="25"/>
        <v>78</v>
      </c>
      <c r="G234" s="530">
        <f t="shared" si="25"/>
        <v>77</v>
      </c>
      <c r="H234" s="530">
        <f t="shared" si="24"/>
        <v>78</v>
      </c>
      <c r="I234" s="530">
        <f t="shared" si="24"/>
        <v>80</v>
      </c>
      <c r="J234" s="530">
        <f t="shared" si="24"/>
        <v>82</v>
      </c>
    </row>
    <row r="235" spans="1:10" ht="18" customHeight="1">
      <c r="A235" s="534" t="s">
        <v>1213</v>
      </c>
      <c r="B235" s="534" t="s">
        <v>1321</v>
      </c>
      <c r="C235" s="535" t="s">
        <v>933</v>
      </c>
      <c r="D235" s="530">
        <f>VLOOKUP(C235,'급수계통별장래인구(출x)'!$C$5:$D$491,2,FALSE)</f>
        <v>181</v>
      </c>
      <c r="E235" s="518">
        <f t="shared" si="28"/>
        <v>1.403481564765634E-3</v>
      </c>
      <c r="F235" s="541">
        <f t="shared" si="25"/>
        <v>186</v>
      </c>
      <c r="G235" s="530">
        <f t="shared" si="25"/>
        <v>183</v>
      </c>
      <c r="H235" s="530">
        <f t="shared" si="24"/>
        <v>187</v>
      </c>
      <c r="I235" s="530">
        <f t="shared" si="24"/>
        <v>191</v>
      </c>
      <c r="J235" s="530">
        <f t="shared" si="24"/>
        <v>194</v>
      </c>
    </row>
    <row r="236" spans="1:10" ht="18" customHeight="1">
      <c r="A236" s="534" t="s">
        <v>1213</v>
      </c>
      <c r="B236" s="534" t="s">
        <v>1321</v>
      </c>
      <c r="C236" s="535" t="s">
        <v>934</v>
      </c>
      <c r="D236" s="530">
        <f>VLOOKUP(C236,'급수계통별장래인구(출x)'!$C$5:$D$491,2,FALSE)</f>
        <v>217</v>
      </c>
      <c r="E236" s="518">
        <f t="shared" si="28"/>
        <v>1.6826270693599038E-3</v>
      </c>
      <c r="F236" s="541">
        <f t="shared" si="25"/>
        <v>223</v>
      </c>
      <c r="G236" s="530">
        <f t="shared" si="25"/>
        <v>220</v>
      </c>
      <c r="H236" s="530">
        <f t="shared" si="24"/>
        <v>224</v>
      </c>
      <c r="I236" s="530">
        <f t="shared" si="24"/>
        <v>229</v>
      </c>
      <c r="J236" s="530">
        <f t="shared" si="24"/>
        <v>233</v>
      </c>
    </row>
    <row r="237" spans="1:10" ht="18" customHeight="1">
      <c r="A237" s="534" t="s">
        <v>1213</v>
      </c>
      <c r="B237" s="534" t="s">
        <v>1321</v>
      </c>
      <c r="C237" s="535" t="s">
        <v>935</v>
      </c>
      <c r="D237" s="530">
        <f>VLOOKUP(C237,'급수계통별장래인구(출x)'!$C$5:$D$491,2,FALSE)</f>
        <v>129</v>
      </c>
      <c r="E237" s="518">
        <f t="shared" si="28"/>
        <v>1.0002713914628E-3</v>
      </c>
      <c r="F237" s="541">
        <f t="shared" si="25"/>
        <v>133</v>
      </c>
      <c r="G237" s="530">
        <f t="shared" si="25"/>
        <v>131</v>
      </c>
      <c r="H237" s="530">
        <f t="shared" si="24"/>
        <v>133</v>
      </c>
      <c r="I237" s="530">
        <f t="shared" si="24"/>
        <v>136</v>
      </c>
      <c r="J237" s="530">
        <f t="shared" si="24"/>
        <v>139</v>
      </c>
    </row>
    <row r="238" spans="1:10" ht="18" customHeight="1">
      <c r="A238" s="534" t="s">
        <v>1213</v>
      </c>
      <c r="B238" s="534" t="s">
        <v>1322</v>
      </c>
      <c r="C238" s="535" t="s">
        <v>936</v>
      </c>
      <c r="D238" s="530">
        <f>VLOOKUP(C238,'급수계통별장래인구(출x)'!$C$5:$D$491,2,FALSE)</f>
        <v>138</v>
      </c>
      <c r="E238" s="518">
        <f t="shared" si="28"/>
        <v>1.0700577676113674E-3</v>
      </c>
      <c r="F238" s="541">
        <f t="shared" si="25"/>
        <v>142</v>
      </c>
      <c r="G238" s="530">
        <f t="shared" si="25"/>
        <v>140</v>
      </c>
      <c r="H238" s="530">
        <f t="shared" si="24"/>
        <v>143</v>
      </c>
      <c r="I238" s="530">
        <f t="shared" si="24"/>
        <v>146</v>
      </c>
      <c r="J238" s="530">
        <f t="shared" si="24"/>
        <v>148</v>
      </c>
    </row>
    <row r="239" spans="1:10" ht="18" customHeight="1">
      <c r="A239" s="534" t="s">
        <v>1213</v>
      </c>
      <c r="B239" s="534" t="s">
        <v>1322</v>
      </c>
      <c r="C239" s="535" t="s">
        <v>937</v>
      </c>
      <c r="D239" s="530">
        <f>VLOOKUP(C239,'급수계통별장래인구(출x)'!$C$5:$D$491,2,FALSE)</f>
        <v>262</v>
      </c>
      <c r="E239" s="518">
        <f t="shared" si="28"/>
        <v>2.031558950102741E-3</v>
      </c>
      <c r="F239" s="541">
        <f t="shared" si="25"/>
        <v>269</v>
      </c>
      <c r="G239" s="530">
        <f t="shared" si="25"/>
        <v>265</v>
      </c>
      <c r="H239" s="530">
        <f t="shared" si="24"/>
        <v>271</v>
      </c>
      <c r="I239" s="530">
        <f t="shared" si="24"/>
        <v>277</v>
      </c>
      <c r="J239" s="530">
        <f t="shared" si="24"/>
        <v>281</v>
      </c>
    </row>
    <row r="240" spans="1:10" ht="18" customHeight="1">
      <c r="A240" s="534" t="s">
        <v>1213</v>
      </c>
      <c r="B240" s="534" t="s">
        <v>1322</v>
      </c>
      <c r="C240" s="535" t="s">
        <v>938</v>
      </c>
      <c r="D240" s="530">
        <f>VLOOKUP(C240,'급수계통별장래인구(출x)'!$C$5:$D$491,2,FALSE)</f>
        <v>105</v>
      </c>
      <c r="E240" s="518">
        <f t="shared" si="28"/>
        <v>8.1417438839995345E-4</v>
      </c>
      <c r="F240" s="541">
        <f t="shared" si="25"/>
        <v>108</v>
      </c>
      <c r="G240" s="530">
        <f t="shared" si="25"/>
        <v>106</v>
      </c>
      <c r="H240" s="530">
        <f t="shared" si="24"/>
        <v>108</v>
      </c>
      <c r="I240" s="530">
        <f t="shared" si="24"/>
        <v>111</v>
      </c>
      <c r="J240" s="530">
        <f t="shared" si="24"/>
        <v>113</v>
      </c>
    </row>
    <row r="241" spans="1:10" ht="18" customHeight="1">
      <c r="A241" s="534" t="s">
        <v>1213</v>
      </c>
      <c r="B241" s="534" t="s">
        <v>1323</v>
      </c>
      <c r="C241" s="535" t="s">
        <v>939</v>
      </c>
      <c r="D241" s="530">
        <f>VLOOKUP(C241,'급수계통별장래인구(출x)'!$C$5:$D$491,2,FALSE)</f>
        <v>201</v>
      </c>
      <c r="E241" s="518">
        <f t="shared" si="28"/>
        <v>1.5585624006513395E-3</v>
      </c>
      <c r="F241" s="541">
        <f t="shared" si="25"/>
        <v>206</v>
      </c>
      <c r="G241" s="530">
        <f t="shared" si="25"/>
        <v>203</v>
      </c>
      <c r="H241" s="530">
        <f t="shared" si="24"/>
        <v>208</v>
      </c>
      <c r="I241" s="530">
        <f t="shared" si="24"/>
        <v>212</v>
      </c>
      <c r="J241" s="530">
        <f t="shared" si="24"/>
        <v>216</v>
      </c>
    </row>
    <row r="242" spans="1:10" ht="18" customHeight="1">
      <c r="A242" s="534" t="s">
        <v>1213</v>
      </c>
      <c r="B242" s="534" t="s">
        <v>1323</v>
      </c>
      <c r="C242" s="535" t="s">
        <v>940</v>
      </c>
      <c r="D242" s="530">
        <f>VLOOKUP(C242,'급수계통별장래인구(출x)'!$C$5:$D$491,2,FALSE)</f>
        <v>99</v>
      </c>
      <c r="E242" s="518">
        <f t="shared" si="28"/>
        <v>7.6765013763424182E-4</v>
      </c>
      <c r="F242" s="541">
        <f t="shared" si="25"/>
        <v>102</v>
      </c>
      <c r="G242" s="530">
        <f t="shared" si="25"/>
        <v>100</v>
      </c>
      <c r="H242" s="530">
        <f t="shared" si="24"/>
        <v>102</v>
      </c>
      <c r="I242" s="530">
        <f t="shared" si="24"/>
        <v>105</v>
      </c>
      <c r="J242" s="530">
        <f t="shared" si="24"/>
        <v>106</v>
      </c>
    </row>
    <row r="243" spans="1:10" ht="18" customHeight="1">
      <c r="A243" s="534" t="s">
        <v>1213</v>
      </c>
      <c r="B243" s="534" t="s">
        <v>1324</v>
      </c>
      <c r="C243" s="535" t="s">
        <v>941</v>
      </c>
      <c r="D243" s="530">
        <f>VLOOKUP(C243,'급수계통별장래인구(출x)'!$C$5:$D$491,2,FALSE)</f>
        <v>58</v>
      </c>
      <c r="E243" s="518">
        <f t="shared" si="28"/>
        <v>4.4973442406854571E-4</v>
      </c>
      <c r="F243" s="541">
        <f t="shared" si="25"/>
        <v>60</v>
      </c>
      <c r="G243" s="530">
        <f t="shared" si="25"/>
        <v>59</v>
      </c>
      <c r="H243" s="530">
        <f t="shared" si="24"/>
        <v>60</v>
      </c>
      <c r="I243" s="530">
        <f t="shared" si="24"/>
        <v>61</v>
      </c>
      <c r="J243" s="530">
        <f t="shared" si="24"/>
        <v>62</v>
      </c>
    </row>
    <row r="244" spans="1:10" ht="18" customHeight="1">
      <c r="A244" s="534" t="s">
        <v>1213</v>
      </c>
      <c r="B244" s="534" t="s">
        <v>1324</v>
      </c>
      <c r="C244" s="535" t="s">
        <v>942</v>
      </c>
      <c r="D244" s="530">
        <f>VLOOKUP(C244,'급수계통별장래인구(출x)'!$C$5:$D$491,2,FALSE)</f>
        <v>168</v>
      </c>
      <c r="E244" s="518">
        <f t="shared" si="28"/>
        <v>1.3026790214399255E-3</v>
      </c>
      <c r="F244" s="541">
        <f t="shared" si="25"/>
        <v>173</v>
      </c>
      <c r="G244" s="530">
        <f t="shared" si="25"/>
        <v>170</v>
      </c>
      <c r="H244" s="530">
        <f t="shared" si="24"/>
        <v>174</v>
      </c>
      <c r="I244" s="530">
        <f t="shared" si="24"/>
        <v>177</v>
      </c>
      <c r="J244" s="530">
        <f t="shared" si="24"/>
        <v>181</v>
      </c>
    </row>
    <row r="245" spans="1:10" ht="18" customHeight="1">
      <c r="A245" s="534" t="s">
        <v>1213</v>
      </c>
      <c r="B245" s="534" t="s">
        <v>1324</v>
      </c>
      <c r="C245" s="535" t="s">
        <v>943</v>
      </c>
      <c r="D245" s="530">
        <f>VLOOKUP(C245,'급수계통별장래인구(출x)'!$C$5:$D$491,2,FALSE)</f>
        <v>78</v>
      </c>
      <c r="E245" s="518">
        <f t="shared" si="28"/>
        <v>6.0481525995425113E-4</v>
      </c>
      <c r="F245" s="541">
        <f t="shared" si="25"/>
        <v>80</v>
      </c>
      <c r="G245" s="530">
        <f t="shared" si="25"/>
        <v>79</v>
      </c>
      <c r="H245" s="530">
        <f t="shared" si="24"/>
        <v>81</v>
      </c>
      <c r="I245" s="530">
        <f t="shared" si="24"/>
        <v>82</v>
      </c>
      <c r="J245" s="530">
        <f t="shared" si="24"/>
        <v>84</v>
      </c>
    </row>
    <row r="246" spans="1:10" ht="18" customHeight="1">
      <c r="A246" s="537" t="s">
        <v>1214</v>
      </c>
      <c r="B246" s="577" t="s">
        <v>1232</v>
      </c>
      <c r="C246" s="577"/>
      <c r="D246" s="538">
        <f>SUM(D247:D286)</f>
        <v>7175</v>
      </c>
      <c r="E246" s="538"/>
      <c r="F246" s="538">
        <f t="shared" ref="F246" si="29">SUM(F247:F286)</f>
        <v>7371</v>
      </c>
      <c r="G246" s="538">
        <f t="shared" ref="G246:J246" si="30">SUM(G247:G286)</f>
        <v>7258</v>
      </c>
      <c r="H246" s="538">
        <f t="shared" si="30"/>
        <v>7407</v>
      </c>
      <c r="I246" s="538">
        <f t="shared" si="30"/>
        <v>7578</v>
      </c>
      <c r="J246" s="538">
        <f t="shared" si="30"/>
        <v>7708</v>
      </c>
    </row>
    <row r="247" spans="1:10" ht="18" customHeight="1">
      <c r="A247" s="534" t="s">
        <v>1214</v>
      </c>
      <c r="B247" s="536" t="s">
        <v>811</v>
      </c>
      <c r="C247" s="535" t="s">
        <v>811</v>
      </c>
      <c r="D247" s="530">
        <f>VLOOKUP(C247,'급수계통별장래인구(출x)'!$C$5:$D$491,2,FALSE)</f>
        <v>285</v>
      </c>
      <c r="E247" s="518">
        <f t="shared" ref="E247:E286" si="31">D247/$D$3</f>
        <v>2.2099019113713024E-3</v>
      </c>
      <c r="F247" s="541">
        <f t="shared" si="25"/>
        <v>293</v>
      </c>
      <c r="G247" s="530">
        <f t="shared" si="25"/>
        <v>288</v>
      </c>
      <c r="H247" s="530">
        <f t="shared" si="24"/>
        <v>294</v>
      </c>
      <c r="I247" s="530">
        <f t="shared" si="24"/>
        <v>301</v>
      </c>
      <c r="J247" s="530">
        <f t="shared" si="24"/>
        <v>306</v>
      </c>
    </row>
    <row r="248" spans="1:10" ht="18" customHeight="1">
      <c r="A248" s="534" t="s">
        <v>1214</v>
      </c>
      <c r="B248" s="536" t="s">
        <v>812</v>
      </c>
      <c r="C248" s="535" t="s">
        <v>812</v>
      </c>
      <c r="D248" s="530">
        <f>VLOOKUP(C248,'급수계통별장래인구(출x)'!$C$5:$D$491,2,FALSE)</f>
        <v>162</v>
      </c>
      <c r="E248" s="518">
        <f t="shared" si="31"/>
        <v>1.2561547706742139E-3</v>
      </c>
      <c r="F248" s="541">
        <f t="shared" si="25"/>
        <v>166</v>
      </c>
      <c r="G248" s="530">
        <f t="shared" si="25"/>
        <v>164</v>
      </c>
      <c r="H248" s="530">
        <f t="shared" si="24"/>
        <v>167</v>
      </c>
      <c r="I248" s="530">
        <f t="shared" si="24"/>
        <v>171</v>
      </c>
      <c r="J248" s="530">
        <f t="shared" si="24"/>
        <v>174</v>
      </c>
    </row>
    <row r="249" spans="1:10" ht="18" customHeight="1">
      <c r="A249" s="534" t="s">
        <v>1214</v>
      </c>
      <c r="B249" s="534" t="s">
        <v>1325</v>
      </c>
      <c r="C249" s="535" t="s">
        <v>813</v>
      </c>
      <c r="D249" s="530">
        <f>VLOOKUP(C249,'급수계통별장래인구(출x)'!$C$5:$D$491,2,FALSE)</f>
        <v>214</v>
      </c>
      <c r="E249" s="518">
        <f t="shared" si="31"/>
        <v>1.659364943977048E-3</v>
      </c>
      <c r="F249" s="541">
        <f t="shared" si="25"/>
        <v>220</v>
      </c>
      <c r="G249" s="530">
        <f t="shared" si="25"/>
        <v>216</v>
      </c>
      <c r="H249" s="530">
        <f t="shared" si="24"/>
        <v>221</v>
      </c>
      <c r="I249" s="530">
        <f t="shared" si="24"/>
        <v>226</v>
      </c>
      <c r="J249" s="530">
        <f t="shared" si="24"/>
        <v>230</v>
      </c>
    </row>
    <row r="250" spans="1:10" ht="18" customHeight="1">
      <c r="A250" s="534" t="s">
        <v>1214</v>
      </c>
      <c r="B250" s="534" t="s">
        <v>1325</v>
      </c>
      <c r="C250" s="535" t="s">
        <v>814</v>
      </c>
      <c r="D250" s="530">
        <f>VLOOKUP(C250,'급수계통별장래인구(출x)'!$C$5:$D$491,2,FALSE)</f>
        <v>217</v>
      </c>
      <c r="E250" s="518">
        <f t="shared" si="31"/>
        <v>1.6826270693599038E-3</v>
      </c>
      <c r="F250" s="541">
        <f t="shared" si="25"/>
        <v>223</v>
      </c>
      <c r="G250" s="530">
        <f t="shared" si="25"/>
        <v>220</v>
      </c>
      <c r="H250" s="530">
        <f t="shared" si="24"/>
        <v>224</v>
      </c>
      <c r="I250" s="530">
        <f t="shared" si="24"/>
        <v>229</v>
      </c>
      <c r="J250" s="530">
        <f t="shared" si="24"/>
        <v>233</v>
      </c>
    </row>
    <row r="251" spans="1:10" ht="18" customHeight="1">
      <c r="A251" s="534" t="s">
        <v>1214</v>
      </c>
      <c r="B251" s="534" t="s">
        <v>1326</v>
      </c>
      <c r="C251" s="535" t="s">
        <v>815</v>
      </c>
      <c r="D251" s="530">
        <f>VLOOKUP(C251,'급수계통별장래인구(출x)'!$C$5:$D$491,2,FALSE)</f>
        <v>292</v>
      </c>
      <c r="E251" s="518">
        <f t="shared" si="31"/>
        <v>2.2641802039312991E-3</v>
      </c>
      <c r="F251" s="541">
        <f t="shared" si="25"/>
        <v>300</v>
      </c>
      <c r="G251" s="530">
        <f t="shared" si="25"/>
        <v>295</v>
      </c>
      <c r="H251" s="530">
        <f t="shared" si="25"/>
        <v>302</v>
      </c>
      <c r="I251" s="530">
        <f t="shared" si="25"/>
        <v>308</v>
      </c>
      <c r="J251" s="530">
        <f t="shared" si="25"/>
        <v>314</v>
      </c>
    </row>
    <row r="252" spans="1:10" ht="18" customHeight="1">
      <c r="A252" s="534" t="s">
        <v>1214</v>
      </c>
      <c r="B252" s="534" t="s">
        <v>1327</v>
      </c>
      <c r="C252" s="535" t="s">
        <v>816</v>
      </c>
      <c r="D252" s="530">
        <f>VLOOKUP(C252,'급수계통별장래인구(출x)'!$C$5:$D$491,2,FALSE)</f>
        <v>152</v>
      </c>
      <c r="E252" s="518">
        <f t="shared" si="31"/>
        <v>1.1786143527313612E-3</v>
      </c>
      <c r="F252" s="541">
        <f t="shared" ref="F252:J315" si="32">ROUND($E252*F$3,0)</f>
        <v>156</v>
      </c>
      <c r="G252" s="530">
        <f t="shared" si="32"/>
        <v>154</v>
      </c>
      <c r="H252" s="530">
        <f t="shared" si="32"/>
        <v>157</v>
      </c>
      <c r="I252" s="530">
        <f t="shared" si="32"/>
        <v>161</v>
      </c>
      <c r="J252" s="530">
        <f t="shared" si="32"/>
        <v>163</v>
      </c>
    </row>
    <row r="253" spans="1:10" ht="18" customHeight="1">
      <c r="A253" s="534" t="s">
        <v>1214</v>
      </c>
      <c r="B253" s="534" t="s">
        <v>1327</v>
      </c>
      <c r="C253" s="535" t="s">
        <v>817</v>
      </c>
      <c r="D253" s="530">
        <f>VLOOKUP(C253,'급수계통별장래인구(출x)'!$C$5:$D$491,2,FALSE)</f>
        <v>404</v>
      </c>
      <c r="E253" s="518">
        <f t="shared" si="31"/>
        <v>3.1326328848912495E-3</v>
      </c>
      <c r="F253" s="541">
        <f t="shared" si="32"/>
        <v>415</v>
      </c>
      <c r="G253" s="530">
        <f t="shared" si="32"/>
        <v>409</v>
      </c>
      <c r="H253" s="530">
        <f t="shared" si="32"/>
        <v>417</v>
      </c>
      <c r="I253" s="530">
        <f t="shared" si="32"/>
        <v>427</v>
      </c>
      <c r="J253" s="530">
        <f t="shared" si="32"/>
        <v>434</v>
      </c>
    </row>
    <row r="254" spans="1:10" ht="18" customHeight="1">
      <c r="A254" s="534" t="s">
        <v>1214</v>
      </c>
      <c r="B254" s="534" t="s">
        <v>1327</v>
      </c>
      <c r="C254" s="535" t="s">
        <v>818</v>
      </c>
      <c r="D254" s="530">
        <f>VLOOKUP(C254,'급수계통별장래인구(출x)'!$C$5:$D$491,2,FALSE)</f>
        <v>373</v>
      </c>
      <c r="E254" s="518">
        <f t="shared" si="31"/>
        <v>2.8922575892684063E-3</v>
      </c>
      <c r="F254" s="541">
        <f t="shared" si="32"/>
        <v>383</v>
      </c>
      <c r="G254" s="530">
        <f t="shared" si="32"/>
        <v>377</v>
      </c>
      <c r="H254" s="530">
        <f t="shared" si="32"/>
        <v>385</v>
      </c>
      <c r="I254" s="530">
        <f t="shared" si="32"/>
        <v>394</v>
      </c>
      <c r="J254" s="530">
        <f t="shared" si="32"/>
        <v>401</v>
      </c>
    </row>
    <row r="255" spans="1:10" ht="18" customHeight="1">
      <c r="A255" s="534" t="s">
        <v>1214</v>
      </c>
      <c r="B255" s="534" t="s">
        <v>1327</v>
      </c>
      <c r="C255" s="535" t="s">
        <v>819</v>
      </c>
      <c r="D255" s="530">
        <f>VLOOKUP(C255,'급수계통별장래인구(출x)'!$C$5:$D$491,2,FALSE)</f>
        <v>194</v>
      </c>
      <c r="E255" s="518">
        <f t="shared" si="31"/>
        <v>1.5042841080913426E-3</v>
      </c>
      <c r="F255" s="541">
        <f t="shared" si="32"/>
        <v>199</v>
      </c>
      <c r="G255" s="530">
        <f t="shared" si="32"/>
        <v>196</v>
      </c>
      <c r="H255" s="530">
        <f t="shared" si="32"/>
        <v>200</v>
      </c>
      <c r="I255" s="530">
        <f t="shared" si="32"/>
        <v>205</v>
      </c>
      <c r="J255" s="530">
        <f t="shared" si="32"/>
        <v>208</v>
      </c>
    </row>
    <row r="256" spans="1:10" ht="18" customHeight="1">
      <c r="A256" s="534" t="s">
        <v>1214</v>
      </c>
      <c r="B256" s="534" t="s">
        <v>1328</v>
      </c>
      <c r="C256" s="535" t="s">
        <v>820</v>
      </c>
      <c r="D256" s="530">
        <f>VLOOKUP(C256,'급수계통별장래인구(출x)'!$C$5:$D$491,2,FALSE)</f>
        <v>123</v>
      </c>
      <c r="E256" s="518">
        <f t="shared" si="31"/>
        <v>9.5374714069708833E-4</v>
      </c>
      <c r="F256" s="541">
        <f t="shared" si="32"/>
        <v>126</v>
      </c>
      <c r="G256" s="530">
        <f t="shared" si="32"/>
        <v>124</v>
      </c>
      <c r="H256" s="530">
        <f t="shared" si="32"/>
        <v>127</v>
      </c>
      <c r="I256" s="530">
        <f t="shared" si="32"/>
        <v>130</v>
      </c>
      <c r="J256" s="530">
        <f t="shared" si="32"/>
        <v>132</v>
      </c>
    </row>
    <row r="257" spans="1:10" ht="18" customHeight="1">
      <c r="A257" s="534" t="s">
        <v>1214</v>
      </c>
      <c r="B257" s="534" t="s">
        <v>1328</v>
      </c>
      <c r="C257" s="535" t="s">
        <v>821</v>
      </c>
      <c r="D257" s="530">
        <f>VLOOKUP(C257,'급수계통별장래인구(출x)'!$C$5:$D$491,2,FALSE)</f>
        <v>318</v>
      </c>
      <c r="E257" s="518">
        <f t="shared" si="31"/>
        <v>2.4657852905827162E-3</v>
      </c>
      <c r="F257" s="541">
        <f t="shared" si="32"/>
        <v>327</v>
      </c>
      <c r="G257" s="530">
        <f t="shared" si="32"/>
        <v>322</v>
      </c>
      <c r="H257" s="530">
        <f t="shared" si="32"/>
        <v>328</v>
      </c>
      <c r="I257" s="530">
        <f t="shared" si="32"/>
        <v>336</v>
      </c>
      <c r="J257" s="530">
        <f t="shared" si="32"/>
        <v>342</v>
      </c>
    </row>
    <row r="258" spans="1:10" ht="18" customHeight="1">
      <c r="A258" s="534" t="s">
        <v>1214</v>
      </c>
      <c r="B258" s="534" t="s">
        <v>1328</v>
      </c>
      <c r="C258" s="535" t="s">
        <v>822</v>
      </c>
      <c r="D258" s="530">
        <f>VLOOKUP(C258,'급수계통별장래인구(출x)'!$C$5:$D$491,2,FALSE)</f>
        <v>148</v>
      </c>
      <c r="E258" s="518">
        <f t="shared" si="31"/>
        <v>1.1475981855542201E-3</v>
      </c>
      <c r="F258" s="541">
        <f t="shared" si="32"/>
        <v>152</v>
      </c>
      <c r="G258" s="530">
        <f t="shared" si="32"/>
        <v>150</v>
      </c>
      <c r="H258" s="530">
        <f t="shared" si="32"/>
        <v>153</v>
      </c>
      <c r="I258" s="530">
        <f t="shared" si="32"/>
        <v>156</v>
      </c>
      <c r="J258" s="530">
        <f t="shared" si="32"/>
        <v>159</v>
      </c>
    </row>
    <row r="259" spans="1:10" ht="18" customHeight="1">
      <c r="A259" s="534" t="s">
        <v>1214</v>
      </c>
      <c r="B259" s="534" t="s">
        <v>1328</v>
      </c>
      <c r="C259" s="535" t="s">
        <v>823</v>
      </c>
      <c r="D259" s="530">
        <f>VLOOKUP(C259,'급수계통별장래인구(출x)'!$C$5:$D$491,2,FALSE)</f>
        <v>197</v>
      </c>
      <c r="E259" s="518">
        <f t="shared" si="31"/>
        <v>1.5275462334741984E-3</v>
      </c>
      <c r="F259" s="541">
        <f t="shared" si="32"/>
        <v>202</v>
      </c>
      <c r="G259" s="530">
        <f t="shared" si="32"/>
        <v>199</v>
      </c>
      <c r="H259" s="530">
        <f t="shared" si="32"/>
        <v>203</v>
      </c>
      <c r="I259" s="530">
        <f t="shared" si="32"/>
        <v>208</v>
      </c>
      <c r="J259" s="530">
        <f t="shared" si="32"/>
        <v>212</v>
      </c>
    </row>
    <row r="260" spans="1:10" ht="18" customHeight="1">
      <c r="A260" s="534" t="s">
        <v>1214</v>
      </c>
      <c r="B260" s="534" t="s">
        <v>1329</v>
      </c>
      <c r="C260" s="535" t="s">
        <v>824</v>
      </c>
      <c r="D260" s="530">
        <f>VLOOKUP(C260,'급수계통별장래인구(출x)'!$C$5:$D$491,2,FALSE)</f>
        <v>160</v>
      </c>
      <c r="E260" s="518">
        <f t="shared" si="31"/>
        <v>1.2406466870856434E-3</v>
      </c>
      <c r="F260" s="541">
        <f t="shared" ref="F260:F315" si="33">ROUND($E260*F$3,0)</f>
        <v>164</v>
      </c>
      <c r="G260" s="530">
        <f t="shared" si="32"/>
        <v>162</v>
      </c>
      <c r="H260" s="530">
        <f t="shared" si="32"/>
        <v>165</v>
      </c>
      <c r="I260" s="530">
        <f t="shared" si="32"/>
        <v>169</v>
      </c>
      <c r="J260" s="530">
        <f t="shared" si="32"/>
        <v>172</v>
      </c>
    </row>
    <row r="261" spans="1:10" ht="18" customHeight="1">
      <c r="A261" s="534" t="s">
        <v>1214</v>
      </c>
      <c r="B261" s="534" t="s">
        <v>1330</v>
      </c>
      <c r="C261" s="535" t="s">
        <v>825</v>
      </c>
      <c r="D261" s="530">
        <f>VLOOKUP(C261,'급수계통별장래인구(출x)'!$C$5:$D$491,2,FALSE)</f>
        <v>72</v>
      </c>
      <c r="E261" s="518">
        <f t="shared" si="31"/>
        <v>5.5829100918853951E-4</v>
      </c>
      <c r="F261" s="541">
        <f t="shared" si="33"/>
        <v>74</v>
      </c>
      <c r="G261" s="530">
        <f t="shared" si="32"/>
        <v>73</v>
      </c>
      <c r="H261" s="530">
        <f t="shared" si="32"/>
        <v>74</v>
      </c>
      <c r="I261" s="530">
        <f t="shared" si="32"/>
        <v>76</v>
      </c>
      <c r="J261" s="530">
        <f t="shared" si="32"/>
        <v>77</v>
      </c>
    </row>
    <row r="262" spans="1:10" ht="18" customHeight="1">
      <c r="A262" s="534" t="s">
        <v>1214</v>
      </c>
      <c r="B262" s="534" t="s">
        <v>1330</v>
      </c>
      <c r="C262" s="535" t="s">
        <v>826</v>
      </c>
      <c r="D262" s="530">
        <f>VLOOKUP(C262,'급수계통별장래인구(출x)'!$C$5:$D$491,2,FALSE)</f>
        <v>501</v>
      </c>
      <c r="E262" s="518">
        <f t="shared" si="31"/>
        <v>3.884774938936921E-3</v>
      </c>
      <c r="F262" s="541">
        <f t="shared" si="33"/>
        <v>515</v>
      </c>
      <c r="G262" s="530">
        <f t="shared" si="32"/>
        <v>507</v>
      </c>
      <c r="H262" s="530">
        <f t="shared" si="32"/>
        <v>517</v>
      </c>
      <c r="I262" s="530">
        <f t="shared" si="32"/>
        <v>529</v>
      </c>
      <c r="J262" s="530">
        <f t="shared" si="32"/>
        <v>538</v>
      </c>
    </row>
    <row r="263" spans="1:10" ht="18" customHeight="1">
      <c r="A263" s="534" t="s">
        <v>1214</v>
      </c>
      <c r="B263" s="534" t="s">
        <v>1331</v>
      </c>
      <c r="C263" s="535" t="s">
        <v>827</v>
      </c>
      <c r="D263" s="530">
        <f>VLOOKUP(C263,'급수계통별장래인구(출x)'!$C$5:$D$491,2,FALSE)</f>
        <v>100</v>
      </c>
      <c r="E263" s="518">
        <f t="shared" si="31"/>
        <v>7.7540417942852709E-4</v>
      </c>
      <c r="F263" s="541">
        <f t="shared" si="33"/>
        <v>103</v>
      </c>
      <c r="G263" s="530">
        <f t="shared" si="32"/>
        <v>101</v>
      </c>
      <c r="H263" s="530">
        <f t="shared" si="32"/>
        <v>103</v>
      </c>
      <c r="I263" s="530">
        <f t="shared" si="32"/>
        <v>106</v>
      </c>
      <c r="J263" s="530">
        <f t="shared" si="32"/>
        <v>107</v>
      </c>
    </row>
    <row r="264" spans="1:10" ht="18" customHeight="1">
      <c r="A264" s="534" t="s">
        <v>1214</v>
      </c>
      <c r="B264" s="534" t="s">
        <v>1331</v>
      </c>
      <c r="C264" s="535" t="s">
        <v>1215</v>
      </c>
      <c r="D264" s="530">
        <f>VLOOKUP(C264,'급수계통별장래인구(출x)'!$C$5:$D$491,2,FALSE)</f>
        <v>117</v>
      </c>
      <c r="E264" s="518">
        <f t="shared" si="31"/>
        <v>9.072228899313767E-4</v>
      </c>
      <c r="F264" s="541">
        <f t="shared" si="33"/>
        <v>120</v>
      </c>
      <c r="G264" s="530">
        <f t="shared" si="32"/>
        <v>118</v>
      </c>
      <c r="H264" s="530">
        <f t="shared" si="32"/>
        <v>121</v>
      </c>
      <c r="I264" s="530">
        <f t="shared" si="32"/>
        <v>124</v>
      </c>
      <c r="J264" s="530">
        <f t="shared" si="32"/>
        <v>126</v>
      </c>
    </row>
    <row r="265" spans="1:10" ht="18" customHeight="1">
      <c r="A265" s="534" t="s">
        <v>1214</v>
      </c>
      <c r="B265" s="534" t="s">
        <v>1332</v>
      </c>
      <c r="C265" s="535" t="s">
        <v>1216</v>
      </c>
      <c r="D265" s="530">
        <f>VLOOKUP(C265,'급수계통별장래인구(출x)'!$C$5:$D$491,2,FALSE)</f>
        <v>172</v>
      </c>
      <c r="E265" s="518">
        <f t="shared" si="31"/>
        <v>1.3336951886170666E-3</v>
      </c>
      <c r="F265" s="541">
        <f t="shared" si="33"/>
        <v>177</v>
      </c>
      <c r="G265" s="530">
        <f t="shared" si="32"/>
        <v>174</v>
      </c>
      <c r="H265" s="530">
        <f t="shared" si="32"/>
        <v>178</v>
      </c>
      <c r="I265" s="530">
        <f t="shared" si="32"/>
        <v>182</v>
      </c>
      <c r="J265" s="530">
        <f t="shared" si="32"/>
        <v>185</v>
      </c>
    </row>
    <row r="266" spans="1:10" ht="18" customHeight="1">
      <c r="A266" s="534" t="s">
        <v>1214</v>
      </c>
      <c r="B266" s="534" t="s">
        <v>1332</v>
      </c>
      <c r="C266" s="535" t="s">
        <v>1217</v>
      </c>
      <c r="D266" s="530">
        <f>VLOOKUP(C266,'급수계통별장래인구(출x)'!$C$5:$D$491,2,FALSE)</f>
        <v>92</v>
      </c>
      <c r="E266" s="518">
        <f t="shared" si="31"/>
        <v>7.1337184507424493E-4</v>
      </c>
      <c r="F266" s="541">
        <f t="shared" si="33"/>
        <v>95</v>
      </c>
      <c r="G266" s="530">
        <f t="shared" si="32"/>
        <v>93</v>
      </c>
      <c r="H266" s="530">
        <f t="shared" si="32"/>
        <v>95</v>
      </c>
      <c r="I266" s="530">
        <f t="shared" si="32"/>
        <v>97</v>
      </c>
      <c r="J266" s="530">
        <f t="shared" si="32"/>
        <v>99</v>
      </c>
    </row>
    <row r="267" spans="1:10" ht="18" customHeight="1">
      <c r="A267" s="534" t="s">
        <v>1214</v>
      </c>
      <c r="B267" s="536" t="s">
        <v>831</v>
      </c>
      <c r="C267" s="535" t="s">
        <v>1218</v>
      </c>
      <c r="D267" s="530">
        <f>VLOOKUP(C267,'급수계통별장래인구(출x)'!$C$5:$D$491,2,FALSE)</f>
        <v>176</v>
      </c>
      <c r="E267" s="518">
        <f t="shared" si="31"/>
        <v>1.3647113557942077E-3</v>
      </c>
      <c r="F267" s="541">
        <f t="shared" si="33"/>
        <v>181</v>
      </c>
      <c r="G267" s="530">
        <f t="shared" si="32"/>
        <v>178</v>
      </c>
      <c r="H267" s="530">
        <f t="shared" si="32"/>
        <v>182</v>
      </c>
      <c r="I267" s="530">
        <f t="shared" si="32"/>
        <v>186</v>
      </c>
      <c r="J267" s="530">
        <f t="shared" si="32"/>
        <v>189</v>
      </c>
    </row>
    <row r="268" spans="1:10" ht="18" customHeight="1">
      <c r="A268" s="534" t="s">
        <v>1214</v>
      </c>
      <c r="B268" s="534" t="s">
        <v>1333</v>
      </c>
      <c r="C268" s="535" t="s">
        <v>1219</v>
      </c>
      <c r="D268" s="530">
        <f>VLOOKUP(C268,'급수계통별장래인구(출x)'!$C$5:$D$491,2,FALSE)</f>
        <v>226</v>
      </c>
      <c r="E268" s="518">
        <f t="shared" si="31"/>
        <v>1.7524134455084712E-3</v>
      </c>
      <c r="F268" s="541">
        <f t="shared" si="33"/>
        <v>232</v>
      </c>
      <c r="G268" s="530">
        <f t="shared" si="32"/>
        <v>229</v>
      </c>
      <c r="H268" s="530">
        <f t="shared" si="32"/>
        <v>233</v>
      </c>
      <c r="I268" s="530">
        <f t="shared" si="32"/>
        <v>239</v>
      </c>
      <c r="J268" s="530">
        <f t="shared" si="32"/>
        <v>243</v>
      </c>
    </row>
    <row r="269" spans="1:10" ht="18" customHeight="1">
      <c r="A269" s="534" t="s">
        <v>1214</v>
      </c>
      <c r="B269" s="534" t="s">
        <v>1333</v>
      </c>
      <c r="C269" s="535" t="s">
        <v>1220</v>
      </c>
      <c r="D269" s="530">
        <f>VLOOKUP(C269,'급수계통별장래인구(출x)'!$C$5:$D$491,2,FALSE)</f>
        <v>210</v>
      </c>
      <c r="E269" s="518">
        <f t="shared" si="31"/>
        <v>1.6283487767999069E-3</v>
      </c>
      <c r="F269" s="541">
        <f t="shared" si="33"/>
        <v>216</v>
      </c>
      <c r="G269" s="530">
        <f t="shared" si="32"/>
        <v>212</v>
      </c>
      <c r="H269" s="530">
        <f t="shared" si="32"/>
        <v>217</v>
      </c>
      <c r="I269" s="530">
        <f t="shared" si="32"/>
        <v>222</v>
      </c>
      <c r="J269" s="530">
        <f t="shared" si="32"/>
        <v>226</v>
      </c>
    </row>
    <row r="270" spans="1:10" ht="18" customHeight="1">
      <c r="A270" s="534" t="s">
        <v>1214</v>
      </c>
      <c r="B270" s="534" t="s">
        <v>1334</v>
      </c>
      <c r="C270" s="535" t="s">
        <v>1221</v>
      </c>
      <c r="D270" s="530">
        <f>VLOOKUP(C270,'급수계통별장래인구(출x)'!$C$5:$D$491,2,FALSE)</f>
        <v>164</v>
      </c>
      <c r="E270" s="518">
        <f t="shared" si="31"/>
        <v>1.2716628542627844E-3</v>
      </c>
      <c r="F270" s="541">
        <f t="shared" si="33"/>
        <v>168</v>
      </c>
      <c r="G270" s="530">
        <f t="shared" si="32"/>
        <v>166</v>
      </c>
      <c r="H270" s="530">
        <f t="shared" si="32"/>
        <v>169</v>
      </c>
      <c r="I270" s="530">
        <f t="shared" si="32"/>
        <v>173</v>
      </c>
      <c r="J270" s="530">
        <f t="shared" si="32"/>
        <v>176</v>
      </c>
    </row>
    <row r="271" spans="1:10" ht="18" customHeight="1">
      <c r="A271" s="534" t="s">
        <v>1214</v>
      </c>
      <c r="B271" s="534" t="s">
        <v>1334</v>
      </c>
      <c r="C271" s="535" t="s">
        <v>1222</v>
      </c>
      <c r="D271" s="530">
        <f>VLOOKUP(C271,'급수계통별장래인구(출x)'!$C$5:$D$491,2,FALSE)</f>
        <v>91</v>
      </c>
      <c r="E271" s="518">
        <f t="shared" si="31"/>
        <v>7.0561780327995966E-4</v>
      </c>
      <c r="F271" s="541">
        <f t="shared" si="33"/>
        <v>93</v>
      </c>
      <c r="G271" s="530">
        <f t="shared" si="32"/>
        <v>92</v>
      </c>
      <c r="H271" s="530">
        <f t="shared" si="32"/>
        <v>94</v>
      </c>
      <c r="I271" s="530">
        <f t="shared" si="32"/>
        <v>96</v>
      </c>
      <c r="J271" s="530">
        <f t="shared" si="32"/>
        <v>98</v>
      </c>
    </row>
    <row r="272" spans="1:10" ht="18" customHeight="1">
      <c r="A272" s="534" t="s">
        <v>1214</v>
      </c>
      <c r="B272" s="534" t="s">
        <v>1335</v>
      </c>
      <c r="C272" s="535" t="s">
        <v>1223</v>
      </c>
      <c r="D272" s="530">
        <f>VLOOKUP(C272,'급수계통별장래인구(출x)'!$C$5:$D$491,2,FALSE)</f>
        <v>204</v>
      </c>
      <c r="E272" s="518">
        <f t="shared" si="31"/>
        <v>1.5818245260341953E-3</v>
      </c>
      <c r="F272" s="541">
        <f t="shared" si="33"/>
        <v>210</v>
      </c>
      <c r="G272" s="530">
        <f t="shared" si="32"/>
        <v>206</v>
      </c>
      <c r="H272" s="530">
        <f t="shared" si="32"/>
        <v>211</v>
      </c>
      <c r="I272" s="530">
        <f t="shared" si="32"/>
        <v>215</v>
      </c>
      <c r="J272" s="530">
        <f t="shared" si="32"/>
        <v>219</v>
      </c>
    </row>
    <row r="273" spans="1:10" ht="18" customHeight="1">
      <c r="A273" s="534" t="s">
        <v>1214</v>
      </c>
      <c r="B273" s="534" t="s">
        <v>1335</v>
      </c>
      <c r="C273" s="535" t="s">
        <v>837</v>
      </c>
      <c r="D273" s="530">
        <f>VLOOKUP(C273,'급수계통별장래인구(출x)'!$C$5:$D$491,2,FALSE)</f>
        <v>103</v>
      </c>
      <c r="E273" s="518">
        <f t="shared" si="31"/>
        <v>7.9866630481138291E-4</v>
      </c>
      <c r="F273" s="541">
        <f t="shared" si="33"/>
        <v>106</v>
      </c>
      <c r="G273" s="530">
        <f t="shared" si="32"/>
        <v>104</v>
      </c>
      <c r="H273" s="530">
        <f t="shared" si="32"/>
        <v>106</v>
      </c>
      <c r="I273" s="530">
        <f t="shared" si="32"/>
        <v>109</v>
      </c>
      <c r="J273" s="530">
        <f t="shared" si="32"/>
        <v>111</v>
      </c>
    </row>
    <row r="274" spans="1:10" ht="18" customHeight="1">
      <c r="A274" s="534" t="s">
        <v>1214</v>
      </c>
      <c r="B274" s="534" t="s">
        <v>1335</v>
      </c>
      <c r="C274" s="535" t="s">
        <v>838</v>
      </c>
      <c r="D274" s="530">
        <f>VLOOKUP(C274,'급수계통별장래인구(출x)'!$C$5:$D$491,2,FALSE)</f>
        <v>146</v>
      </c>
      <c r="E274" s="518">
        <f t="shared" si="31"/>
        <v>1.1320901019656496E-3</v>
      </c>
      <c r="F274" s="541">
        <f t="shared" si="33"/>
        <v>150</v>
      </c>
      <c r="G274" s="530">
        <f t="shared" si="32"/>
        <v>148</v>
      </c>
      <c r="H274" s="530">
        <f t="shared" si="32"/>
        <v>151</v>
      </c>
      <c r="I274" s="530">
        <f t="shared" si="32"/>
        <v>154</v>
      </c>
      <c r="J274" s="530">
        <f t="shared" si="32"/>
        <v>157</v>
      </c>
    </row>
    <row r="275" spans="1:10" ht="18" customHeight="1">
      <c r="A275" s="534" t="s">
        <v>1214</v>
      </c>
      <c r="B275" s="534" t="s">
        <v>1336</v>
      </c>
      <c r="C275" s="535" t="s">
        <v>839</v>
      </c>
      <c r="D275" s="530">
        <f>VLOOKUP(C275,'급수계통별장래인구(출x)'!$C$5:$D$491,2,FALSE)</f>
        <v>59</v>
      </c>
      <c r="E275" s="518">
        <f t="shared" si="31"/>
        <v>4.5748846586283099E-4</v>
      </c>
      <c r="F275" s="541">
        <f t="shared" si="33"/>
        <v>61</v>
      </c>
      <c r="G275" s="530">
        <f t="shared" si="32"/>
        <v>60</v>
      </c>
      <c r="H275" s="530">
        <f t="shared" si="32"/>
        <v>61</v>
      </c>
      <c r="I275" s="530">
        <f t="shared" si="32"/>
        <v>62</v>
      </c>
      <c r="J275" s="530">
        <f t="shared" si="32"/>
        <v>63</v>
      </c>
    </row>
    <row r="276" spans="1:10" ht="18" customHeight="1">
      <c r="A276" s="534" t="s">
        <v>1214</v>
      </c>
      <c r="B276" s="534" t="s">
        <v>1336</v>
      </c>
      <c r="C276" s="535" t="s">
        <v>840</v>
      </c>
      <c r="D276" s="530">
        <f>VLOOKUP(C276,'급수계통별장래인구(출x)'!$C$5:$D$491,2,FALSE)</f>
        <v>83</v>
      </c>
      <c r="E276" s="518">
        <f t="shared" si="31"/>
        <v>6.4358546892567749E-4</v>
      </c>
      <c r="F276" s="541">
        <f t="shared" si="33"/>
        <v>85</v>
      </c>
      <c r="G276" s="530">
        <f t="shared" si="32"/>
        <v>84</v>
      </c>
      <c r="H276" s="530">
        <f t="shared" si="32"/>
        <v>86</v>
      </c>
      <c r="I276" s="530">
        <f t="shared" si="32"/>
        <v>88</v>
      </c>
      <c r="J276" s="530">
        <f t="shared" si="32"/>
        <v>89</v>
      </c>
    </row>
    <row r="277" spans="1:10" ht="18" customHeight="1">
      <c r="A277" s="534" t="s">
        <v>1214</v>
      </c>
      <c r="B277" s="534" t="s">
        <v>1336</v>
      </c>
      <c r="C277" s="535" t="s">
        <v>841</v>
      </c>
      <c r="D277" s="530">
        <f>VLOOKUP(C277,'급수계통별장래인구(출x)'!$C$5:$D$491,2,FALSE)</f>
        <v>194</v>
      </c>
      <c r="E277" s="518">
        <f t="shared" si="31"/>
        <v>1.5042841080913426E-3</v>
      </c>
      <c r="F277" s="541">
        <f t="shared" si="33"/>
        <v>199</v>
      </c>
      <c r="G277" s="530">
        <f t="shared" si="32"/>
        <v>196</v>
      </c>
      <c r="H277" s="530">
        <f t="shared" si="32"/>
        <v>200</v>
      </c>
      <c r="I277" s="530">
        <f t="shared" si="32"/>
        <v>205</v>
      </c>
      <c r="J277" s="530">
        <f t="shared" si="32"/>
        <v>208</v>
      </c>
    </row>
    <row r="278" spans="1:10" ht="18" customHeight="1">
      <c r="A278" s="534" t="s">
        <v>1214</v>
      </c>
      <c r="B278" s="534" t="s">
        <v>1336</v>
      </c>
      <c r="C278" s="535" t="s">
        <v>842</v>
      </c>
      <c r="D278" s="530">
        <f>VLOOKUP(C278,'급수계통별장래인구(출x)'!$C$5:$D$491,2,FALSE)</f>
        <v>159</v>
      </c>
      <c r="E278" s="518">
        <f t="shared" si="31"/>
        <v>1.2328926452913581E-3</v>
      </c>
      <c r="F278" s="541">
        <f t="shared" si="33"/>
        <v>163</v>
      </c>
      <c r="G278" s="530">
        <f t="shared" si="32"/>
        <v>161</v>
      </c>
      <c r="H278" s="530">
        <f t="shared" si="32"/>
        <v>164</v>
      </c>
      <c r="I278" s="530">
        <f t="shared" si="32"/>
        <v>168</v>
      </c>
      <c r="J278" s="530">
        <f t="shared" si="32"/>
        <v>171</v>
      </c>
    </row>
    <row r="279" spans="1:10" ht="18" customHeight="1">
      <c r="A279" s="534" t="s">
        <v>1214</v>
      </c>
      <c r="B279" s="534" t="s">
        <v>1337</v>
      </c>
      <c r="C279" s="535" t="s">
        <v>843</v>
      </c>
      <c r="D279" s="530">
        <f>VLOOKUP(C279,'급수계통별장래인구(출x)'!$C$5:$D$491,2,FALSE)</f>
        <v>109</v>
      </c>
      <c r="E279" s="518">
        <f t="shared" si="31"/>
        <v>8.4519055557709453E-4</v>
      </c>
      <c r="F279" s="541">
        <f t="shared" si="33"/>
        <v>112</v>
      </c>
      <c r="G279" s="530">
        <f t="shared" si="32"/>
        <v>110</v>
      </c>
      <c r="H279" s="530">
        <f t="shared" si="32"/>
        <v>113</v>
      </c>
      <c r="I279" s="530">
        <f t="shared" si="32"/>
        <v>115</v>
      </c>
      <c r="J279" s="530">
        <f t="shared" si="32"/>
        <v>117</v>
      </c>
    </row>
    <row r="280" spans="1:10" ht="18" customHeight="1">
      <c r="A280" s="534" t="s">
        <v>1214</v>
      </c>
      <c r="B280" s="534" t="s">
        <v>1337</v>
      </c>
      <c r="C280" s="535" t="s">
        <v>844</v>
      </c>
      <c r="D280" s="530">
        <f>VLOOKUP(C280,'급수계통별장래인구(출x)'!$C$5:$D$491,2,FALSE)</f>
        <v>95</v>
      </c>
      <c r="E280" s="518">
        <f t="shared" si="31"/>
        <v>7.3663397045710074E-4</v>
      </c>
      <c r="F280" s="541">
        <f t="shared" si="33"/>
        <v>98</v>
      </c>
      <c r="G280" s="530">
        <f t="shared" si="32"/>
        <v>96</v>
      </c>
      <c r="H280" s="530">
        <f t="shared" si="32"/>
        <v>98</v>
      </c>
      <c r="I280" s="530">
        <f t="shared" si="32"/>
        <v>100</v>
      </c>
      <c r="J280" s="530">
        <f t="shared" si="32"/>
        <v>102</v>
      </c>
    </row>
    <row r="281" spans="1:10" ht="18" customHeight="1">
      <c r="A281" s="534" t="s">
        <v>1214</v>
      </c>
      <c r="B281" s="534" t="s">
        <v>1338</v>
      </c>
      <c r="C281" s="535" t="s">
        <v>845</v>
      </c>
      <c r="D281" s="530">
        <f>VLOOKUP(C281,'급수계통별장래인구(출x)'!$C$5:$D$491,2,FALSE)</f>
        <v>156</v>
      </c>
      <c r="E281" s="518">
        <f t="shared" si="31"/>
        <v>1.2096305199085023E-3</v>
      </c>
      <c r="F281" s="541">
        <f t="shared" si="33"/>
        <v>160</v>
      </c>
      <c r="G281" s="530">
        <f t="shared" si="32"/>
        <v>158</v>
      </c>
      <c r="H281" s="530">
        <f t="shared" si="32"/>
        <v>161</v>
      </c>
      <c r="I281" s="530">
        <f t="shared" si="32"/>
        <v>165</v>
      </c>
      <c r="J281" s="530">
        <f t="shared" si="32"/>
        <v>168</v>
      </c>
    </row>
    <row r="282" spans="1:10" ht="18" customHeight="1">
      <c r="A282" s="534" t="s">
        <v>1214</v>
      </c>
      <c r="B282" s="534" t="s">
        <v>1339</v>
      </c>
      <c r="C282" s="535" t="s">
        <v>846</v>
      </c>
      <c r="D282" s="530">
        <f>VLOOKUP(C282,'급수계통별장래인구(출x)'!$C$5:$D$491,2,FALSE)</f>
        <v>132</v>
      </c>
      <c r="E282" s="518">
        <f t="shared" si="31"/>
        <v>1.0235335168456558E-3</v>
      </c>
      <c r="F282" s="541">
        <f t="shared" si="33"/>
        <v>136</v>
      </c>
      <c r="G282" s="530">
        <f t="shared" si="32"/>
        <v>134</v>
      </c>
      <c r="H282" s="530">
        <f t="shared" si="32"/>
        <v>136</v>
      </c>
      <c r="I282" s="530">
        <f t="shared" si="32"/>
        <v>139</v>
      </c>
      <c r="J282" s="530">
        <f t="shared" si="32"/>
        <v>142</v>
      </c>
    </row>
    <row r="283" spans="1:10" ht="18" customHeight="1">
      <c r="A283" s="534" t="s">
        <v>1214</v>
      </c>
      <c r="B283" s="534" t="s">
        <v>1339</v>
      </c>
      <c r="C283" s="535" t="s">
        <v>847</v>
      </c>
      <c r="D283" s="530">
        <f>VLOOKUP(C283,'급수계통별장래인구(출x)'!$C$5:$D$491,2,FALSE)</f>
        <v>68</v>
      </c>
      <c r="E283" s="518">
        <f t="shared" si="31"/>
        <v>5.2727484201139842E-4</v>
      </c>
      <c r="F283" s="541">
        <f t="shared" si="33"/>
        <v>70</v>
      </c>
      <c r="G283" s="530">
        <f t="shared" si="32"/>
        <v>69</v>
      </c>
      <c r="H283" s="530">
        <f t="shared" si="32"/>
        <v>70</v>
      </c>
      <c r="I283" s="530">
        <f t="shared" si="32"/>
        <v>72</v>
      </c>
      <c r="J283" s="530">
        <f t="shared" si="32"/>
        <v>73</v>
      </c>
    </row>
    <row r="284" spans="1:10" ht="18" customHeight="1">
      <c r="A284" s="534" t="s">
        <v>1214</v>
      </c>
      <c r="B284" s="534" t="s">
        <v>1340</v>
      </c>
      <c r="C284" s="535" t="s">
        <v>848</v>
      </c>
      <c r="D284" s="530">
        <f>VLOOKUP(C284,'급수계통별장래인구(출x)'!$C$5:$D$491,2,FALSE)</f>
        <v>148</v>
      </c>
      <c r="E284" s="518">
        <f t="shared" si="31"/>
        <v>1.1475981855542201E-3</v>
      </c>
      <c r="F284" s="541">
        <f t="shared" si="33"/>
        <v>152</v>
      </c>
      <c r="G284" s="530">
        <f t="shared" si="32"/>
        <v>150</v>
      </c>
      <c r="H284" s="530">
        <f t="shared" si="32"/>
        <v>153</v>
      </c>
      <c r="I284" s="530">
        <f t="shared" si="32"/>
        <v>156</v>
      </c>
      <c r="J284" s="530">
        <f t="shared" si="32"/>
        <v>159</v>
      </c>
    </row>
    <row r="285" spans="1:10" ht="18" customHeight="1">
      <c r="A285" s="534" t="s">
        <v>1214</v>
      </c>
      <c r="B285" s="534" t="s">
        <v>1341</v>
      </c>
      <c r="C285" s="535" t="s">
        <v>849</v>
      </c>
      <c r="D285" s="530">
        <f>VLOOKUP(C285,'급수계통별장래인구(출x)'!$C$5:$D$491,2,FALSE)</f>
        <v>151</v>
      </c>
      <c r="E285" s="518">
        <f t="shared" si="31"/>
        <v>1.1708603109370759E-3</v>
      </c>
      <c r="F285" s="541">
        <f t="shared" si="33"/>
        <v>155</v>
      </c>
      <c r="G285" s="530">
        <f t="shared" si="32"/>
        <v>153</v>
      </c>
      <c r="H285" s="530">
        <f t="shared" si="32"/>
        <v>156</v>
      </c>
      <c r="I285" s="530">
        <f t="shared" si="32"/>
        <v>159</v>
      </c>
      <c r="J285" s="530">
        <f t="shared" si="32"/>
        <v>162</v>
      </c>
    </row>
    <row r="286" spans="1:10" ht="18" customHeight="1">
      <c r="A286" s="534" t="s">
        <v>1214</v>
      </c>
      <c r="B286" s="534" t="s">
        <v>1341</v>
      </c>
      <c r="C286" s="535" t="s">
        <v>850</v>
      </c>
      <c r="D286" s="530">
        <f>VLOOKUP(C286,'급수계통별장래인구(출x)'!$C$5:$D$491,2,FALSE)</f>
        <v>208</v>
      </c>
      <c r="E286" s="518">
        <f t="shared" si="31"/>
        <v>1.6128406932113364E-3</v>
      </c>
      <c r="F286" s="541">
        <f t="shared" si="33"/>
        <v>214</v>
      </c>
      <c r="G286" s="530">
        <f t="shared" si="32"/>
        <v>210</v>
      </c>
      <c r="H286" s="530">
        <f t="shared" si="32"/>
        <v>215</v>
      </c>
      <c r="I286" s="530">
        <f t="shared" si="32"/>
        <v>220</v>
      </c>
      <c r="J286" s="530">
        <f t="shared" si="32"/>
        <v>223</v>
      </c>
    </row>
    <row r="287" spans="1:10" ht="18" customHeight="1">
      <c r="A287" s="537" t="s">
        <v>1224</v>
      </c>
      <c r="B287" s="577" t="s">
        <v>1232</v>
      </c>
      <c r="C287" s="577"/>
      <c r="D287" s="538">
        <f>SUM(D288:D310)</f>
        <v>2871</v>
      </c>
      <c r="E287" s="538"/>
      <c r="F287" s="538">
        <f t="shared" ref="F287" si="34">SUM(F288:F310)</f>
        <v>2951</v>
      </c>
      <c r="G287" s="538">
        <f t="shared" ref="G287:J287" si="35">SUM(G288:G310)</f>
        <v>2906</v>
      </c>
      <c r="H287" s="538">
        <f t="shared" si="35"/>
        <v>2964</v>
      </c>
      <c r="I287" s="538">
        <f t="shared" si="35"/>
        <v>3030</v>
      </c>
      <c r="J287" s="538">
        <f t="shared" si="35"/>
        <v>3084</v>
      </c>
    </row>
    <row r="288" spans="1:10" ht="18" customHeight="1">
      <c r="A288" s="534" t="s">
        <v>1224</v>
      </c>
      <c r="B288" s="534" t="s">
        <v>1342</v>
      </c>
      <c r="C288" s="535" t="s">
        <v>891</v>
      </c>
      <c r="D288" s="530">
        <f>VLOOKUP(C288,'급수계통별장래인구(출x)'!$C$5:$D$491,2,FALSE)</f>
        <v>238</v>
      </c>
      <c r="E288" s="518">
        <f t="shared" ref="E288:E310" si="36">D288/$D$3</f>
        <v>1.8454619470398945E-3</v>
      </c>
      <c r="F288" s="541">
        <f t="shared" si="33"/>
        <v>244</v>
      </c>
      <c r="G288" s="530">
        <f t="shared" si="32"/>
        <v>241</v>
      </c>
      <c r="H288" s="530">
        <f t="shared" si="32"/>
        <v>246</v>
      </c>
      <c r="I288" s="530">
        <f t="shared" si="32"/>
        <v>251</v>
      </c>
      <c r="J288" s="530">
        <f t="shared" si="32"/>
        <v>256</v>
      </c>
    </row>
    <row r="289" spans="1:10" ht="18" customHeight="1">
      <c r="A289" s="534" t="s">
        <v>1224</v>
      </c>
      <c r="B289" s="534" t="s">
        <v>1342</v>
      </c>
      <c r="C289" s="535" t="s">
        <v>892</v>
      </c>
      <c r="D289" s="530">
        <f>VLOOKUP(C289,'급수계통별장래인구(출x)'!$C$5:$D$491,2,FALSE)</f>
        <v>60</v>
      </c>
      <c r="E289" s="518">
        <f t="shared" si="36"/>
        <v>4.6524250765711626E-4</v>
      </c>
      <c r="F289" s="541">
        <f t="shared" si="33"/>
        <v>62</v>
      </c>
      <c r="G289" s="530">
        <f t="shared" si="32"/>
        <v>61</v>
      </c>
      <c r="H289" s="530">
        <f t="shared" si="32"/>
        <v>62</v>
      </c>
      <c r="I289" s="530">
        <f t="shared" si="32"/>
        <v>63</v>
      </c>
      <c r="J289" s="530">
        <f t="shared" si="32"/>
        <v>64</v>
      </c>
    </row>
    <row r="290" spans="1:10" ht="18" customHeight="1">
      <c r="A290" s="534" t="s">
        <v>1224</v>
      </c>
      <c r="B290" s="534" t="s">
        <v>1342</v>
      </c>
      <c r="C290" s="535" t="s">
        <v>893</v>
      </c>
      <c r="D290" s="530">
        <f>VLOOKUP(C290,'급수계통별장래인구(출x)'!$C$5:$D$491,2,FALSE)</f>
        <v>120</v>
      </c>
      <c r="E290" s="518">
        <f t="shared" si="36"/>
        <v>9.3048501531423251E-4</v>
      </c>
      <c r="F290" s="541">
        <f t="shared" si="33"/>
        <v>123</v>
      </c>
      <c r="G290" s="530">
        <f t="shared" si="32"/>
        <v>121</v>
      </c>
      <c r="H290" s="530">
        <f t="shared" si="32"/>
        <v>124</v>
      </c>
      <c r="I290" s="530">
        <f t="shared" si="32"/>
        <v>127</v>
      </c>
      <c r="J290" s="530">
        <f t="shared" si="32"/>
        <v>129</v>
      </c>
    </row>
    <row r="291" spans="1:10" ht="18" customHeight="1">
      <c r="A291" s="534" t="s">
        <v>1224</v>
      </c>
      <c r="B291" s="534" t="s">
        <v>1343</v>
      </c>
      <c r="C291" s="535" t="s">
        <v>894</v>
      </c>
      <c r="D291" s="530">
        <f>VLOOKUP(C291,'급수계통별장래인구(출x)'!$C$5:$D$491,2,FALSE)</f>
        <v>97</v>
      </c>
      <c r="E291" s="518">
        <f t="shared" si="36"/>
        <v>7.5214205404567128E-4</v>
      </c>
      <c r="F291" s="541">
        <f t="shared" si="33"/>
        <v>100</v>
      </c>
      <c r="G291" s="530">
        <f t="shared" si="32"/>
        <v>98</v>
      </c>
      <c r="H291" s="530">
        <f t="shared" si="32"/>
        <v>100</v>
      </c>
      <c r="I291" s="530">
        <f t="shared" si="32"/>
        <v>102</v>
      </c>
      <c r="J291" s="530">
        <f t="shared" si="32"/>
        <v>104</v>
      </c>
    </row>
    <row r="292" spans="1:10" ht="18" customHeight="1">
      <c r="A292" s="534" t="s">
        <v>1224</v>
      </c>
      <c r="B292" s="534" t="s">
        <v>1344</v>
      </c>
      <c r="C292" s="535" t="s">
        <v>895</v>
      </c>
      <c r="D292" s="530">
        <f>VLOOKUP(C292,'급수계통별장래인구(출x)'!$C$5:$D$491,2,FALSE)</f>
        <v>74</v>
      </c>
      <c r="E292" s="518">
        <f t="shared" si="36"/>
        <v>5.7379909277711005E-4</v>
      </c>
      <c r="F292" s="541">
        <f t="shared" si="33"/>
        <v>76</v>
      </c>
      <c r="G292" s="530">
        <f t="shared" si="32"/>
        <v>75</v>
      </c>
      <c r="H292" s="530">
        <f t="shared" si="32"/>
        <v>76</v>
      </c>
      <c r="I292" s="530">
        <f t="shared" si="32"/>
        <v>78</v>
      </c>
      <c r="J292" s="530">
        <f t="shared" si="32"/>
        <v>80</v>
      </c>
    </row>
    <row r="293" spans="1:10" ht="18" customHeight="1">
      <c r="A293" s="534" t="s">
        <v>1224</v>
      </c>
      <c r="B293" s="534" t="s">
        <v>1344</v>
      </c>
      <c r="C293" s="535" t="s">
        <v>896</v>
      </c>
      <c r="D293" s="530">
        <f>VLOOKUP(C293,'급수계통별장래인구(출x)'!$C$5:$D$491,2,FALSE)</f>
        <v>61</v>
      </c>
      <c r="E293" s="518">
        <f t="shared" si="36"/>
        <v>4.7299654945140153E-4</v>
      </c>
      <c r="F293" s="541">
        <f t="shared" si="33"/>
        <v>63</v>
      </c>
      <c r="G293" s="530">
        <f t="shared" si="32"/>
        <v>62</v>
      </c>
      <c r="H293" s="530">
        <f t="shared" si="32"/>
        <v>63</v>
      </c>
      <c r="I293" s="530">
        <f t="shared" si="32"/>
        <v>64</v>
      </c>
      <c r="J293" s="530">
        <f t="shared" si="32"/>
        <v>66</v>
      </c>
    </row>
    <row r="294" spans="1:10" ht="18" customHeight="1">
      <c r="A294" s="534" t="s">
        <v>1224</v>
      </c>
      <c r="B294" s="534" t="s">
        <v>1345</v>
      </c>
      <c r="C294" s="535" t="s">
        <v>897</v>
      </c>
      <c r="D294" s="530">
        <f>VLOOKUP(C294,'급수계통별장래인구(출x)'!$C$5:$D$491,2,FALSE)</f>
        <v>268</v>
      </c>
      <c r="E294" s="518">
        <f t="shared" si="36"/>
        <v>2.0780832008684526E-3</v>
      </c>
      <c r="F294" s="541">
        <f t="shared" si="33"/>
        <v>275</v>
      </c>
      <c r="G294" s="530">
        <f t="shared" si="32"/>
        <v>271</v>
      </c>
      <c r="H294" s="530">
        <f t="shared" si="32"/>
        <v>277</v>
      </c>
      <c r="I294" s="530">
        <f t="shared" si="32"/>
        <v>283</v>
      </c>
      <c r="J294" s="530">
        <f t="shared" si="32"/>
        <v>288</v>
      </c>
    </row>
    <row r="295" spans="1:10" ht="18" customHeight="1">
      <c r="A295" s="534" t="s">
        <v>1224</v>
      </c>
      <c r="B295" s="534" t="s">
        <v>1346</v>
      </c>
      <c r="C295" s="535" t="s">
        <v>898</v>
      </c>
      <c r="D295" s="530">
        <f>VLOOKUP(C295,'급수계통별장래인구(출x)'!$C$5:$D$491,2,FALSE)</f>
        <v>113</v>
      </c>
      <c r="E295" s="518">
        <f t="shared" si="36"/>
        <v>8.7620672275423562E-4</v>
      </c>
      <c r="F295" s="541">
        <f t="shared" si="33"/>
        <v>116</v>
      </c>
      <c r="G295" s="530">
        <f t="shared" si="32"/>
        <v>114</v>
      </c>
      <c r="H295" s="530">
        <f t="shared" si="32"/>
        <v>117</v>
      </c>
      <c r="I295" s="530">
        <f t="shared" si="32"/>
        <v>119</v>
      </c>
      <c r="J295" s="530">
        <f t="shared" si="32"/>
        <v>121</v>
      </c>
    </row>
    <row r="296" spans="1:10" ht="18" customHeight="1">
      <c r="A296" s="534" t="s">
        <v>1224</v>
      </c>
      <c r="B296" s="534" t="s">
        <v>1347</v>
      </c>
      <c r="C296" s="535" t="s">
        <v>1348</v>
      </c>
      <c r="D296" s="530">
        <f>VLOOKUP(C296,'급수계통별장래인구(출x)'!$C$5:$D$491,2,FALSE)</f>
        <v>203</v>
      </c>
      <c r="E296" s="518">
        <f t="shared" si="36"/>
        <v>1.57407048423991E-3</v>
      </c>
      <c r="F296" s="541">
        <f t="shared" si="33"/>
        <v>209</v>
      </c>
      <c r="G296" s="530">
        <f t="shared" si="32"/>
        <v>205</v>
      </c>
      <c r="H296" s="530">
        <f t="shared" si="32"/>
        <v>210</v>
      </c>
      <c r="I296" s="530">
        <f t="shared" si="32"/>
        <v>214</v>
      </c>
      <c r="J296" s="530">
        <f t="shared" si="32"/>
        <v>218</v>
      </c>
    </row>
    <row r="297" spans="1:10" ht="18" customHeight="1">
      <c r="A297" s="534" t="s">
        <v>1224</v>
      </c>
      <c r="B297" s="534" t="s">
        <v>1349</v>
      </c>
      <c r="C297" s="535" t="s">
        <v>900</v>
      </c>
      <c r="D297" s="530">
        <f>VLOOKUP(C297,'급수계통별장래인구(출x)'!$C$5:$D$491,2,FALSE)</f>
        <v>131</v>
      </c>
      <c r="E297" s="518">
        <f t="shared" si="36"/>
        <v>1.0157794750513705E-3</v>
      </c>
      <c r="F297" s="541">
        <f t="shared" si="33"/>
        <v>135</v>
      </c>
      <c r="G297" s="530">
        <f t="shared" si="32"/>
        <v>133</v>
      </c>
      <c r="H297" s="530">
        <f t="shared" si="32"/>
        <v>135</v>
      </c>
      <c r="I297" s="530">
        <f t="shared" si="32"/>
        <v>138</v>
      </c>
      <c r="J297" s="530">
        <f t="shared" si="32"/>
        <v>141</v>
      </c>
    </row>
    <row r="298" spans="1:10" ht="18" customHeight="1">
      <c r="A298" s="534" t="s">
        <v>1224</v>
      </c>
      <c r="B298" s="534" t="s">
        <v>1349</v>
      </c>
      <c r="C298" s="535" t="s">
        <v>901</v>
      </c>
      <c r="D298" s="530">
        <f>VLOOKUP(C298,'급수계통별장래인구(출x)'!$C$5:$D$491,2,FALSE)</f>
        <v>64</v>
      </c>
      <c r="E298" s="518">
        <f t="shared" si="36"/>
        <v>4.9625867483425734E-4</v>
      </c>
      <c r="F298" s="541">
        <f t="shared" si="33"/>
        <v>66</v>
      </c>
      <c r="G298" s="530">
        <f t="shared" si="32"/>
        <v>65</v>
      </c>
      <c r="H298" s="530">
        <f t="shared" si="32"/>
        <v>66</v>
      </c>
      <c r="I298" s="530">
        <f t="shared" si="32"/>
        <v>68</v>
      </c>
      <c r="J298" s="530">
        <f t="shared" si="32"/>
        <v>69</v>
      </c>
    </row>
    <row r="299" spans="1:10" ht="18" customHeight="1">
      <c r="A299" s="534" t="s">
        <v>1224</v>
      </c>
      <c r="B299" s="534" t="s">
        <v>1350</v>
      </c>
      <c r="C299" s="535" t="s">
        <v>902</v>
      </c>
      <c r="D299" s="530">
        <f>VLOOKUP(C299,'급수계통별장래인구(출x)'!$C$5:$D$491,2,FALSE)</f>
        <v>180</v>
      </c>
      <c r="E299" s="518">
        <f t="shared" si="36"/>
        <v>1.3957275229713488E-3</v>
      </c>
      <c r="F299" s="541">
        <f t="shared" si="33"/>
        <v>185</v>
      </c>
      <c r="G299" s="530">
        <f t="shared" si="32"/>
        <v>182</v>
      </c>
      <c r="H299" s="530">
        <f t="shared" si="32"/>
        <v>186</v>
      </c>
      <c r="I299" s="530">
        <f t="shared" si="32"/>
        <v>190</v>
      </c>
      <c r="J299" s="530">
        <f t="shared" si="32"/>
        <v>193</v>
      </c>
    </row>
    <row r="300" spans="1:10" ht="18" customHeight="1">
      <c r="A300" s="534" t="s">
        <v>1224</v>
      </c>
      <c r="B300" s="534" t="s">
        <v>1350</v>
      </c>
      <c r="C300" s="535" t="s">
        <v>903</v>
      </c>
      <c r="D300" s="530">
        <f>VLOOKUP(C300,'급수계통별장래인구(출x)'!$C$5:$D$491,2,FALSE)</f>
        <v>123</v>
      </c>
      <c r="E300" s="518">
        <f t="shared" si="36"/>
        <v>9.5374714069708833E-4</v>
      </c>
      <c r="F300" s="541">
        <f t="shared" si="33"/>
        <v>126</v>
      </c>
      <c r="G300" s="530">
        <f t="shared" si="32"/>
        <v>124</v>
      </c>
      <c r="H300" s="530">
        <f t="shared" si="32"/>
        <v>127</v>
      </c>
      <c r="I300" s="530">
        <f t="shared" si="32"/>
        <v>130</v>
      </c>
      <c r="J300" s="530">
        <f t="shared" si="32"/>
        <v>132</v>
      </c>
    </row>
    <row r="301" spans="1:10" ht="18" customHeight="1">
      <c r="A301" s="534" t="s">
        <v>1224</v>
      </c>
      <c r="B301" s="534" t="s">
        <v>1351</v>
      </c>
      <c r="C301" s="535" t="s">
        <v>904</v>
      </c>
      <c r="D301" s="530">
        <f>VLOOKUP(C301,'급수계통별장래인구(출x)'!$C$5:$D$491,2,FALSE)</f>
        <v>154</v>
      </c>
      <c r="E301" s="518">
        <f t="shared" si="36"/>
        <v>1.1941224363199317E-3</v>
      </c>
      <c r="F301" s="541">
        <f t="shared" si="33"/>
        <v>158</v>
      </c>
      <c r="G301" s="530">
        <f t="shared" si="32"/>
        <v>156</v>
      </c>
      <c r="H301" s="530">
        <f t="shared" si="32"/>
        <v>159</v>
      </c>
      <c r="I301" s="530">
        <f t="shared" si="32"/>
        <v>163</v>
      </c>
      <c r="J301" s="530">
        <f t="shared" si="32"/>
        <v>165</v>
      </c>
    </row>
    <row r="302" spans="1:10" ht="18" customHeight="1">
      <c r="A302" s="534" t="s">
        <v>1224</v>
      </c>
      <c r="B302" s="534" t="s">
        <v>1352</v>
      </c>
      <c r="C302" s="535" t="s">
        <v>905</v>
      </c>
      <c r="D302" s="530">
        <f>VLOOKUP(C302,'급수계통별장래인구(출x)'!$C$5:$D$491,2,FALSE)</f>
        <v>154</v>
      </c>
      <c r="E302" s="518">
        <f t="shared" si="36"/>
        <v>1.1941224363199317E-3</v>
      </c>
      <c r="F302" s="541">
        <f t="shared" si="33"/>
        <v>158</v>
      </c>
      <c r="G302" s="530">
        <f t="shared" si="32"/>
        <v>156</v>
      </c>
      <c r="H302" s="530">
        <f t="shared" si="32"/>
        <v>159</v>
      </c>
      <c r="I302" s="530">
        <f t="shared" si="32"/>
        <v>163</v>
      </c>
      <c r="J302" s="530">
        <f t="shared" si="32"/>
        <v>165</v>
      </c>
    </row>
    <row r="303" spans="1:10" ht="18" customHeight="1">
      <c r="A303" s="534" t="s">
        <v>1224</v>
      </c>
      <c r="B303" s="534" t="s">
        <v>1353</v>
      </c>
      <c r="C303" s="535" t="s">
        <v>906</v>
      </c>
      <c r="D303" s="530">
        <f>VLOOKUP(C303,'급수계통별장래인구(출x)'!$C$5:$D$491,2,FALSE)</f>
        <v>130</v>
      </c>
      <c r="E303" s="518">
        <f t="shared" si="36"/>
        <v>1.0080254332570852E-3</v>
      </c>
      <c r="F303" s="541">
        <f t="shared" si="33"/>
        <v>134</v>
      </c>
      <c r="G303" s="530">
        <f t="shared" si="32"/>
        <v>132</v>
      </c>
      <c r="H303" s="530">
        <f t="shared" si="32"/>
        <v>134</v>
      </c>
      <c r="I303" s="530">
        <f t="shared" si="32"/>
        <v>137</v>
      </c>
      <c r="J303" s="530">
        <f t="shared" si="32"/>
        <v>140</v>
      </c>
    </row>
    <row r="304" spans="1:10" ht="18" customHeight="1">
      <c r="A304" s="534" t="s">
        <v>1224</v>
      </c>
      <c r="B304" s="534" t="s">
        <v>1353</v>
      </c>
      <c r="C304" s="535" t="s">
        <v>907</v>
      </c>
      <c r="D304" s="530">
        <f>VLOOKUP(C304,'급수계통별장래인구(출x)'!$C$5:$D$491,2,FALSE)</f>
        <v>70</v>
      </c>
      <c r="E304" s="518">
        <f t="shared" si="36"/>
        <v>5.4278292559996897E-4</v>
      </c>
      <c r="F304" s="541">
        <f t="shared" si="33"/>
        <v>72</v>
      </c>
      <c r="G304" s="530">
        <f t="shared" si="32"/>
        <v>71</v>
      </c>
      <c r="H304" s="530">
        <f t="shared" si="32"/>
        <v>72</v>
      </c>
      <c r="I304" s="530">
        <f t="shared" si="32"/>
        <v>74</v>
      </c>
      <c r="J304" s="530">
        <f t="shared" si="32"/>
        <v>75</v>
      </c>
    </row>
    <row r="305" spans="1:10" ht="18" customHeight="1">
      <c r="A305" s="534" t="s">
        <v>1224</v>
      </c>
      <c r="B305" s="534" t="s">
        <v>1354</v>
      </c>
      <c r="C305" s="535" t="s">
        <v>908</v>
      </c>
      <c r="D305" s="530">
        <f>VLOOKUP(C305,'급수계통별장래인구(출x)'!$C$5:$D$491,2,FALSE)</f>
        <v>134</v>
      </c>
      <c r="E305" s="518">
        <f t="shared" si="36"/>
        <v>1.0390416004342263E-3</v>
      </c>
      <c r="F305" s="541">
        <f t="shared" si="33"/>
        <v>138</v>
      </c>
      <c r="G305" s="530">
        <f t="shared" si="32"/>
        <v>136</v>
      </c>
      <c r="H305" s="530">
        <f t="shared" si="32"/>
        <v>138</v>
      </c>
      <c r="I305" s="530">
        <f t="shared" si="32"/>
        <v>142</v>
      </c>
      <c r="J305" s="530">
        <f t="shared" si="32"/>
        <v>144</v>
      </c>
    </row>
    <row r="306" spans="1:10" ht="18" customHeight="1">
      <c r="A306" s="534" t="s">
        <v>1224</v>
      </c>
      <c r="B306" s="534" t="s">
        <v>1341</v>
      </c>
      <c r="C306" s="535" t="s">
        <v>1157</v>
      </c>
      <c r="D306" s="530">
        <f>VLOOKUP(C306,'급수계통별장래인구(출x)'!$C$5:$D$491,2,FALSE)</f>
        <v>56</v>
      </c>
      <c r="E306" s="518">
        <f t="shared" si="36"/>
        <v>4.3422634047997517E-4</v>
      </c>
      <c r="F306" s="541">
        <f t="shared" si="33"/>
        <v>58</v>
      </c>
      <c r="G306" s="530">
        <f t="shared" si="32"/>
        <v>57</v>
      </c>
      <c r="H306" s="530">
        <f t="shared" si="32"/>
        <v>58</v>
      </c>
      <c r="I306" s="530">
        <f t="shared" si="32"/>
        <v>59</v>
      </c>
      <c r="J306" s="530">
        <f t="shared" si="32"/>
        <v>60</v>
      </c>
    </row>
    <row r="307" spans="1:10" ht="18" customHeight="1">
      <c r="A307" s="534" t="s">
        <v>1224</v>
      </c>
      <c r="B307" s="534" t="s">
        <v>1341</v>
      </c>
      <c r="C307" s="535" t="s">
        <v>1158</v>
      </c>
      <c r="D307" s="530">
        <f>VLOOKUP(C307,'급수계통별장래인구(출x)'!$C$5:$D$491,2,FALSE)</f>
        <v>106</v>
      </c>
      <c r="E307" s="518">
        <f t="shared" si="36"/>
        <v>8.2192843019423872E-4</v>
      </c>
      <c r="F307" s="541">
        <f t="shared" si="33"/>
        <v>109</v>
      </c>
      <c r="G307" s="530">
        <f t="shared" si="32"/>
        <v>107</v>
      </c>
      <c r="H307" s="530">
        <f t="shared" si="32"/>
        <v>109</v>
      </c>
      <c r="I307" s="530">
        <f t="shared" si="32"/>
        <v>112</v>
      </c>
      <c r="J307" s="530">
        <f t="shared" si="32"/>
        <v>114</v>
      </c>
    </row>
    <row r="308" spans="1:10" ht="18" customHeight="1">
      <c r="A308" s="534" t="s">
        <v>1224</v>
      </c>
      <c r="B308" s="534" t="s">
        <v>1341</v>
      </c>
      <c r="C308" s="535" t="s">
        <v>1159</v>
      </c>
      <c r="D308" s="530">
        <f>VLOOKUP(C308,'급수계통별장래인구(출x)'!$C$5:$D$491,2,FALSE)</f>
        <v>114</v>
      </c>
      <c r="E308" s="518">
        <f t="shared" si="36"/>
        <v>8.8396076454852089E-4</v>
      </c>
      <c r="F308" s="541">
        <f t="shared" si="33"/>
        <v>117</v>
      </c>
      <c r="G308" s="530">
        <f t="shared" si="32"/>
        <v>115</v>
      </c>
      <c r="H308" s="530">
        <f t="shared" si="32"/>
        <v>118</v>
      </c>
      <c r="I308" s="530">
        <f t="shared" si="32"/>
        <v>120</v>
      </c>
      <c r="J308" s="530">
        <f t="shared" si="32"/>
        <v>122</v>
      </c>
    </row>
    <row r="309" spans="1:10" ht="18" customHeight="1">
      <c r="A309" s="534" t="s">
        <v>1224</v>
      </c>
      <c r="B309" s="534" t="s">
        <v>1355</v>
      </c>
      <c r="C309" s="535" t="s">
        <v>909</v>
      </c>
      <c r="D309" s="530">
        <f>VLOOKUP(C309,'급수계통별장래인구(출x)'!$C$5:$D$491,2,FALSE)</f>
        <v>88</v>
      </c>
      <c r="E309" s="518">
        <f t="shared" si="36"/>
        <v>6.8235567789710384E-4</v>
      </c>
      <c r="F309" s="541">
        <f t="shared" si="33"/>
        <v>90</v>
      </c>
      <c r="G309" s="530">
        <f t="shared" si="32"/>
        <v>89</v>
      </c>
      <c r="H309" s="530">
        <f t="shared" si="32"/>
        <v>91</v>
      </c>
      <c r="I309" s="530">
        <f t="shared" si="32"/>
        <v>93</v>
      </c>
      <c r="J309" s="530">
        <f t="shared" si="32"/>
        <v>95</v>
      </c>
    </row>
    <row r="310" spans="1:10" ht="18" customHeight="1">
      <c r="A310" s="534" t="s">
        <v>1224</v>
      </c>
      <c r="B310" s="534" t="s">
        <v>1355</v>
      </c>
      <c r="C310" s="535" t="s">
        <v>910</v>
      </c>
      <c r="D310" s="530">
        <f>VLOOKUP(C310,'급수계통별장래인구(출x)'!$C$5:$D$491,2,FALSE)</f>
        <v>133</v>
      </c>
      <c r="E310" s="518">
        <f t="shared" si="36"/>
        <v>1.031287558639941E-3</v>
      </c>
      <c r="F310" s="541">
        <f t="shared" si="33"/>
        <v>137</v>
      </c>
      <c r="G310" s="530">
        <f t="shared" si="32"/>
        <v>135</v>
      </c>
      <c r="H310" s="530">
        <f t="shared" si="32"/>
        <v>137</v>
      </c>
      <c r="I310" s="530">
        <f t="shared" si="32"/>
        <v>140</v>
      </c>
      <c r="J310" s="530">
        <f t="shared" si="32"/>
        <v>143</v>
      </c>
    </row>
    <row r="311" spans="1:10" ht="18" customHeight="1">
      <c r="A311" s="537" t="s">
        <v>1225</v>
      </c>
      <c r="B311" s="577" t="s">
        <v>1232</v>
      </c>
      <c r="C311" s="577"/>
      <c r="D311" s="538">
        <f>SUM(D312:D353)</f>
        <v>6598</v>
      </c>
      <c r="E311" s="538"/>
      <c r="F311" s="538">
        <f t="shared" ref="F311" si="37">SUM(F312:F353)</f>
        <v>6777</v>
      </c>
      <c r="G311" s="538">
        <f t="shared" ref="G311:J311" si="38">SUM(G312:G353)</f>
        <v>6676</v>
      </c>
      <c r="H311" s="538">
        <f t="shared" si="38"/>
        <v>6813</v>
      </c>
      <c r="I311" s="538">
        <f t="shared" si="38"/>
        <v>6970</v>
      </c>
      <c r="J311" s="538">
        <f t="shared" si="38"/>
        <v>7090</v>
      </c>
    </row>
    <row r="312" spans="1:10" ht="18" customHeight="1">
      <c r="A312" s="534" t="s">
        <v>1225</v>
      </c>
      <c r="B312" s="534" t="s">
        <v>1356</v>
      </c>
      <c r="C312" s="535" t="s">
        <v>851</v>
      </c>
      <c r="D312" s="530">
        <f>VLOOKUP(C312,'급수계통별장래인구(출x)'!$C$5:$D$491,2,FALSE)</f>
        <v>409</v>
      </c>
      <c r="E312" s="518">
        <f t="shared" ref="E312:E353" si="39">D312/$D$3</f>
        <v>3.171403093862676E-3</v>
      </c>
      <c r="F312" s="541">
        <f t="shared" si="33"/>
        <v>420</v>
      </c>
      <c r="G312" s="530">
        <f t="shared" si="32"/>
        <v>414</v>
      </c>
      <c r="H312" s="530">
        <f t="shared" si="32"/>
        <v>422</v>
      </c>
      <c r="I312" s="530">
        <f t="shared" si="32"/>
        <v>432</v>
      </c>
      <c r="J312" s="530">
        <f t="shared" si="32"/>
        <v>439</v>
      </c>
    </row>
    <row r="313" spans="1:10" ht="18" customHeight="1">
      <c r="A313" s="534" t="s">
        <v>1225</v>
      </c>
      <c r="B313" s="534" t="s">
        <v>1356</v>
      </c>
      <c r="C313" s="535" t="s">
        <v>852</v>
      </c>
      <c r="D313" s="530">
        <f>VLOOKUP(C313,'급수계통별장래인구(출x)'!$C$5:$D$491,2,FALSE)</f>
        <v>261</v>
      </c>
      <c r="E313" s="518">
        <f t="shared" si="39"/>
        <v>2.0238049083084559E-3</v>
      </c>
      <c r="F313" s="541">
        <f t="shared" si="33"/>
        <v>268</v>
      </c>
      <c r="G313" s="530">
        <f t="shared" si="32"/>
        <v>264</v>
      </c>
      <c r="H313" s="530">
        <f t="shared" si="32"/>
        <v>270</v>
      </c>
      <c r="I313" s="530">
        <f t="shared" si="32"/>
        <v>276</v>
      </c>
      <c r="J313" s="530">
        <f t="shared" si="32"/>
        <v>280</v>
      </c>
    </row>
    <row r="314" spans="1:10" ht="18" customHeight="1">
      <c r="A314" s="534" t="s">
        <v>1225</v>
      </c>
      <c r="B314" s="534" t="s">
        <v>1356</v>
      </c>
      <c r="C314" s="535" t="s">
        <v>853</v>
      </c>
      <c r="D314" s="530">
        <f>VLOOKUP(C314,'급수계통별장래인구(출x)'!$C$5:$D$491,2,FALSE)</f>
        <v>108</v>
      </c>
      <c r="E314" s="518">
        <f t="shared" si="39"/>
        <v>8.3743651378280926E-4</v>
      </c>
      <c r="F314" s="541">
        <f t="shared" si="33"/>
        <v>111</v>
      </c>
      <c r="G314" s="530">
        <f t="shared" si="32"/>
        <v>109</v>
      </c>
      <c r="H314" s="530">
        <f t="shared" si="32"/>
        <v>112</v>
      </c>
      <c r="I314" s="530">
        <f t="shared" si="32"/>
        <v>114</v>
      </c>
      <c r="J314" s="530">
        <f t="shared" si="32"/>
        <v>116</v>
      </c>
    </row>
    <row r="315" spans="1:10" ht="18" customHeight="1">
      <c r="A315" s="534" t="s">
        <v>1225</v>
      </c>
      <c r="B315" s="534" t="s">
        <v>1356</v>
      </c>
      <c r="C315" s="535" t="s">
        <v>854</v>
      </c>
      <c r="D315" s="530">
        <f>VLOOKUP(C315,'급수계통별장래인구(출x)'!$C$5:$D$491,2,FALSE)</f>
        <v>116</v>
      </c>
      <c r="E315" s="518">
        <f t="shared" si="39"/>
        <v>8.9946884813709143E-4</v>
      </c>
      <c r="F315" s="541">
        <f t="shared" si="33"/>
        <v>119</v>
      </c>
      <c r="G315" s="530">
        <f t="shared" si="32"/>
        <v>117</v>
      </c>
      <c r="H315" s="530">
        <f t="shared" si="32"/>
        <v>120</v>
      </c>
      <c r="I315" s="530">
        <f t="shared" si="32"/>
        <v>123</v>
      </c>
      <c r="J315" s="530">
        <f t="shared" ref="H315:J378" si="40">ROUND($E315*J$3,0)</f>
        <v>125</v>
      </c>
    </row>
    <row r="316" spans="1:10" ht="18" customHeight="1">
      <c r="A316" s="534" t="s">
        <v>1225</v>
      </c>
      <c r="B316" s="534" t="s">
        <v>1357</v>
      </c>
      <c r="C316" s="535" t="s">
        <v>855</v>
      </c>
      <c r="D316" s="530">
        <f>VLOOKUP(C316,'급수계통별장래인구(출x)'!$C$5:$D$491,2,FALSE)</f>
        <v>124</v>
      </c>
      <c r="E316" s="518">
        <f t="shared" si="39"/>
        <v>9.615011824913736E-4</v>
      </c>
      <c r="F316" s="541">
        <f t="shared" ref="F316:J379" si="41">ROUND($E316*F$3,0)</f>
        <v>127</v>
      </c>
      <c r="G316" s="530">
        <f t="shared" si="41"/>
        <v>125</v>
      </c>
      <c r="H316" s="530">
        <f t="shared" si="40"/>
        <v>128</v>
      </c>
      <c r="I316" s="530">
        <f t="shared" si="40"/>
        <v>131</v>
      </c>
      <c r="J316" s="530">
        <f t="shared" si="40"/>
        <v>133</v>
      </c>
    </row>
    <row r="317" spans="1:10" ht="18" customHeight="1">
      <c r="A317" s="534" t="s">
        <v>1225</v>
      </c>
      <c r="B317" s="534" t="s">
        <v>1357</v>
      </c>
      <c r="C317" s="535" t="s">
        <v>856</v>
      </c>
      <c r="D317" s="530">
        <f>VLOOKUP(C317,'급수계통별장래인구(출x)'!$C$5:$D$491,2,FALSE)</f>
        <v>129</v>
      </c>
      <c r="E317" s="518">
        <f t="shared" si="39"/>
        <v>1.0002713914628E-3</v>
      </c>
      <c r="F317" s="541">
        <f t="shared" si="41"/>
        <v>133</v>
      </c>
      <c r="G317" s="530">
        <f t="shared" si="41"/>
        <v>131</v>
      </c>
      <c r="H317" s="530">
        <f t="shared" si="40"/>
        <v>133</v>
      </c>
      <c r="I317" s="530">
        <f t="shared" si="40"/>
        <v>136</v>
      </c>
      <c r="J317" s="530">
        <f t="shared" si="40"/>
        <v>139</v>
      </c>
    </row>
    <row r="318" spans="1:10" ht="18" customHeight="1">
      <c r="A318" s="534" t="s">
        <v>1225</v>
      </c>
      <c r="B318" s="534" t="s">
        <v>1357</v>
      </c>
      <c r="C318" s="535" t="s">
        <v>857</v>
      </c>
      <c r="D318" s="530">
        <f>VLOOKUP(C318,'급수계통별장래인구(출x)'!$C$5:$D$491,2,FALSE)</f>
        <v>164</v>
      </c>
      <c r="E318" s="518">
        <f t="shared" si="39"/>
        <v>1.2716628542627844E-3</v>
      </c>
      <c r="F318" s="541">
        <f t="shared" si="41"/>
        <v>168</v>
      </c>
      <c r="G318" s="530">
        <f t="shared" si="41"/>
        <v>166</v>
      </c>
      <c r="H318" s="530">
        <f t="shared" si="40"/>
        <v>169</v>
      </c>
      <c r="I318" s="530">
        <f t="shared" si="40"/>
        <v>173</v>
      </c>
      <c r="J318" s="530">
        <f t="shared" si="40"/>
        <v>176</v>
      </c>
    </row>
    <row r="319" spans="1:10" ht="18" customHeight="1">
      <c r="A319" s="534" t="s">
        <v>1225</v>
      </c>
      <c r="B319" s="534" t="s">
        <v>1358</v>
      </c>
      <c r="C319" s="535" t="s">
        <v>858</v>
      </c>
      <c r="D319" s="530">
        <f>VLOOKUP(C319,'급수계통별장래인구(출x)'!$C$5:$D$491,2,FALSE)</f>
        <v>104</v>
      </c>
      <c r="E319" s="518">
        <f t="shared" si="39"/>
        <v>8.0642034660566818E-4</v>
      </c>
      <c r="F319" s="541">
        <f t="shared" si="41"/>
        <v>107</v>
      </c>
      <c r="G319" s="530">
        <f t="shared" si="41"/>
        <v>105</v>
      </c>
      <c r="H319" s="530">
        <f t="shared" si="40"/>
        <v>107</v>
      </c>
      <c r="I319" s="530">
        <f t="shared" si="40"/>
        <v>110</v>
      </c>
      <c r="J319" s="530">
        <f t="shared" si="40"/>
        <v>112</v>
      </c>
    </row>
    <row r="320" spans="1:10" ht="18" customHeight="1">
      <c r="A320" s="534" t="s">
        <v>1225</v>
      </c>
      <c r="B320" s="534" t="s">
        <v>1358</v>
      </c>
      <c r="C320" s="535" t="s">
        <v>859</v>
      </c>
      <c r="D320" s="530">
        <f>VLOOKUP(C320,'급수계통별장래인구(출x)'!$C$5:$D$491,2,FALSE)</f>
        <v>80</v>
      </c>
      <c r="E320" s="518">
        <f t="shared" si="39"/>
        <v>6.2032334354282168E-4</v>
      </c>
      <c r="F320" s="541">
        <f t="shared" si="41"/>
        <v>82</v>
      </c>
      <c r="G320" s="530">
        <f t="shared" si="41"/>
        <v>81</v>
      </c>
      <c r="H320" s="530">
        <f t="shared" si="40"/>
        <v>83</v>
      </c>
      <c r="I320" s="530">
        <f t="shared" si="40"/>
        <v>85</v>
      </c>
      <c r="J320" s="530">
        <f t="shared" si="40"/>
        <v>86</v>
      </c>
    </row>
    <row r="321" spans="1:10" ht="18" customHeight="1">
      <c r="A321" s="534" t="s">
        <v>1225</v>
      </c>
      <c r="B321" s="534" t="s">
        <v>1358</v>
      </c>
      <c r="C321" s="535" t="s">
        <v>860</v>
      </c>
      <c r="D321" s="530">
        <f>VLOOKUP(C321,'급수계통별장래인구(출x)'!$C$5:$D$491,2,FALSE)</f>
        <v>172</v>
      </c>
      <c r="E321" s="518">
        <f t="shared" si="39"/>
        <v>1.3336951886170666E-3</v>
      </c>
      <c r="F321" s="541">
        <f t="shared" si="41"/>
        <v>177</v>
      </c>
      <c r="G321" s="530">
        <f t="shared" si="41"/>
        <v>174</v>
      </c>
      <c r="H321" s="530">
        <f t="shared" si="40"/>
        <v>178</v>
      </c>
      <c r="I321" s="530">
        <f t="shared" si="40"/>
        <v>182</v>
      </c>
      <c r="J321" s="530">
        <f t="shared" si="40"/>
        <v>185</v>
      </c>
    </row>
    <row r="322" spans="1:10" ht="18" customHeight="1">
      <c r="A322" s="534" t="s">
        <v>1225</v>
      </c>
      <c r="B322" s="534" t="s">
        <v>1358</v>
      </c>
      <c r="C322" s="535" t="s">
        <v>861</v>
      </c>
      <c r="D322" s="530">
        <f>VLOOKUP(C322,'급수계통별장래인구(출x)'!$C$5:$D$491,2,FALSE)</f>
        <v>103</v>
      </c>
      <c r="E322" s="518">
        <f t="shared" si="39"/>
        <v>7.9866630481138291E-4</v>
      </c>
      <c r="F322" s="541">
        <f t="shared" si="41"/>
        <v>106</v>
      </c>
      <c r="G322" s="530">
        <f t="shared" si="41"/>
        <v>104</v>
      </c>
      <c r="H322" s="530">
        <f t="shared" si="40"/>
        <v>106</v>
      </c>
      <c r="I322" s="530">
        <f t="shared" si="40"/>
        <v>109</v>
      </c>
      <c r="J322" s="530">
        <f t="shared" si="40"/>
        <v>111</v>
      </c>
    </row>
    <row r="323" spans="1:10" ht="18" customHeight="1">
      <c r="A323" s="534" t="s">
        <v>1225</v>
      </c>
      <c r="B323" s="534" t="s">
        <v>1414</v>
      </c>
      <c r="C323" s="535" t="s">
        <v>862</v>
      </c>
      <c r="D323" s="530">
        <f>VLOOKUP(C323,'급수계통별장래인구(출x)'!$C$5:$D$491,2,FALSE)</f>
        <v>227</v>
      </c>
      <c r="E323" s="518">
        <f t="shared" si="39"/>
        <v>1.7601674873027565E-3</v>
      </c>
      <c r="F323" s="541">
        <f t="shared" si="41"/>
        <v>233</v>
      </c>
      <c r="G323" s="530">
        <f t="shared" si="41"/>
        <v>230</v>
      </c>
      <c r="H323" s="530">
        <f t="shared" si="40"/>
        <v>234</v>
      </c>
      <c r="I323" s="530">
        <f t="shared" si="40"/>
        <v>240</v>
      </c>
      <c r="J323" s="530">
        <f t="shared" si="40"/>
        <v>244</v>
      </c>
    </row>
    <row r="324" spans="1:10" ht="18" customHeight="1">
      <c r="A324" s="534" t="s">
        <v>1225</v>
      </c>
      <c r="B324" s="534" t="s">
        <v>1415</v>
      </c>
      <c r="C324" s="535" t="s">
        <v>863</v>
      </c>
      <c r="D324" s="530">
        <f>VLOOKUP(C324,'급수계통별장래인구(출x)'!$C$5:$D$491,2,FALSE)</f>
        <v>162</v>
      </c>
      <c r="E324" s="518">
        <f t="shared" si="39"/>
        <v>1.2561547706742139E-3</v>
      </c>
      <c r="F324" s="541">
        <f t="shared" si="41"/>
        <v>166</v>
      </c>
      <c r="G324" s="530">
        <f t="shared" si="41"/>
        <v>164</v>
      </c>
      <c r="H324" s="530">
        <f t="shared" si="40"/>
        <v>167</v>
      </c>
      <c r="I324" s="530">
        <f t="shared" si="40"/>
        <v>171</v>
      </c>
      <c r="J324" s="530">
        <f t="shared" si="40"/>
        <v>174</v>
      </c>
    </row>
    <row r="325" spans="1:10" ht="18" customHeight="1">
      <c r="A325" s="534" t="s">
        <v>1225</v>
      </c>
      <c r="B325" s="534" t="s">
        <v>1359</v>
      </c>
      <c r="C325" s="535" t="s">
        <v>864</v>
      </c>
      <c r="D325" s="530">
        <f>VLOOKUP(C325,'급수계통별장래인구(출x)'!$C$5:$D$491,2,FALSE)</f>
        <v>184</v>
      </c>
      <c r="E325" s="518">
        <f t="shared" si="39"/>
        <v>1.4267436901484899E-3</v>
      </c>
      <c r="F325" s="541">
        <f t="shared" si="41"/>
        <v>189</v>
      </c>
      <c r="G325" s="530">
        <f t="shared" si="41"/>
        <v>186</v>
      </c>
      <c r="H325" s="530">
        <f t="shared" si="40"/>
        <v>190</v>
      </c>
      <c r="I325" s="530">
        <f t="shared" si="40"/>
        <v>194</v>
      </c>
      <c r="J325" s="530">
        <f t="shared" si="40"/>
        <v>198</v>
      </c>
    </row>
    <row r="326" spans="1:10" ht="18" customHeight="1">
      <c r="A326" s="534" t="s">
        <v>1225</v>
      </c>
      <c r="B326" s="534" t="s">
        <v>1359</v>
      </c>
      <c r="C326" s="535" t="s">
        <v>865</v>
      </c>
      <c r="D326" s="530">
        <f>VLOOKUP(C326,'급수계통별장래인구(출x)'!$C$5:$D$491,2,FALSE)</f>
        <v>144</v>
      </c>
      <c r="E326" s="518">
        <f t="shared" si="39"/>
        <v>1.116582018377079E-3</v>
      </c>
      <c r="F326" s="541">
        <f t="shared" si="41"/>
        <v>148</v>
      </c>
      <c r="G326" s="530">
        <f t="shared" si="41"/>
        <v>146</v>
      </c>
      <c r="H326" s="530">
        <f t="shared" si="40"/>
        <v>149</v>
      </c>
      <c r="I326" s="530">
        <f t="shared" si="40"/>
        <v>152</v>
      </c>
      <c r="J326" s="530">
        <f t="shared" si="40"/>
        <v>155</v>
      </c>
    </row>
    <row r="327" spans="1:10" ht="18" customHeight="1">
      <c r="A327" s="534" t="s">
        <v>1225</v>
      </c>
      <c r="B327" s="534" t="s">
        <v>1340</v>
      </c>
      <c r="C327" s="535" t="s">
        <v>866</v>
      </c>
      <c r="D327" s="530">
        <f>VLOOKUP(C327,'급수계통별장래인구(출x)'!$C$5:$D$491,2,FALSE)</f>
        <v>143</v>
      </c>
      <c r="E327" s="518">
        <f t="shared" si="39"/>
        <v>1.1088279765827937E-3</v>
      </c>
      <c r="F327" s="541">
        <f t="shared" si="41"/>
        <v>147</v>
      </c>
      <c r="G327" s="530">
        <f t="shared" si="41"/>
        <v>145</v>
      </c>
      <c r="H327" s="530">
        <f t="shared" si="40"/>
        <v>148</v>
      </c>
      <c r="I327" s="530">
        <f t="shared" si="40"/>
        <v>151</v>
      </c>
      <c r="J327" s="530">
        <f t="shared" si="40"/>
        <v>154</v>
      </c>
    </row>
    <row r="328" spans="1:10" ht="18" customHeight="1">
      <c r="A328" s="534" t="s">
        <v>1225</v>
      </c>
      <c r="B328" s="534" t="s">
        <v>1340</v>
      </c>
      <c r="C328" s="535" t="s">
        <v>867</v>
      </c>
      <c r="D328" s="530">
        <f>VLOOKUP(C328,'급수계통별장래인구(출x)'!$C$5:$D$491,2,FALSE)</f>
        <v>227</v>
      </c>
      <c r="E328" s="518">
        <f t="shared" si="39"/>
        <v>1.7601674873027565E-3</v>
      </c>
      <c r="F328" s="541">
        <f t="shared" si="41"/>
        <v>233</v>
      </c>
      <c r="G328" s="530">
        <f t="shared" si="41"/>
        <v>230</v>
      </c>
      <c r="H328" s="530">
        <f t="shared" si="40"/>
        <v>234</v>
      </c>
      <c r="I328" s="530">
        <f t="shared" si="40"/>
        <v>240</v>
      </c>
      <c r="J328" s="530">
        <f t="shared" si="40"/>
        <v>244</v>
      </c>
    </row>
    <row r="329" spans="1:10" ht="18" customHeight="1">
      <c r="A329" s="534" t="s">
        <v>1225</v>
      </c>
      <c r="B329" s="534" t="s">
        <v>1360</v>
      </c>
      <c r="C329" s="535" t="s">
        <v>868</v>
      </c>
      <c r="D329" s="530">
        <f>VLOOKUP(C329,'급수계통별장래인구(출x)'!$C$5:$D$491,2,FALSE)</f>
        <v>167</v>
      </c>
      <c r="E329" s="518">
        <f t="shared" si="39"/>
        <v>1.2949249796456402E-3</v>
      </c>
      <c r="F329" s="541">
        <f t="shared" si="41"/>
        <v>172</v>
      </c>
      <c r="G329" s="530">
        <f t="shared" si="41"/>
        <v>169</v>
      </c>
      <c r="H329" s="530">
        <f t="shared" si="40"/>
        <v>172</v>
      </c>
      <c r="I329" s="530">
        <f t="shared" si="40"/>
        <v>176</v>
      </c>
      <c r="J329" s="530">
        <f t="shared" si="40"/>
        <v>179</v>
      </c>
    </row>
    <row r="330" spans="1:10" ht="18" customHeight="1">
      <c r="A330" s="534" t="s">
        <v>1225</v>
      </c>
      <c r="B330" s="534" t="s">
        <v>1360</v>
      </c>
      <c r="C330" s="535" t="s">
        <v>869</v>
      </c>
      <c r="D330" s="530">
        <f>VLOOKUP(C330,'급수계통별장래인구(출x)'!$C$5:$D$491,2,FALSE)</f>
        <v>128</v>
      </c>
      <c r="E330" s="518">
        <f t="shared" si="39"/>
        <v>9.9251734966851468E-4</v>
      </c>
      <c r="F330" s="541">
        <f t="shared" si="41"/>
        <v>131</v>
      </c>
      <c r="G330" s="530">
        <f t="shared" si="41"/>
        <v>129</v>
      </c>
      <c r="H330" s="530">
        <f t="shared" si="40"/>
        <v>132</v>
      </c>
      <c r="I330" s="530">
        <f t="shared" si="40"/>
        <v>135</v>
      </c>
      <c r="J330" s="530">
        <f t="shared" si="40"/>
        <v>138</v>
      </c>
    </row>
    <row r="331" spans="1:10" ht="18" customHeight="1">
      <c r="A331" s="534" t="s">
        <v>1225</v>
      </c>
      <c r="B331" s="534" t="s">
        <v>1361</v>
      </c>
      <c r="C331" s="535" t="s">
        <v>1154</v>
      </c>
      <c r="D331" s="530">
        <f>VLOOKUP(C331,'급수계통별장래인구(출x)'!$C$5:$D$491,2,FALSE)</f>
        <v>227</v>
      </c>
      <c r="E331" s="518">
        <f t="shared" si="39"/>
        <v>1.7601674873027565E-3</v>
      </c>
      <c r="F331" s="541">
        <f t="shared" si="41"/>
        <v>233</v>
      </c>
      <c r="G331" s="530">
        <f t="shared" si="41"/>
        <v>230</v>
      </c>
      <c r="H331" s="530">
        <f t="shared" si="40"/>
        <v>234</v>
      </c>
      <c r="I331" s="530">
        <f t="shared" si="40"/>
        <v>240</v>
      </c>
      <c r="J331" s="530">
        <f t="shared" si="40"/>
        <v>244</v>
      </c>
    </row>
    <row r="332" spans="1:10" ht="18" customHeight="1">
      <c r="A332" s="534" t="s">
        <v>1225</v>
      </c>
      <c r="B332" s="534" t="s">
        <v>1361</v>
      </c>
      <c r="C332" s="535" t="s">
        <v>1155</v>
      </c>
      <c r="D332" s="530">
        <f>VLOOKUP(C332,'급수계통별장래인구(출x)'!$C$5:$D$491,2,FALSE)</f>
        <v>87</v>
      </c>
      <c r="E332" s="518">
        <f t="shared" si="39"/>
        <v>6.7460163610281857E-4</v>
      </c>
      <c r="F332" s="541">
        <f t="shared" si="41"/>
        <v>89</v>
      </c>
      <c r="G332" s="530">
        <f t="shared" si="41"/>
        <v>88</v>
      </c>
      <c r="H332" s="530">
        <f t="shared" si="40"/>
        <v>90</v>
      </c>
      <c r="I332" s="530">
        <f t="shared" si="40"/>
        <v>92</v>
      </c>
      <c r="J332" s="530">
        <f t="shared" si="40"/>
        <v>93</v>
      </c>
    </row>
    <row r="333" spans="1:10" ht="18" customHeight="1">
      <c r="A333" s="534" t="s">
        <v>1225</v>
      </c>
      <c r="B333" s="534" t="s">
        <v>1362</v>
      </c>
      <c r="C333" s="535" t="s">
        <v>870</v>
      </c>
      <c r="D333" s="530">
        <f>VLOOKUP(C333,'급수계통별장래인구(출x)'!$C$5:$D$491,2,FALSE)</f>
        <v>101</v>
      </c>
      <c r="E333" s="518">
        <f t="shared" si="39"/>
        <v>7.8315822122281237E-4</v>
      </c>
      <c r="F333" s="541">
        <f t="shared" si="41"/>
        <v>104</v>
      </c>
      <c r="G333" s="530">
        <f t="shared" si="41"/>
        <v>102</v>
      </c>
      <c r="H333" s="530">
        <f t="shared" si="40"/>
        <v>104</v>
      </c>
      <c r="I333" s="530">
        <f t="shared" si="40"/>
        <v>107</v>
      </c>
      <c r="J333" s="530">
        <f t="shared" si="40"/>
        <v>109</v>
      </c>
    </row>
    <row r="334" spans="1:10" ht="18" customHeight="1">
      <c r="A334" s="534" t="s">
        <v>1225</v>
      </c>
      <c r="B334" s="534" t="s">
        <v>1362</v>
      </c>
      <c r="C334" s="535" t="s">
        <v>871</v>
      </c>
      <c r="D334" s="530">
        <f>VLOOKUP(C334,'급수계통별장래인구(출x)'!$C$5:$D$491,2,FALSE)</f>
        <v>138</v>
      </c>
      <c r="E334" s="518">
        <f t="shared" si="39"/>
        <v>1.0700577676113674E-3</v>
      </c>
      <c r="F334" s="541">
        <f t="shared" si="41"/>
        <v>142</v>
      </c>
      <c r="G334" s="530">
        <f t="shared" si="41"/>
        <v>140</v>
      </c>
      <c r="H334" s="530">
        <f t="shared" si="40"/>
        <v>143</v>
      </c>
      <c r="I334" s="530">
        <f t="shared" si="40"/>
        <v>146</v>
      </c>
      <c r="J334" s="530">
        <f t="shared" si="40"/>
        <v>148</v>
      </c>
    </row>
    <row r="335" spans="1:10" ht="18" customHeight="1">
      <c r="A335" s="534" t="s">
        <v>1225</v>
      </c>
      <c r="B335" s="534" t="s">
        <v>1363</v>
      </c>
      <c r="C335" s="535" t="s">
        <v>872</v>
      </c>
      <c r="D335" s="530">
        <f>VLOOKUP(C335,'급수계통별장래인구(출x)'!$C$5:$D$491,2,FALSE)</f>
        <v>90</v>
      </c>
      <c r="E335" s="518">
        <f t="shared" si="39"/>
        <v>6.9786376148567439E-4</v>
      </c>
      <c r="F335" s="541">
        <f t="shared" si="41"/>
        <v>92</v>
      </c>
      <c r="G335" s="530">
        <f t="shared" si="41"/>
        <v>91</v>
      </c>
      <c r="H335" s="530">
        <f t="shared" si="40"/>
        <v>93</v>
      </c>
      <c r="I335" s="530">
        <f t="shared" si="40"/>
        <v>95</v>
      </c>
      <c r="J335" s="530">
        <f t="shared" si="40"/>
        <v>97</v>
      </c>
    </row>
    <row r="336" spans="1:10" ht="18" customHeight="1">
      <c r="A336" s="534" t="s">
        <v>1225</v>
      </c>
      <c r="B336" s="534" t="s">
        <v>1363</v>
      </c>
      <c r="C336" s="535" t="s">
        <v>873</v>
      </c>
      <c r="D336" s="530">
        <f>VLOOKUP(C336,'급수계통별장래인구(출x)'!$C$5:$D$491,2,FALSE)</f>
        <v>117</v>
      </c>
      <c r="E336" s="518">
        <f t="shared" si="39"/>
        <v>9.072228899313767E-4</v>
      </c>
      <c r="F336" s="541">
        <f t="shared" si="41"/>
        <v>120</v>
      </c>
      <c r="G336" s="530">
        <f t="shared" si="41"/>
        <v>118</v>
      </c>
      <c r="H336" s="530">
        <f t="shared" si="40"/>
        <v>121</v>
      </c>
      <c r="I336" s="530">
        <f t="shared" si="40"/>
        <v>124</v>
      </c>
      <c r="J336" s="530">
        <f t="shared" si="40"/>
        <v>126</v>
      </c>
    </row>
    <row r="337" spans="1:10" ht="18" customHeight="1">
      <c r="A337" s="534" t="s">
        <v>1225</v>
      </c>
      <c r="B337" s="534" t="s">
        <v>1364</v>
      </c>
      <c r="C337" s="535" t="s">
        <v>874</v>
      </c>
      <c r="D337" s="530">
        <f>VLOOKUP(C337,'급수계통별장래인구(출x)'!$C$5:$D$491,2,FALSE)</f>
        <v>254</v>
      </c>
      <c r="E337" s="518">
        <f t="shared" si="39"/>
        <v>1.9695266157484588E-3</v>
      </c>
      <c r="F337" s="541">
        <f t="shared" si="41"/>
        <v>261</v>
      </c>
      <c r="G337" s="530">
        <f t="shared" si="41"/>
        <v>257</v>
      </c>
      <c r="H337" s="530">
        <f t="shared" si="40"/>
        <v>262</v>
      </c>
      <c r="I337" s="530">
        <f t="shared" si="40"/>
        <v>268</v>
      </c>
      <c r="J337" s="530">
        <f t="shared" si="40"/>
        <v>273</v>
      </c>
    </row>
    <row r="338" spans="1:10" ht="18" customHeight="1">
      <c r="A338" s="534" t="s">
        <v>1225</v>
      </c>
      <c r="B338" s="534" t="s">
        <v>1364</v>
      </c>
      <c r="C338" s="535" t="s">
        <v>875</v>
      </c>
      <c r="D338" s="530">
        <f>VLOOKUP(C338,'급수계통별장래인구(출x)'!$C$5:$D$491,2,FALSE)</f>
        <v>117</v>
      </c>
      <c r="E338" s="518">
        <f t="shared" si="39"/>
        <v>9.072228899313767E-4</v>
      </c>
      <c r="F338" s="541">
        <f t="shared" si="41"/>
        <v>120</v>
      </c>
      <c r="G338" s="530">
        <f t="shared" si="41"/>
        <v>118</v>
      </c>
      <c r="H338" s="530">
        <f t="shared" si="40"/>
        <v>121</v>
      </c>
      <c r="I338" s="530">
        <f t="shared" si="40"/>
        <v>124</v>
      </c>
      <c r="J338" s="530">
        <f t="shared" si="40"/>
        <v>126</v>
      </c>
    </row>
    <row r="339" spans="1:10" ht="18" customHeight="1">
      <c r="A339" s="534" t="s">
        <v>1225</v>
      </c>
      <c r="B339" s="534" t="s">
        <v>1364</v>
      </c>
      <c r="C339" s="535" t="s">
        <v>876</v>
      </c>
      <c r="D339" s="530">
        <f>VLOOKUP(C339,'급수계통별장래인구(출x)'!$C$5:$D$491,2,FALSE)</f>
        <v>89</v>
      </c>
      <c r="E339" s="518">
        <f t="shared" si="39"/>
        <v>6.9010971969138911E-4</v>
      </c>
      <c r="F339" s="541">
        <f t="shared" si="41"/>
        <v>91</v>
      </c>
      <c r="G339" s="530">
        <f t="shared" si="41"/>
        <v>90</v>
      </c>
      <c r="H339" s="530">
        <f t="shared" si="40"/>
        <v>92</v>
      </c>
      <c r="I339" s="530">
        <f t="shared" si="40"/>
        <v>94</v>
      </c>
      <c r="J339" s="530">
        <f t="shared" si="40"/>
        <v>96</v>
      </c>
    </row>
    <row r="340" spans="1:10" ht="18" customHeight="1">
      <c r="A340" s="534" t="s">
        <v>1225</v>
      </c>
      <c r="B340" s="534" t="s">
        <v>1365</v>
      </c>
      <c r="C340" s="535" t="s">
        <v>877</v>
      </c>
      <c r="D340" s="530">
        <f>VLOOKUP(C340,'급수계통별장래인구(출x)'!$C$5:$D$491,2,FALSE)</f>
        <v>179</v>
      </c>
      <c r="E340" s="518">
        <f t="shared" si="39"/>
        <v>1.3879734811770635E-3</v>
      </c>
      <c r="F340" s="541">
        <f t="shared" si="41"/>
        <v>184</v>
      </c>
      <c r="G340" s="530">
        <f t="shared" si="41"/>
        <v>181</v>
      </c>
      <c r="H340" s="530">
        <f t="shared" si="40"/>
        <v>185</v>
      </c>
      <c r="I340" s="530">
        <f t="shared" si="40"/>
        <v>189</v>
      </c>
      <c r="J340" s="530">
        <f t="shared" si="40"/>
        <v>192</v>
      </c>
    </row>
    <row r="341" spans="1:10" ht="18" customHeight="1">
      <c r="A341" s="534" t="s">
        <v>1225</v>
      </c>
      <c r="B341" s="534" t="s">
        <v>1365</v>
      </c>
      <c r="C341" s="535" t="s">
        <v>878</v>
      </c>
      <c r="D341" s="530">
        <f>VLOOKUP(C341,'급수계통별장래인구(출x)'!$C$5:$D$491,2,FALSE)</f>
        <v>148</v>
      </c>
      <c r="E341" s="518">
        <f t="shared" si="39"/>
        <v>1.1475981855542201E-3</v>
      </c>
      <c r="F341" s="541">
        <f t="shared" si="41"/>
        <v>152</v>
      </c>
      <c r="G341" s="530">
        <f t="shared" si="41"/>
        <v>150</v>
      </c>
      <c r="H341" s="530">
        <f t="shared" si="40"/>
        <v>153</v>
      </c>
      <c r="I341" s="530">
        <f t="shared" si="40"/>
        <v>156</v>
      </c>
      <c r="J341" s="530">
        <f t="shared" si="40"/>
        <v>159</v>
      </c>
    </row>
    <row r="342" spans="1:10" ht="18" customHeight="1">
      <c r="A342" s="534" t="s">
        <v>1225</v>
      </c>
      <c r="B342" s="534" t="s">
        <v>1366</v>
      </c>
      <c r="C342" s="535" t="s">
        <v>879</v>
      </c>
      <c r="D342" s="530">
        <f>VLOOKUP(C342,'급수계통별장래인구(출x)'!$C$5:$D$491,2,FALSE)</f>
        <v>191</v>
      </c>
      <c r="E342" s="518">
        <f t="shared" si="39"/>
        <v>1.4810219827084868E-3</v>
      </c>
      <c r="F342" s="541">
        <f t="shared" si="41"/>
        <v>196</v>
      </c>
      <c r="G342" s="530">
        <f t="shared" si="41"/>
        <v>193</v>
      </c>
      <c r="H342" s="530">
        <f t="shared" si="40"/>
        <v>197</v>
      </c>
      <c r="I342" s="530">
        <f t="shared" si="40"/>
        <v>202</v>
      </c>
      <c r="J342" s="530">
        <f t="shared" si="40"/>
        <v>205</v>
      </c>
    </row>
    <row r="343" spans="1:10" ht="18" customHeight="1">
      <c r="A343" s="534" t="s">
        <v>1225</v>
      </c>
      <c r="B343" s="534" t="s">
        <v>1366</v>
      </c>
      <c r="C343" s="535" t="s">
        <v>880</v>
      </c>
      <c r="D343" s="530">
        <f>VLOOKUP(C343,'급수계통별장래인구(출x)'!$C$5:$D$491,2,FALSE)</f>
        <v>132</v>
      </c>
      <c r="E343" s="518">
        <f t="shared" si="39"/>
        <v>1.0235335168456558E-3</v>
      </c>
      <c r="F343" s="541">
        <f t="shared" si="41"/>
        <v>136</v>
      </c>
      <c r="G343" s="530">
        <f t="shared" si="41"/>
        <v>134</v>
      </c>
      <c r="H343" s="530">
        <f t="shared" si="40"/>
        <v>136</v>
      </c>
      <c r="I343" s="530">
        <f t="shared" si="40"/>
        <v>139</v>
      </c>
      <c r="J343" s="530">
        <f t="shared" si="40"/>
        <v>142</v>
      </c>
    </row>
    <row r="344" spans="1:10" ht="18" customHeight="1">
      <c r="A344" s="534" t="s">
        <v>1225</v>
      </c>
      <c r="B344" s="534" t="s">
        <v>1366</v>
      </c>
      <c r="C344" s="535" t="s">
        <v>881</v>
      </c>
      <c r="D344" s="530">
        <f>VLOOKUP(C344,'급수계통별장래인구(출x)'!$C$5:$D$491,2,FALSE)</f>
        <v>72</v>
      </c>
      <c r="E344" s="518">
        <f t="shared" si="39"/>
        <v>5.5829100918853951E-4</v>
      </c>
      <c r="F344" s="541">
        <f t="shared" si="41"/>
        <v>74</v>
      </c>
      <c r="G344" s="530">
        <f t="shared" si="41"/>
        <v>73</v>
      </c>
      <c r="H344" s="530">
        <f t="shared" si="40"/>
        <v>74</v>
      </c>
      <c r="I344" s="530">
        <f t="shared" si="40"/>
        <v>76</v>
      </c>
      <c r="J344" s="530">
        <f t="shared" si="40"/>
        <v>77</v>
      </c>
    </row>
    <row r="345" spans="1:10" ht="18" customHeight="1">
      <c r="A345" s="534" t="s">
        <v>1225</v>
      </c>
      <c r="B345" s="534" t="s">
        <v>1367</v>
      </c>
      <c r="C345" s="535" t="s">
        <v>882</v>
      </c>
      <c r="D345" s="530">
        <f>VLOOKUP(C345,'급수계통별장래인구(출x)'!$C$5:$D$491,2,FALSE)</f>
        <v>280</v>
      </c>
      <c r="E345" s="518">
        <f t="shared" si="39"/>
        <v>2.1711317023998759E-3</v>
      </c>
      <c r="F345" s="541">
        <f t="shared" si="41"/>
        <v>288</v>
      </c>
      <c r="G345" s="530">
        <f t="shared" si="41"/>
        <v>283</v>
      </c>
      <c r="H345" s="530">
        <f t="shared" si="40"/>
        <v>289</v>
      </c>
      <c r="I345" s="530">
        <f t="shared" si="40"/>
        <v>296</v>
      </c>
      <c r="J345" s="530">
        <f t="shared" si="40"/>
        <v>301</v>
      </c>
    </row>
    <row r="346" spans="1:10" ht="18" customHeight="1">
      <c r="A346" s="534" t="s">
        <v>1225</v>
      </c>
      <c r="B346" s="534" t="s">
        <v>1367</v>
      </c>
      <c r="C346" s="535" t="s">
        <v>883</v>
      </c>
      <c r="D346" s="530">
        <f>VLOOKUP(C346,'급수계통별장래인구(출x)'!$C$5:$D$491,2,FALSE)</f>
        <v>328</v>
      </c>
      <c r="E346" s="518">
        <f t="shared" si="39"/>
        <v>2.5433257085255689E-3</v>
      </c>
      <c r="F346" s="541">
        <f t="shared" si="41"/>
        <v>337</v>
      </c>
      <c r="G346" s="530">
        <f t="shared" si="41"/>
        <v>332</v>
      </c>
      <c r="H346" s="530">
        <f t="shared" si="40"/>
        <v>339</v>
      </c>
      <c r="I346" s="530">
        <f t="shared" si="40"/>
        <v>346</v>
      </c>
      <c r="J346" s="530">
        <f t="shared" si="40"/>
        <v>352</v>
      </c>
    </row>
    <row r="347" spans="1:10" ht="18" customHeight="1">
      <c r="A347" s="534" t="s">
        <v>1225</v>
      </c>
      <c r="B347" s="534" t="s">
        <v>1368</v>
      </c>
      <c r="C347" s="535" t="s">
        <v>884</v>
      </c>
      <c r="D347" s="530">
        <f>VLOOKUP(C347,'급수계통별장래인구(출x)'!$C$5:$D$491,2,FALSE)</f>
        <v>94</v>
      </c>
      <c r="E347" s="518">
        <f t="shared" si="39"/>
        <v>7.2887992866281547E-4</v>
      </c>
      <c r="F347" s="541">
        <f t="shared" si="41"/>
        <v>97</v>
      </c>
      <c r="G347" s="530">
        <f t="shared" si="41"/>
        <v>95</v>
      </c>
      <c r="H347" s="530">
        <f t="shared" si="40"/>
        <v>97</v>
      </c>
      <c r="I347" s="530">
        <f t="shared" si="40"/>
        <v>99</v>
      </c>
      <c r="J347" s="530">
        <f t="shared" si="40"/>
        <v>101</v>
      </c>
    </row>
    <row r="348" spans="1:10" ht="18" customHeight="1">
      <c r="A348" s="534" t="s">
        <v>1225</v>
      </c>
      <c r="B348" s="534" t="s">
        <v>1368</v>
      </c>
      <c r="C348" s="535" t="s">
        <v>885</v>
      </c>
      <c r="D348" s="530">
        <f>VLOOKUP(C348,'급수계통별장래인구(출x)'!$C$5:$D$491,2,FALSE)</f>
        <v>177</v>
      </c>
      <c r="E348" s="518">
        <f t="shared" si="39"/>
        <v>1.372465397588493E-3</v>
      </c>
      <c r="F348" s="541">
        <f t="shared" si="41"/>
        <v>182</v>
      </c>
      <c r="G348" s="530">
        <f t="shared" si="41"/>
        <v>179</v>
      </c>
      <c r="H348" s="530">
        <f t="shared" si="40"/>
        <v>183</v>
      </c>
      <c r="I348" s="530">
        <f t="shared" si="40"/>
        <v>187</v>
      </c>
      <c r="J348" s="530">
        <f t="shared" si="40"/>
        <v>190</v>
      </c>
    </row>
    <row r="349" spans="1:10" ht="18" customHeight="1">
      <c r="A349" s="534" t="s">
        <v>1225</v>
      </c>
      <c r="B349" s="534" t="s">
        <v>1369</v>
      </c>
      <c r="C349" s="535" t="s">
        <v>886</v>
      </c>
      <c r="D349" s="530">
        <f>VLOOKUP(C349,'급수계통별장래인구(출x)'!$C$5:$D$491,2,FALSE)</f>
        <v>87</v>
      </c>
      <c r="E349" s="518">
        <f t="shared" si="39"/>
        <v>6.7460163610281857E-4</v>
      </c>
      <c r="F349" s="541">
        <f t="shared" si="41"/>
        <v>89</v>
      </c>
      <c r="G349" s="530">
        <f t="shared" si="41"/>
        <v>88</v>
      </c>
      <c r="H349" s="530">
        <f t="shared" si="40"/>
        <v>90</v>
      </c>
      <c r="I349" s="530">
        <f t="shared" si="40"/>
        <v>92</v>
      </c>
      <c r="J349" s="530">
        <f t="shared" si="40"/>
        <v>93</v>
      </c>
    </row>
    <row r="350" spans="1:10" ht="18" customHeight="1">
      <c r="A350" s="534" t="s">
        <v>1225</v>
      </c>
      <c r="B350" s="534" t="s">
        <v>1369</v>
      </c>
      <c r="C350" s="535" t="s">
        <v>887</v>
      </c>
      <c r="D350" s="530">
        <f>VLOOKUP(C350,'급수계통별장래인구(출x)'!$C$5:$D$491,2,FALSE)</f>
        <v>143</v>
      </c>
      <c r="E350" s="518">
        <f t="shared" si="39"/>
        <v>1.1088279765827937E-3</v>
      </c>
      <c r="F350" s="541">
        <f t="shared" si="41"/>
        <v>147</v>
      </c>
      <c r="G350" s="530">
        <f t="shared" si="41"/>
        <v>145</v>
      </c>
      <c r="H350" s="530">
        <f t="shared" si="40"/>
        <v>148</v>
      </c>
      <c r="I350" s="530">
        <f t="shared" si="40"/>
        <v>151</v>
      </c>
      <c r="J350" s="530">
        <f t="shared" si="40"/>
        <v>154</v>
      </c>
    </row>
    <row r="351" spans="1:10" ht="18" customHeight="1">
      <c r="A351" s="534" t="s">
        <v>1225</v>
      </c>
      <c r="B351" s="534" t="s">
        <v>1370</v>
      </c>
      <c r="C351" s="535" t="s">
        <v>888</v>
      </c>
      <c r="D351" s="530">
        <f>VLOOKUP(C351,'급수계통별장래인구(출x)'!$C$5:$D$491,2,FALSE)</f>
        <v>126</v>
      </c>
      <c r="E351" s="518">
        <f t="shared" si="39"/>
        <v>9.7700926607994414E-4</v>
      </c>
      <c r="F351" s="541">
        <f t="shared" si="41"/>
        <v>129</v>
      </c>
      <c r="G351" s="530">
        <f t="shared" si="41"/>
        <v>127</v>
      </c>
      <c r="H351" s="530">
        <f t="shared" si="40"/>
        <v>130</v>
      </c>
      <c r="I351" s="530">
        <f t="shared" si="40"/>
        <v>133</v>
      </c>
      <c r="J351" s="530">
        <f t="shared" si="40"/>
        <v>135</v>
      </c>
    </row>
    <row r="352" spans="1:10" ht="18" customHeight="1">
      <c r="A352" s="534" t="s">
        <v>1225</v>
      </c>
      <c r="B352" s="534" t="s">
        <v>1370</v>
      </c>
      <c r="C352" s="535" t="s">
        <v>889</v>
      </c>
      <c r="D352" s="530">
        <f>VLOOKUP(C352,'급수계통별장래인구(출x)'!$C$5:$D$491,2,FALSE)</f>
        <v>139</v>
      </c>
      <c r="E352" s="518">
        <f t="shared" si="39"/>
        <v>1.0778118094056527E-3</v>
      </c>
      <c r="F352" s="541">
        <f t="shared" si="41"/>
        <v>143</v>
      </c>
      <c r="G352" s="530">
        <f t="shared" si="41"/>
        <v>141</v>
      </c>
      <c r="H352" s="530">
        <f t="shared" si="40"/>
        <v>144</v>
      </c>
      <c r="I352" s="530">
        <f t="shared" si="40"/>
        <v>147</v>
      </c>
      <c r="J352" s="530">
        <f t="shared" si="40"/>
        <v>149</v>
      </c>
    </row>
    <row r="353" spans="1:10" ht="18" customHeight="1">
      <c r="A353" s="534" t="s">
        <v>1225</v>
      </c>
      <c r="B353" s="534" t="s">
        <v>1370</v>
      </c>
      <c r="C353" s="535" t="s">
        <v>890</v>
      </c>
      <c r="D353" s="530">
        <f>VLOOKUP(C353,'급수계통별장래인구(출x)'!$C$5:$D$491,2,FALSE)</f>
        <v>130</v>
      </c>
      <c r="E353" s="518">
        <f t="shared" si="39"/>
        <v>1.0080254332570852E-3</v>
      </c>
      <c r="F353" s="541">
        <f t="shared" si="41"/>
        <v>134</v>
      </c>
      <c r="G353" s="530">
        <f t="shared" si="41"/>
        <v>132</v>
      </c>
      <c r="H353" s="530">
        <f t="shared" si="40"/>
        <v>134</v>
      </c>
      <c r="I353" s="530">
        <f t="shared" si="40"/>
        <v>137</v>
      </c>
      <c r="J353" s="530">
        <f t="shared" si="40"/>
        <v>140</v>
      </c>
    </row>
    <row r="354" spans="1:10" ht="18" customHeight="1">
      <c r="A354" s="537" t="s">
        <v>1226</v>
      </c>
      <c r="B354" s="577" t="s">
        <v>1232</v>
      </c>
      <c r="C354" s="577"/>
      <c r="D354" s="538">
        <f>SUM(D355:D382)</f>
        <v>4295</v>
      </c>
      <c r="E354" s="538"/>
      <c r="F354" s="538">
        <f t="shared" ref="F354" si="42">SUM(F355:F382)</f>
        <v>4409</v>
      </c>
      <c r="G354" s="538">
        <f t="shared" ref="G354:J354" si="43">SUM(G355:G382)</f>
        <v>4343</v>
      </c>
      <c r="H354" s="538">
        <f t="shared" si="43"/>
        <v>4435</v>
      </c>
      <c r="I354" s="538">
        <f t="shared" si="43"/>
        <v>4534</v>
      </c>
      <c r="J354" s="538">
        <f t="shared" si="43"/>
        <v>4612</v>
      </c>
    </row>
    <row r="355" spans="1:10" ht="18" customHeight="1">
      <c r="A355" s="534" t="s">
        <v>1226</v>
      </c>
      <c r="B355" s="534" t="s">
        <v>1371</v>
      </c>
      <c r="C355" s="535" t="s">
        <v>783</v>
      </c>
      <c r="D355" s="530">
        <f>VLOOKUP(C355,'급수계통별장래인구(출x)'!$C$5:$D$491,2,FALSE)</f>
        <v>199</v>
      </c>
      <c r="E355" s="518">
        <f t="shared" ref="E355:E382" si="44">D355/$D$3</f>
        <v>1.5430543170627689E-3</v>
      </c>
      <c r="F355" s="541">
        <f t="shared" si="41"/>
        <v>204</v>
      </c>
      <c r="G355" s="530">
        <f t="shared" si="41"/>
        <v>201</v>
      </c>
      <c r="H355" s="530">
        <f t="shared" si="40"/>
        <v>206</v>
      </c>
      <c r="I355" s="530">
        <f t="shared" si="40"/>
        <v>210</v>
      </c>
      <c r="J355" s="530">
        <f t="shared" si="40"/>
        <v>214</v>
      </c>
    </row>
    <row r="356" spans="1:10" ht="18" customHeight="1">
      <c r="A356" s="534" t="s">
        <v>1226</v>
      </c>
      <c r="B356" s="534" t="s">
        <v>1371</v>
      </c>
      <c r="C356" s="535" t="s">
        <v>784</v>
      </c>
      <c r="D356" s="530">
        <f>VLOOKUP(C356,'급수계통별장래인구(출x)'!$C$5:$D$491,2,FALSE)</f>
        <v>395</v>
      </c>
      <c r="E356" s="518">
        <f t="shared" si="44"/>
        <v>3.0628465087426822E-3</v>
      </c>
      <c r="F356" s="541">
        <f t="shared" si="41"/>
        <v>406</v>
      </c>
      <c r="G356" s="530">
        <f t="shared" si="41"/>
        <v>400</v>
      </c>
      <c r="H356" s="530">
        <f t="shared" si="40"/>
        <v>408</v>
      </c>
      <c r="I356" s="530">
        <f t="shared" si="40"/>
        <v>417</v>
      </c>
      <c r="J356" s="530">
        <f t="shared" si="40"/>
        <v>424</v>
      </c>
    </row>
    <row r="357" spans="1:10" ht="18" customHeight="1">
      <c r="A357" s="534" t="s">
        <v>1226</v>
      </c>
      <c r="B357" s="534" t="s">
        <v>1372</v>
      </c>
      <c r="C357" s="535" t="s">
        <v>785</v>
      </c>
      <c r="D357" s="530">
        <f>VLOOKUP(C357,'급수계통별장래인구(출x)'!$C$5:$D$491,2,FALSE)</f>
        <v>250</v>
      </c>
      <c r="E357" s="518">
        <f t="shared" si="44"/>
        <v>1.9385104485713177E-3</v>
      </c>
      <c r="F357" s="541">
        <f t="shared" si="41"/>
        <v>257</v>
      </c>
      <c r="G357" s="530">
        <f t="shared" si="41"/>
        <v>253</v>
      </c>
      <c r="H357" s="530">
        <f t="shared" si="40"/>
        <v>258</v>
      </c>
      <c r="I357" s="530">
        <f t="shared" si="40"/>
        <v>264</v>
      </c>
      <c r="J357" s="530">
        <f t="shared" si="40"/>
        <v>269</v>
      </c>
    </row>
    <row r="358" spans="1:10" ht="18" customHeight="1">
      <c r="A358" s="534" t="s">
        <v>1226</v>
      </c>
      <c r="B358" s="534" t="s">
        <v>1372</v>
      </c>
      <c r="C358" s="535" t="s">
        <v>786</v>
      </c>
      <c r="D358" s="530">
        <f>VLOOKUP(C358,'급수계통별장래인구(출x)'!$C$5:$D$491,2,FALSE)</f>
        <v>115</v>
      </c>
      <c r="E358" s="518">
        <f t="shared" si="44"/>
        <v>8.9171480634280616E-4</v>
      </c>
      <c r="F358" s="541">
        <f t="shared" si="41"/>
        <v>118</v>
      </c>
      <c r="G358" s="530">
        <f t="shared" si="41"/>
        <v>116</v>
      </c>
      <c r="H358" s="530">
        <f t="shared" si="40"/>
        <v>119</v>
      </c>
      <c r="I358" s="530">
        <f t="shared" si="40"/>
        <v>121</v>
      </c>
      <c r="J358" s="530">
        <f t="shared" si="40"/>
        <v>124</v>
      </c>
    </row>
    <row r="359" spans="1:10" ht="18" customHeight="1">
      <c r="A359" s="534" t="s">
        <v>1226</v>
      </c>
      <c r="B359" s="534" t="s">
        <v>1373</v>
      </c>
      <c r="C359" s="535" t="s">
        <v>787</v>
      </c>
      <c r="D359" s="530">
        <f>VLOOKUP(C359,'급수계통별장래인구(출x)'!$C$5:$D$491,2,FALSE)</f>
        <v>114</v>
      </c>
      <c r="E359" s="518">
        <f t="shared" si="44"/>
        <v>8.8396076454852089E-4</v>
      </c>
      <c r="F359" s="541">
        <f t="shared" si="41"/>
        <v>117</v>
      </c>
      <c r="G359" s="530">
        <f t="shared" si="41"/>
        <v>115</v>
      </c>
      <c r="H359" s="530">
        <f t="shared" si="40"/>
        <v>118</v>
      </c>
      <c r="I359" s="530">
        <f t="shared" si="40"/>
        <v>120</v>
      </c>
      <c r="J359" s="530">
        <f t="shared" si="40"/>
        <v>122</v>
      </c>
    </row>
    <row r="360" spans="1:10" ht="18" customHeight="1">
      <c r="A360" s="534" t="s">
        <v>1226</v>
      </c>
      <c r="B360" s="534" t="s">
        <v>1373</v>
      </c>
      <c r="C360" s="535" t="s">
        <v>788</v>
      </c>
      <c r="D360" s="530">
        <f>VLOOKUP(C360,'급수계통별장래인구(출x)'!$C$5:$D$491,2,FALSE)</f>
        <v>64</v>
      </c>
      <c r="E360" s="518">
        <f t="shared" si="44"/>
        <v>4.9625867483425734E-4</v>
      </c>
      <c r="F360" s="541">
        <f t="shared" si="41"/>
        <v>66</v>
      </c>
      <c r="G360" s="530">
        <f t="shared" si="41"/>
        <v>65</v>
      </c>
      <c r="H360" s="530">
        <f t="shared" si="40"/>
        <v>66</v>
      </c>
      <c r="I360" s="530">
        <f t="shared" si="40"/>
        <v>68</v>
      </c>
      <c r="J360" s="530">
        <f t="shared" si="40"/>
        <v>69</v>
      </c>
    </row>
    <row r="361" spans="1:10" ht="18" customHeight="1">
      <c r="A361" s="534" t="s">
        <v>1226</v>
      </c>
      <c r="B361" s="534" t="s">
        <v>1374</v>
      </c>
      <c r="C361" s="535" t="s">
        <v>789</v>
      </c>
      <c r="D361" s="530">
        <f>VLOOKUP(C361,'급수계통별장래인구(출x)'!$C$5:$D$491,2,FALSE)</f>
        <v>138</v>
      </c>
      <c r="E361" s="518">
        <f t="shared" si="44"/>
        <v>1.0700577676113674E-3</v>
      </c>
      <c r="F361" s="541">
        <f t="shared" si="41"/>
        <v>142</v>
      </c>
      <c r="G361" s="530">
        <f t="shared" si="41"/>
        <v>140</v>
      </c>
      <c r="H361" s="530">
        <f t="shared" si="40"/>
        <v>143</v>
      </c>
      <c r="I361" s="530">
        <f t="shared" si="40"/>
        <v>146</v>
      </c>
      <c r="J361" s="530">
        <f t="shared" si="40"/>
        <v>148</v>
      </c>
    </row>
    <row r="362" spans="1:10" ht="18" customHeight="1">
      <c r="A362" s="534" t="s">
        <v>1226</v>
      </c>
      <c r="B362" s="534" t="s">
        <v>1374</v>
      </c>
      <c r="C362" s="535" t="s">
        <v>790</v>
      </c>
      <c r="D362" s="530">
        <f>VLOOKUP(C362,'급수계통별장래인구(출x)'!$C$5:$D$491,2,FALSE)</f>
        <v>42</v>
      </c>
      <c r="E362" s="518">
        <f t="shared" si="44"/>
        <v>3.2566975535998138E-4</v>
      </c>
      <c r="F362" s="541">
        <f t="shared" si="41"/>
        <v>43</v>
      </c>
      <c r="G362" s="530">
        <f t="shared" si="41"/>
        <v>42</v>
      </c>
      <c r="H362" s="530">
        <f t="shared" si="40"/>
        <v>43</v>
      </c>
      <c r="I362" s="530">
        <f t="shared" si="40"/>
        <v>44</v>
      </c>
      <c r="J362" s="530">
        <f t="shared" si="40"/>
        <v>45</v>
      </c>
    </row>
    <row r="363" spans="1:10" ht="18" customHeight="1">
      <c r="A363" s="534" t="s">
        <v>1226</v>
      </c>
      <c r="B363" s="534" t="s">
        <v>1375</v>
      </c>
      <c r="C363" s="535" t="s">
        <v>791</v>
      </c>
      <c r="D363" s="530">
        <f>VLOOKUP(C363,'급수계통별장래인구(출x)'!$C$5:$D$491,2,FALSE)</f>
        <v>191</v>
      </c>
      <c r="E363" s="518">
        <f t="shared" si="44"/>
        <v>1.4810219827084868E-3</v>
      </c>
      <c r="F363" s="541">
        <f t="shared" si="41"/>
        <v>196</v>
      </c>
      <c r="G363" s="530">
        <f t="shared" si="41"/>
        <v>193</v>
      </c>
      <c r="H363" s="530">
        <f t="shared" si="40"/>
        <v>197</v>
      </c>
      <c r="I363" s="530">
        <f t="shared" si="40"/>
        <v>202</v>
      </c>
      <c r="J363" s="530">
        <f t="shared" si="40"/>
        <v>205</v>
      </c>
    </row>
    <row r="364" spans="1:10" ht="18" customHeight="1">
      <c r="A364" s="534" t="s">
        <v>1226</v>
      </c>
      <c r="B364" s="534" t="s">
        <v>1375</v>
      </c>
      <c r="C364" s="535" t="s">
        <v>792</v>
      </c>
      <c r="D364" s="530">
        <f>VLOOKUP(C364,'급수계통별장래인구(출x)'!$C$5:$D$491,2,FALSE)</f>
        <v>180</v>
      </c>
      <c r="E364" s="518">
        <f t="shared" si="44"/>
        <v>1.3957275229713488E-3</v>
      </c>
      <c r="F364" s="541">
        <f t="shared" si="41"/>
        <v>185</v>
      </c>
      <c r="G364" s="530">
        <f t="shared" si="41"/>
        <v>182</v>
      </c>
      <c r="H364" s="530">
        <f t="shared" si="40"/>
        <v>186</v>
      </c>
      <c r="I364" s="530">
        <f t="shared" si="40"/>
        <v>190</v>
      </c>
      <c r="J364" s="530">
        <f t="shared" si="40"/>
        <v>193</v>
      </c>
    </row>
    <row r="365" spans="1:10" ht="18" customHeight="1">
      <c r="A365" s="534" t="s">
        <v>1226</v>
      </c>
      <c r="B365" s="534" t="s">
        <v>1376</v>
      </c>
      <c r="C365" s="535" t="s">
        <v>793</v>
      </c>
      <c r="D365" s="530">
        <f>VLOOKUP(C365,'급수계통별장래인구(출x)'!$C$5:$D$491,2,FALSE)</f>
        <v>87</v>
      </c>
      <c r="E365" s="518">
        <f t="shared" si="44"/>
        <v>6.7460163610281857E-4</v>
      </c>
      <c r="F365" s="541">
        <f t="shared" si="41"/>
        <v>89</v>
      </c>
      <c r="G365" s="530">
        <f t="shared" si="41"/>
        <v>88</v>
      </c>
      <c r="H365" s="530">
        <f t="shared" si="40"/>
        <v>90</v>
      </c>
      <c r="I365" s="530">
        <f t="shared" si="40"/>
        <v>92</v>
      </c>
      <c r="J365" s="530">
        <f t="shared" si="40"/>
        <v>93</v>
      </c>
    </row>
    <row r="366" spans="1:10" ht="18" customHeight="1">
      <c r="A366" s="534" t="s">
        <v>1226</v>
      </c>
      <c r="B366" s="534" t="s">
        <v>1376</v>
      </c>
      <c r="C366" s="535" t="s">
        <v>794</v>
      </c>
      <c r="D366" s="530">
        <f>VLOOKUP(C366,'급수계통별장래인구(출x)'!$C$5:$D$491,2,FALSE)</f>
        <v>122</v>
      </c>
      <c r="E366" s="518">
        <f t="shared" si="44"/>
        <v>9.4599309890280306E-4</v>
      </c>
      <c r="F366" s="541">
        <f t="shared" si="41"/>
        <v>125</v>
      </c>
      <c r="G366" s="530">
        <f t="shared" si="41"/>
        <v>123</v>
      </c>
      <c r="H366" s="530">
        <f t="shared" si="40"/>
        <v>126</v>
      </c>
      <c r="I366" s="530">
        <f t="shared" si="40"/>
        <v>129</v>
      </c>
      <c r="J366" s="530">
        <f t="shared" si="40"/>
        <v>131</v>
      </c>
    </row>
    <row r="367" spans="1:10" ht="18" customHeight="1">
      <c r="A367" s="534" t="s">
        <v>1226</v>
      </c>
      <c r="B367" s="534" t="s">
        <v>1377</v>
      </c>
      <c r="C367" s="535" t="s">
        <v>795</v>
      </c>
      <c r="D367" s="530">
        <f>VLOOKUP(C367,'급수계통별장래인구(출x)'!$C$5:$D$491,2,FALSE)</f>
        <v>44</v>
      </c>
      <c r="E367" s="518">
        <f t="shared" si="44"/>
        <v>3.4117783894855192E-4</v>
      </c>
      <c r="F367" s="541">
        <f t="shared" si="41"/>
        <v>45</v>
      </c>
      <c r="G367" s="530">
        <f t="shared" si="41"/>
        <v>45</v>
      </c>
      <c r="H367" s="530">
        <f t="shared" si="40"/>
        <v>45</v>
      </c>
      <c r="I367" s="530">
        <f t="shared" si="40"/>
        <v>46</v>
      </c>
      <c r="J367" s="530">
        <f t="shared" si="40"/>
        <v>47</v>
      </c>
    </row>
    <row r="368" spans="1:10" ht="18" customHeight="1">
      <c r="A368" s="534" t="s">
        <v>1226</v>
      </c>
      <c r="B368" s="534" t="s">
        <v>1378</v>
      </c>
      <c r="C368" s="536" t="s">
        <v>796</v>
      </c>
      <c r="D368" s="530">
        <f>VLOOKUP(C368,'급수계통별장래인구(출x)'!$C$5:$D$491,2,FALSE)</f>
        <v>157</v>
      </c>
      <c r="E368" s="518">
        <f t="shared" si="44"/>
        <v>1.2173845617027875E-3</v>
      </c>
      <c r="F368" s="541">
        <f t="shared" si="41"/>
        <v>161</v>
      </c>
      <c r="G368" s="530">
        <f t="shared" si="41"/>
        <v>159</v>
      </c>
      <c r="H368" s="530">
        <f t="shared" si="40"/>
        <v>162</v>
      </c>
      <c r="I368" s="530">
        <f t="shared" si="40"/>
        <v>166</v>
      </c>
      <c r="J368" s="530">
        <f t="shared" si="40"/>
        <v>169</v>
      </c>
    </row>
    <row r="369" spans="1:10" ht="18" customHeight="1">
      <c r="A369" s="534" t="s">
        <v>1379</v>
      </c>
      <c r="B369" s="534" t="s">
        <v>1380</v>
      </c>
      <c r="C369" s="536" t="s">
        <v>797</v>
      </c>
      <c r="D369" s="530">
        <f>VLOOKUP(C369,'급수계통별장래인구(출x)'!$C$5:$D$491,2,FALSE)</f>
        <v>198</v>
      </c>
      <c r="E369" s="518">
        <f t="shared" si="44"/>
        <v>1.5353002752684836E-3</v>
      </c>
      <c r="F369" s="541">
        <f t="shared" si="41"/>
        <v>203</v>
      </c>
      <c r="G369" s="530">
        <f t="shared" si="41"/>
        <v>200</v>
      </c>
      <c r="H369" s="530">
        <f t="shared" si="40"/>
        <v>205</v>
      </c>
      <c r="I369" s="530">
        <f t="shared" si="40"/>
        <v>209</v>
      </c>
      <c r="J369" s="530">
        <f t="shared" si="40"/>
        <v>213</v>
      </c>
    </row>
    <row r="370" spans="1:10" ht="18" customHeight="1">
      <c r="A370" s="534" t="s">
        <v>1381</v>
      </c>
      <c r="B370" s="534" t="s">
        <v>1382</v>
      </c>
      <c r="C370" s="535" t="s">
        <v>798</v>
      </c>
      <c r="D370" s="530">
        <f>VLOOKUP(C370,'급수계통별장래인구(출x)'!$C$5:$D$491,2,FALSE)</f>
        <v>163</v>
      </c>
      <c r="E370" s="518">
        <f t="shared" si="44"/>
        <v>1.2639088124684992E-3</v>
      </c>
      <c r="F370" s="541">
        <f t="shared" si="41"/>
        <v>167</v>
      </c>
      <c r="G370" s="530">
        <f t="shared" si="41"/>
        <v>165</v>
      </c>
      <c r="H370" s="530">
        <f t="shared" si="40"/>
        <v>168</v>
      </c>
      <c r="I370" s="530">
        <f t="shared" si="40"/>
        <v>172</v>
      </c>
      <c r="J370" s="530">
        <f t="shared" si="40"/>
        <v>175</v>
      </c>
    </row>
    <row r="371" spans="1:10" ht="18" customHeight="1">
      <c r="A371" s="534" t="s">
        <v>1381</v>
      </c>
      <c r="B371" s="534" t="s">
        <v>1382</v>
      </c>
      <c r="C371" s="535" t="s">
        <v>799</v>
      </c>
      <c r="D371" s="530">
        <f>VLOOKUP(C371,'급수계통별장래인구(출x)'!$C$5:$D$491,2,FALSE)</f>
        <v>99</v>
      </c>
      <c r="E371" s="518">
        <f t="shared" si="44"/>
        <v>7.6765013763424182E-4</v>
      </c>
      <c r="F371" s="541">
        <f t="shared" si="41"/>
        <v>102</v>
      </c>
      <c r="G371" s="530">
        <f t="shared" si="41"/>
        <v>100</v>
      </c>
      <c r="H371" s="530">
        <f t="shared" si="40"/>
        <v>102</v>
      </c>
      <c r="I371" s="530">
        <f t="shared" si="40"/>
        <v>105</v>
      </c>
      <c r="J371" s="530">
        <f t="shared" si="40"/>
        <v>106</v>
      </c>
    </row>
    <row r="372" spans="1:10" ht="18" customHeight="1">
      <c r="A372" s="534" t="s">
        <v>1381</v>
      </c>
      <c r="B372" s="534" t="s">
        <v>1382</v>
      </c>
      <c r="C372" s="535" t="s">
        <v>800</v>
      </c>
      <c r="D372" s="530">
        <f>VLOOKUP(C372,'급수계통별장래인구(출x)'!$C$5:$D$491,2,FALSE)</f>
        <v>160</v>
      </c>
      <c r="E372" s="518">
        <f t="shared" si="44"/>
        <v>1.2406466870856434E-3</v>
      </c>
      <c r="F372" s="541">
        <f t="shared" si="41"/>
        <v>164</v>
      </c>
      <c r="G372" s="530">
        <f t="shared" si="41"/>
        <v>162</v>
      </c>
      <c r="H372" s="530">
        <f t="shared" si="40"/>
        <v>165</v>
      </c>
      <c r="I372" s="530">
        <f t="shared" si="40"/>
        <v>169</v>
      </c>
      <c r="J372" s="530">
        <f t="shared" si="40"/>
        <v>172</v>
      </c>
    </row>
    <row r="373" spans="1:10" ht="18" customHeight="1">
      <c r="A373" s="534" t="s">
        <v>1381</v>
      </c>
      <c r="B373" s="534" t="s">
        <v>1383</v>
      </c>
      <c r="C373" s="535" t="s">
        <v>801</v>
      </c>
      <c r="D373" s="530">
        <f>VLOOKUP(C373,'급수계통별장래인구(출x)'!$C$5:$D$491,2,FALSE)</f>
        <v>119</v>
      </c>
      <c r="E373" s="518">
        <f t="shared" si="44"/>
        <v>9.2273097351994724E-4</v>
      </c>
      <c r="F373" s="541">
        <f t="shared" si="41"/>
        <v>122</v>
      </c>
      <c r="G373" s="530">
        <f t="shared" si="41"/>
        <v>120</v>
      </c>
      <c r="H373" s="530">
        <f t="shared" si="40"/>
        <v>123</v>
      </c>
      <c r="I373" s="530">
        <f t="shared" si="40"/>
        <v>126</v>
      </c>
      <c r="J373" s="530">
        <f t="shared" si="40"/>
        <v>128</v>
      </c>
    </row>
    <row r="374" spans="1:10" ht="18" customHeight="1">
      <c r="A374" s="534" t="s">
        <v>1381</v>
      </c>
      <c r="B374" s="534" t="s">
        <v>1383</v>
      </c>
      <c r="C374" s="535" t="s">
        <v>802</v>
      </c>
      <c r="D374" s="530">
        <f>VLOOKUP(C374,'급수계통별장래인구(출x)'!$C$5:$D$491,2,FALSE)</f>
        <v>123</v>
      </c>
      <c r="E374" s="518">
        <f t="shared" si="44"/>
        <v>9.5374714069708833E-4</v>
      </c>
      <c r="F374" s="541">
        <f t="shared" si="41"/>
        <v>126</v>
      </c>
      <c r="G374" s="530">
        <f t="shared" si="41"/>
        <v>124</v>
      </c>
      <c r="H374" s="530">
        <f t="shared" si="40"/>
        <v>127</v>
      </c>
      <c r="I374" s="530">
        <f t="shared" si="40"/>
        <v>130</v>
      </c>
      <c r="J374" s="530">
        <f t="shared" si="40"/>
        <v>132</v>
      </c>
    </row>
    <row r="375" spans="1:10" ht="18" customHeight="1">
      <c r="A375" s="534" t="s">
        <v>1381</v>
      </c>
      <c r="B375" s="534" t="s">
        <v>1384</v>
      </c>
      <c r="C375" s="535" t="s">
        <v>803</v>
      </c>
      <c r="D375" s="530">
        <f>VLOOKUP(C375,'급수계통별장래인구(출x)'!$C$5:$D$491,2,FALSE)</f>
        <v>165</v>
      </c>
      <c r="E375" s="518">
        <f t="shared" si="44"/>
        <v>1.2794168960570697E-3</v>
      </c>
      <c r="F375" s="541">
        <f t="shared" si="41"/>
        <v>169</v>
      </c>
      <c r="G375" s="530">
        <f t="shared" si="41"/>
        <v>167</v>
      </c>
      <c r="H375" s="530">
        <f t="shared" si="40"/>
        <v>170</v>
      </c>
      <c r="I375" s="530">
        <f t="shared" si="40"/>
        <v>174</v>
      </c>
      <c r="J375" s="530">
        <f t="shared" si="40"/>
        <v>177</v>
      </c>
    </row>
    <row r="376" spans="1:10" ht="18" customHeight="1">
      <c r="A376" s="534" t="s">
        <v>1381</v>
      </c>
      <c r="B376" s="534" t="s">
        <v>1384</v>
      </c>
      <c r="C376" s="535" t="s">
        <v>804</v>
      </c>
      <c r="D376" s="530">
        <f>VLOOKUP(C376,'급수계통별장래인구(출x)'!$C$5:$D$491,2,FALSE)</f>
        <v>247</v>
      </c>
      <c r="E376" s="518">
        <f t="shared" si="44"/>
        <v>1.9152483231884619E-3</v>
      </c>
      <c r="F376" s="541">
        <f t="shared" si="41"/>
        <v>254</v>
      </c>
      <c r="G376" s="530">
        <f t="shared" si="41"/>
        <v>250</v>
      </c>
      <c r="H376" s="530">
        <f t="shared" si="40"/>
        <v>255</v>
      </c>
      <c r="I376" s="530">
        <f t="shared" si="40"/>
        <v>261</v>
      </c>
      <c r="J376" s="530">
        <f t="shared" si="40"/>
        <v>265</v>
      </c>
    </row>
    <row r="377" spans="1:10" ht="18" customHeight="1">
      <c r="A377" s="534" t="s">
        <v>1381</v>
      </c>
      <c r="B377" s="534" t="s">
        <v>1384</v>
      </c>
      <c r="C377" s="535" t="s">
        <v>805</v>
      </c>
      <c r="D377" s="530">
        <f>VLOOKUP(C377,'급수계통별장래인구(출x)'!$C$5:$D$491,2,FALSE)</f>
        <v>96</v>
      </c>
      <c r="E377" s="518">
        <f t="shared" si="44"/>
        <v>7.4438801225138601E-4</v>
      </c>
      <c r="F377" s="541">
        <f t="shared" si="41"/>
        <v>99</v>
      </c>
      <c r="G377" s="530">
        <f t="shared" si="41"/>
        <v>97</v>
      </c>
      <c r="H377" s="530">
        <f t="shared" si="40"/>
        <v>99</v>
      </c>
      <c r="I377" s="530">
        <f t="shared" si="40"/>
        <v>101</v>
      </c>
      <c r="J377" s="530">
        <f t="shared" si="40"/>
        <v>103</v>
      </c>
    </row>
    <row r="378" spans="1:10" ht="18" customHeight="1">
      <c r="A378" s="534" t="s">
        <v>1381</v>
      </c>
      <c r="B378" s="534" t="s">
        <v>1385</v>
      </c>
      <c r="C378" s="535" t="s">
        <v>806</v>
      </c>
      <c r="D378" s="530">
        <f>VLOOKUP(C378,'급수계통별장래인구(출x)'!$C$5:$D$491,2,FALSE)</f>
        <v>220</v>
      </c>
      <c r="E378" s="518">
        <f t="shared" si="44"/>
        <v>1.7058891947427596E-3</v>
      </c>
      <c r="F378" s="541">
        <f t="shared" si="41"/>
        <v>226</v>
      </c>
      <c r="G378" s="530">
        <f t="shared" si="41"/>
        <v>223</v>
      </c>
      <c r="H378" s="530">
        <f t="shared" si="40"/>
        <v>227</v>
      </c>
      <c r="I378" s="530">
        <f t="shared" si="40"/>
        <v>232</v>
      </c>
      <c r="J378" s="530">
        <f t="shared" si="40"/>
        <v>236</v>
      </c>
    </row>
    <row r="379" spans="1:10" ht="18" customHeight="1">
      <c r="A379" s="534" t="s">
        <v>1381</v>
      </c>
      <c r="B379" s="534" t="s">
        <v>1385</v>
      </c>
      <c r="C379" s="535" t="s">
        <v>807</v>
      </c>
      <c r="D379" s="530">
        <f>VLOOKUP(C379,'급수계통별장래인구(출x)'!$C$5:$D$491,2,FALSE)</f>
        <v>112</v>
      </c>
      <c r="E379" s="518">
        <f t="shared" si="44"/>
        <v>8.6845268095995035E-4</v>
      </c>
      <c r="F379" s="541">
        <f t="shared" si="41"/>
        <v>115</v>
      </c>
      <c r="G379" s="530">
        <f t="shared" si="41"/>
        <v>113</v>
      </c>
      <c r="H379" s="530">
        <f t="shared" si="41"/>
        <v>116</v>
      </c>
      <c r="I379" s="530">
        <f t="shared" si="41"/>
        <v>118</v>
      </c>
      <c r="J379" s="530">
        <f t="shared" si="41"/>
        <v>120</v>
      </c>
    </row>
    <row r="380" spans="1:10" ht="18" customHeight="1">
      <c r="A380" s="534" t="s">
        <v>1381</v>
      </c>
      <c r="B380" s="534" t="s">
        <v>1386</v>
      </c>
      <c r="C380" s="535" t="s">
        <v>808</v>
      </c>
      <c r="D380" s="530">
        <f>VLOOKUP(C380,'급수계통별장래인구(출x)'!$C$5:$D$491,2,FALSE)</f>
        <v>186</v>
      </c>
      <c r="E380" s="518">
        <f t="shared" si="44"/>
        <v>1.4422517737370604E-3</v>
      </c>
      <c r="F380" s="541">
        <f t="shared" ref="F380:J411" si="45">ROUND($E380*F$3,0)</f>
        <v>191</v>
      </c>
      <c r="G380" s="530">
        <f t="shared" si="45"/>
        <v>188</v>
      </c>
      <c r="H380" s="530">
        <f t="shared" si="45"/>
        <v>192</v>
      </c>
      <c r="I380" s="530">
        <f t="shared" si="45"/>
        <v>196</v>
      </c>
      <c r="J380" s="530">
        <f t="shared" si="45"/>
        <v>200</v>
      </c>
    </row>
    <row r="381" spans="1:10" ht="18" customHeight="1">
      <c r="A381" s="534" t="s">
        <v>1381</v>
      </c>
      <c r="B381" s="534" t="s">
        <v>1386</v>
      </c>
      <c r="C381" s="535" t="s">
        <v>809</v>
      </c>
      <c r="D381" s="530">
        <f>VLOOKUP(C381,'급수계통별장래인구(출x)'!$C$5:$D$491,2,FALSE)</f>
        <v>186</v>
      </c>
      <c r="E381" s="518">
        <f t="shared" si="44"/>
        <v>1.4422517737370604E-3</v>
      </c>
      <c r="F381" s="541">
        <f t="shared" si="45"/>
        <v>191</v>
      </c>
      <c r="G381" s="530">
        <f t="shared" si="45"/>
        <v>188</v>
      </c>
      <c r="H381" s="530">
        <f t="shared" si="45"/>
        <v>192</v>
      </c>
      <c r="I381" s="530">
        <f t="shared" si="45"/>
        <v>196</v>
      </c>
      <c r="J381" s="530">
        <f t="shared" si="45"/>
        <v>200</v>
      </c>
    </row>
    <row r="382" spans="1:10" ht="18" customHeight="1">
      <c r="A382" s="534" t="s">
        <v>1381</v>
      </c>
      <c r="B382" s="535" t="s">
        <v>1413</v>
      </c>
      <c r="C382" s="535" t="s">
        <v>810</v>
      </c>
      <c r="D382" s="530">
        <f>VLOOKUP(C382,'급수계통별장래인구(출x)'!$C$5:$D$491,2,FALSE)</f>
        <v>123</v>
      </c>
      <c r="E382" s="518">
        <f t="shared" si="44"/>
        <v>9.5374714069708833E-4</v>
      </c>
      <c r="F382" s="541">
        <f t="shared" si="45"/>
        <v>126</v>
      </c>
      <c r="G382" s="530">
        <f t="shared" si="45"/>
        <v>124</v>
      </c>
      <c r="H382" s="530">
        <f t="shared" si="45"/>
        <v>127</v>
      </c>
      <c r="I382" s="530">
        <f t="shared" si="45"/>
        <v>130</v>
      </c>
      <c r="J382" s="530">
        <f t="shared" si="45"/>
        <v>132</v>
      </c>
    </row>
    <row r="383" spans="1:10" ht="18" customHeight="1">
      <c r="A383" s="537" t="s">
        <v>1227</v>
      </c>
      <c r="B383" s="577" t="s">
        <v>1232</v>
      </c>
      <c r="C383" s="577"/>
      <c r="D383" s="538">
        <f>SUM(D384:D411)</f>
        <v>5431</v>
      </c>
      <c r="E383" s="538"/>
      <c r="F383" s="538">
        <f t="shared" ref="F383" si="46">SUM(F384:F411)</f>
        <v>5577</v>
      </c>
      <c r="G383" s="538">
        <f t="shared" ref="G383:J383" si="47">SUM(G384:G411)</f>
        <v>5494</v>
      </c>
      <c r="H383" s="538">
        <f t="shared" si="47"/>
        <v>5609</v>
      </c>
      <c r="I383" s="538">
        <f t="shared" si="47"/>
        <v>5735</v>
      </c>
      <c r="J383" s="538">
        <f t="shared" si="47"/>
        <v>5834</v>
      </c>
    </row>
    <row r="384" spans="1:10" ht="18" customHeight="1">
      <c r="A384" s="534" t="s">
        <v>1227</v>
      </c>
      <c r="B384" s="534" t="s">
        <v>1387</v>
      </c>
      <c r="C384" s="535" t="s">
        <v>762</v>
      </c>
      <c r="D384" s="530">
        <f>VLOOKUP(C384,'급수계통별장래인구(출x)'!$C$5:$D$491,2,FALSE)</f>
        <v>228</v>
      </c>
      <c r="E384" s="518">
        <f t="shared" ref="E384:E411" si="48">D384/$D$3</f>
        <v>1.7679215290970418E-3</v>
      </c>
      <c r="F384" s="541">
        <f t="shared" si="45"/>
        <v>234</v>
      </c>
      <c r="G384" s="530">
        <f t="shared" si="45"/>
        <v>231</v>
      </c>
      <c r="H384" s="530">
        <f t="shared" si="45"/>
        <v>235</v>
      </c>
      <c r="I384" s="530">
        <f t="shared" si="45"/>
        <v>241</v>
      </c>
      <c r="J384" s="530">
        <f t="shared" si="45"/>
        <v>245</v>
      </c>
    </row>
    <row r="385" spans="1:10" ht="18" customHeight="1">
      <c r="A385" s="534" t="s">
        <v>1227</v>
      </c>
      <c r="B385" s="534" t="s">
        <v>1387</v>
      </c>
      <c r="C385" s="535" t="s">
        <v>763</v>
      </c>
      <c r="D385" s="530">
        <f>VLOOKUP(C385,'급수계통별장래인구(출x)'!$C$5:$D$491,2,FALSE)</f>
        <v>190</v>
      </c>
      <c r="E385" s="518">
        <f t="shared" si="48"/>
        <v>1.4732679409142015E-3</v>
      </c>
      <c r="F385" s="541">
        <f t="shared" si="45"/>
        <v>195</v>
      </c>
      <c r="G385" s="530">
        <f t="shared" si="45"/>
        <v>192</v>
      </c>
      <c r="H385" s="530">
        <f t="shared" si="45"/>
        <v>196</v>
      </c>
      <c r="I385" s="530">
        <f t="shared" si="45"/>
        <v>201</v>
      </c>
      <c r="J385" s="530">
        <f t="shared" si="45"/>
        <v>204</v>
      </c>
    </row>
    <row r="386" spans="1:10" ht="18" customHeight="1">
      <c r="A386" s="534" t="s">
        <v>1227</v>
      </c>
      <c r="B386" s="534" t="s">
        <v>1387</v>
      </c>
      <c r="C386" s="535" t="s">
        <v>764</v>
      </c>
      <c r="D386" s="530">
        <f>VLOOKUP(C386,'급수계통별장래인구(출x)'!$C$5:$D$491,2,FALSE)</f>
        <v>109</v>
      </c>
      <c r="E386" s="518">
        <f t="shared" si="48"/>
        <v>8.4519055557709453E-4</v>
      </c>
      <c r="F386" s="541">
        <f t="shared" si="45"/>
        <v>112</v>
      </c>
      <c r="G386" s="530">
        <f t="shared" si="45"/>
        <v>110</v>
      </c>
      <c r="H386" s="530">
        <f t="shared" si="45"/>
        <v>113</v>
      </c>
      <c r="I386" s="530">
        <f t="shared" si="45"/>
        <v>115</v>
      </c>
      <c r="J386" s="530">
        <f t="shared" si="45"/>
        <v>117</v>
      </c>
    </row>
    <row r="387" spans="1:10" ht="18" customHeight="1">
      <c r="A387" s="534" t="s">
        <v>1227</v>
      </c>
      <c r="B387" s="534" t="s">
        <v>1388</v>
      </c>
      <c r="C387" s="535" t="s">
        <v>1177</v>
      </c>
      <c r="D387" s="530">
        <f>VLOOKUP(C387,'급수계통별장래인구(출x)'!$C$5:$D$491,2,FALSE)</f>
        <v>113</v>
      </c>
      <c r="E387" s="518">
        <f t="shared" si="48"/>
        <v>8.7620672275423562E-4</v>
      </c>
      <c r="F387" s="541">
        <f t="shared" si="45"/>
        <v>116</v>
      </c>
      <c r="G387" s="530">
        <f t="shared" si="45"/>
        <v>114</v>
      </c>
      <c r="H387" s="530">
        <f t="shared" si="45"/>
        <v>117</v>
      </c>
      <c r="I387" s="530">
        <f t="shared" si="45"/>
        <v>119</v>
      </c>
      <c r="J387" s="530">
        <f t="shared" si="45"/>
        <v>121</v>
      </c>
    </row>
    <row r="388" spans="1:10" ht="18" customHeight="1">
      <c r="A388" s="534" t="s">
        <v>1227</v>
      </c>
      <c r="B388" s="534" t="s">
        <v>1388</v>
      </c>
      <c r="C388" s="535" t="s">
        <v>1178</v>
      </c>
      <c r="D388" s="530">
        <f>VLOOKUP(C388,'급수계통별장래인구(출x)'!$C$5:$D$491,2,FALSE)</f>
        <v>90</v>
      </c>
      <c r="E388" s="518">
        <f t="shared" si="48"/>
        <v>6.9786376148567439E-4</v>
      </c>
      <c r="F388" s="541">
        <f t="shared" si="45"/>
        <v>92</v>
      </c>
      <c r="G388" s="530">
        <f t="shared" si="45"/>
        <v>91</v>
      </c>
      <c r="H388" s="530">
        <f t="shared" si="45"/>
        <v>93</v>
      </c>
      <c r="I388" s="530">
        <f t="shared" si="45"/>
        <v>95</v>
      </c>
      <c r="J388" s="530">
        <f t="shared" si="45"/>
        <v>97</v>
      </c>
    </row>
    <row r="389" spans="1:10" ht="18" customHeight="1">
      <c r="A389" s="534" t="s">
        <v>1227</v>
      </c>
      <c r="B389" s="534" t="s">
        <v>1388</v>
      </c>
      <c r="C389" s="535" t="s">
        <v>1179</v>
      </c>
      <c r="D389" s="530">
        <f>VLOOKUP(C389,'급수계통별장래인구(출x)'!$C$5:$D$491,2,FALSE)</f>
        <v>152</v>
      </c>
      <c r="E389" s="518">
        <f t="shared" si="48"/>
        <v>1.1786143527313612E-3</v>
      </c>
      <c r="F389" s="541">
        <f t="shared" si="45"/>
        <v>156</v>
      </c>
      <c r="G389" s="530">
        <f t="shared" si="45"/>
        <v>154</v>
      </c>
      <c r="H389" s="530">
        <f t="shared" si="45"/>
        <v>157</v>
      </c>
      <c r="I389" s="530">
        <f t="shared" si="45"/>
        <v>161</v>
      </c>
      <c r="J389" s="530">
        <f t="shared" si="45"/>
        <v>163</v>
      </c>
    </row>
    <row r="390" spans="1:10" ht="18" customHeight="1">
      <c r="A390" s="534" t="s">
        <v>1227</v>
      </c>
      <c r="B390" s="534" t="s">
        <v>1388</v>
      </c>
      <c r="C390" s="535" t="s">
        <v>1180</v>
      </c>
      <c r="D390" s="530">
        <f>VLOOKUP(C390,'급수계통별장래인구(출x)'!$C$5:$D$491,2,FALSE)</f>
        <v>119</v>
      </c>
      <c r="E390" s="518">
        <f t="shared" si="48"/>
        <v>9.2273097351994724E-4</v>
      </c>
      <c r="F390" s="541">
        <f t="shared" si="45"/>
        <v>122</v>
      </c>
      <c r="G390" s="530">
        <f t="shared" si="45"/>
        <v>120</v>
      </c>
      <c r="H390" s="530">
        <f t="shared" si="45"/>
        <v>123</v>
      </c>
      <c r="I390" s="530">
        <f t="shared" si="45"/>
        <v>126</v>
      </c>
      <c r="J390" s="530">
        <f t="shared" si="45"/>
        <v>128</v>
      </c>
    </row>
    <row r="391" spans="1:10" ht="18" customHeight="1">
      <c r="A391" s="534" t="s">
        <v>1227</v>
      </c>
      <c r="B391" s="534" t="s">
        <v>1389</v>
      </c>
      <c r="C391" s="535" t="s">
        <v>765</v>
      </c>
      <c r="D391" s="530">
        <f>VLOOKUP(C391,'급수계통별장래인구(출x)'!$C$5:$D$491,2,FALSE)</f>
        <v>271</v>
      </c>
      <c r="E391" s="518">
        <f t="shared" si="48"/>
        <v>2.1013453262513086E-3</v>
      </c>
      <c r="F391" s="541">
        <f t="shared" si="45"/>
        <v>278</v>
      </c>
      <c r="G391" s="530">
        <f t="shared" si="45"/>
        <v>274</v>
      </c>
      <c r="H391" s="530">
        <f t="shared" si="45"/>
        <v>280</v>
      </c>
      <c r="I391" s="530">
        <f t="shared" si="45"/>
        <v>286</v>
      </c>
      <c r="J391" s="530">
        <f t="shared" si="45"/>
        <v>291</v>
      </c>
    </row>
    <row r="392" spans="1:10" ht="18" customHeight="1">
      <c r="A392" s="534" t="s">
        <v>1227</v>
      </c>
      <c r="B392" s="534" t="s">
        <v>1389</v>
      </c>
      <c r="C392" s="535" t="s">
        <v>766</v>
      </c>
      <c r="D392" s="530">
        <f>VLOOKUP(C392,'급수계통별장래인구(출x)'!$C$5:$D$491,2,FALSE)</f>
        <v>71</v>
      </c>
      <c r="E392" s="518">
        <f t="shared" si="48"/>
        <v>5.5053696739425424E-4</v>
      </c>
      <c r="F392" s="541">
        <f t="shared" si="45"/>
        <v>73</v>
      </c>
      <c r="G392" s="530">
        <f t="shared" si="45"/>
        <v>72</v>
      </c>
      <c r="H392" s="530">
        <f t="shared" si="45"/>
        <v>73</v>
      </c>
      <c r="I392" s="530">
        <f t="shared" si="45"/>
        <v>75</v>
      </c>
      <c r="J392" s="530">
        <f t="shared" si="45"/>
        <v>76</v>
      </c>
    </row>
    <row r="393" spans="1:10" ht="18" customHeight="1">
      <c r="A393" s="534" t="s">
        <v>1227</v>
      </c>
      <c r="B393" s="534" t="s">
        <v>1389</v>
      </c>
      <c r="C393" s="535" t="s">
        <v>767</v>
      </c>
      <c r="D393" s="530">
        <f>VLOOKUP(C393,'급수계통별장래인구(출x)'!$C$5:$D$491,2,FALSE)</f>
        <v>62</v>
      </c>
      <c r="E393" s="518">
        <f t="shared" si="48"/>
        <v>4.807505912456868E-4</v>
      </c>
      <c r="F393" s="541">
        <f t="shared" si="45"/>
        <v>64</v>
      </c>
      <c r="G393" s="530">
        <f t="shared" si="45"/>
        <v>63</v>
      </c>
      <c r="H393" s="530">
        <f t="shared" si="45"/>
        <v>64</v>
      </c>
      <c r="I393" s="530">
        <f t="shared" si="45"/>
        <v>65</v>
      </c>
      <c r="J393" s="530">
        <f t="shared" si="45"/>
        <v>67</v>
      </c>
    </row>
    <row r="394" spans="1:10" ht="18" customHeight="1">
      <c r="A394" s="534" t="s">
        <v>1227</v>
      </c>
      <c r="B394" s="534" t="s">
        <v>1390</v>
      </c>
      <c r="C394" s="535" t="s">
        <v>768</v>
      </c>
      <c r="D394" s="530">
        <f>VLOOKUP(C394,'급수계통별장래인구(출x)'!$C$5:$D$491,2,FALSE)</f>
        <v>144</v>
      </c>
      <c r="E394" s="518">
        <f t="shared" si="48"/>
        <v>1.116582018377079E-3</v>
      </c>
      <c r="F394" s="541">
        <f t="shared" si="45"/>
        <v>148</v>
      </c>
      <c r="G394" s="530">
        <f t="shared" si="45"/>
        <v>146</v>
      </c>
      <c r="H394" s="530">
        <f t="shared" si="45"/>
        <v>149</v>
      </c>
      <c r="I394" s="530">
        <f t="shared" si="45"/>
        <v>152</v>
      </c>
      <c r="J394" s="530">
        <f t="shared" si="45"/>
        <v>155</v>
      </c>
    </row>
    <row r="395" spans="1:10" ht="18" customHeight="1">
      <c r="A395" s="534" t="s">
        <v>1227</v>
      </c>
      <c r="B395" s="534" t="s">
        <v>1390</v>
      </c>
      <c r="C395" s="535" t="s">
        <v>769</v>
      </c>
      <c r="D395" s="530">
        <f>VLOOKUP(C395,'급수계통별장래인구(출x)'!$C$5:$D$491,2,FALSE)</f>
        <v>90</v>
      </c>
      <c r="E395" s="518">
        <f t="shared" si="48"/>
        <v>6.9786376148567439E-4</v>
      </c>
      <c r="F395" s="541">
        <f t="shared" si="45"/>
        <v>92</v>
      </c>
      <c r="G395" s="530">
        <f t="shared" si="45"/>
        <v>91</v>
      </c>
      <c r="H395" s="530">
        <f t="shared" si="45"/>
        <v>93</v>
      </c>
      <c r="I395" s="530">
        <f t="shared" si="45"/>
        <v>95</v>
      </c>
      <c r="J395" s="530">
        <f t="shared" si="45"/>
        <v>97</v>
      </c>
    </row>
    <row r="396" spans="1:10" ht="18" customHeight="1">
      <c r="A396" s="534" t="s">
        <v>1227</v>
      </c>
      <c r="B396" s="534" t="s">
        <v>1390</v>
      </c>
      <c r="C396" s="535" t="s">
        <v>770</v>
      </c>
      <c r="D396" s="530">
        <f>VLOOKUP(C396,'급수계통별장래인구(출x)'!$C$5:$D$491,2,FALSE)</f>
        <v>132</v>
      </c>
      <c r="E396" s="518">
        <f t="shared" si="48"/>
        <v>1.0235335168456558E-3</v>
      </c>
      <c r="F396" s="541">
        <f t="shared" si="45"/>
        <v>136</v>
      </c>
      <c r="G396" s="530">
        <f t="shared" si="45"/>
        <v>134</v>
      </c>
      <c r="H396" s="530">
        <f t="shared" si="45"/>
        <v>136</v>
      </c>
      <c r="I396" s="530">
        <f t="shared" si="45"/>
        <v>139</v>
      </c>
      <c r="J396" s="530">
        <f t="shared" si="45"/>
        <v>142</v>
      </c>
    </row>
    <row r="397" spans="1:10" ht="18" customHeight="1">
      <c r="A397" s="534" t="s">
        <v>1227</v>
      </c>
      <c r="B397" s="534" t="s">
        <v>1390</v>
      </c>
      <c r="C397" s="535" t="s">
        <v>771</v>
      </c>
      <c r="D397" s="530">
        <f>VLOOKUP(C397,'급수계통별장래인구(출x)'!$C$5:$D$491,2,FALSE)</f>
        <v>114</v>
      </c>
      <c r="E397" s="518">
        <f t="shared" si="48"/>
        <v>8.8396076454852089E-4</v>
      </c>
      <c r="F397" s="541">
        <f t="shared" si="45"/>
        <v>117</v>
      </c>
      <c r="G397" s="530">
        <f t="shared" si="45"/>
        <v>115</v>
      </c>
      <c r="H397" s="530">
        <f t="shared" si="45"/>
        <v>118</v>
      </c>
      <c r="I397" s="530">
        <f t="shared" si="45"/>
        <v>120</v>
      </c>
      <c r="J397" s="530">
        <f t="shared" si="45"/>
        <v>122</v>
      </c>
    </row>
    <row r="398" spans="1:10" ht="18" customHeight="1">
      <c r="A398" s="534" t="s">
        <v>1227</v>
      </c>
      <c r="B398" s="534" t="s">
        <v>1391</v>
      </c>
      <c r="C398" s="535" t="s">
        <v>772</v>
      </c>
      <c r="D398" s="530">
        <f>VLOOKUP(C398,'급수계통별장래인구(출x)'!$C$5:$D$491,2,FALSE)</f>
        <v>119</v>
      </c>
      <c r="E398" s="518">
        <f t="shared" si="48"/>
        <v>9.2273097351994724E-4</v>
      </c>
      <c r="F398" s="541">
        <f t="shared" si="45"/>
        <v>122</v>
      </c>
      <c r="G398" s="530">
        <f t="shared" si="45"/>
        <v>120</v>
      </c>
      <c r="H398" s="530">
        <f t="shared" si="45"/>
        <v>123</v>
      </c>
      <c r="I398" s="530">
        <f t="shared" si="45"/>
        <v>126</v>
      </c>
      <c r="J398" s="530">
        <f t="shared" si="45"/>
        <v>128</v>
      </c>
    </row>
    <row r="399" spans="1:10" ht="18" customHeight="1">
      <c r="A399" s="534" t="s">
        <v>1227</v>
      </c>
      <c r="B399" s="534" t="s">
        <v>1391</v>
      </c>
      <c r="C399" s="535" t="s">
        <v>773</v>
      </c>
      <c r="D399" s="530">
        <f>VLOOKUP(C399,'급수계통별장래인구(출x)'!$C$5:$D$491,2,FALSE)</f>
        <v>153</v>
      </c>
      <c r="E399" s="518">
        <f t="shared" si="48"/>
        <v>1.1863683945256465E-3</v>
      </c>
      <c r="F399" s="541">
        <f t="shared" si="45"/>
        <v>157</v>
      </c>
      <c r="G399" s="530">
        <f t="shared" si="45"/>
        <v>155</v>
      </c>
      <c r="H399" s="530">
        <f t="shared" si="45"/>
        <v>158</v>
      </c>
      <c r="I399" s="530">
        <f t="shared" si="45"/>
        <v>162</v>
      </c>
      <c r="J399" s="530">
        <f t="shared" si="45"/>
        <v>164</v>
      </c>
    </row>
    <row r="400" spans="1:10" ht="18" customHeight="1">
      <c r="A400" s="534" t="s">
        <v>1227</v>
      </c>
      <c r="B400" s="534" t="s">
        <v>1391</v>
      </c>
      <c r="C400" s="535" t="s">
        <v>774</v>
      </c>
      <c r="D400" s="530">
        <f>VLOOKUP(C400,'급수계통별장래인구(출x)'!$C$5:$D$491,2,FALSE)</f>
        <v>72</v>
      </c>
      <c r="E400" s="518">
        <f t="shared" si="48"/>
        <v>5.5829100918853951E-4</v>
      </c>
      <c r="F400" s="541">
        <f t="shared" si="45"/>
        <v>74</v>
      </c>
      <c r="G400" s="530">
        <f t="shared" si="45"/>
        <v>73</v>
      </c>
      <c r="H400" s="530">
        <f t="shared" si="45"/>
        <v>74</v>
      </c>
      <c r="I400" s="530">
        <f t="shared" si="45"/>
        <v>76</v>
      </c>
      <c r="J400" s="530">
        <f t="shared" si="45"/>
        <v>77</v>
      </c>
    </row>
    <row r="401" spans="1:10" ht="18" customHeight="1">
      <c r="A401" s="534" t="s">
        <v>1227</v>
      </c>
      <c r="B401" s="534" t="s">
        <v>1289</v>
      </c>
      <c r="C401" s="535" t="s">
        <v>775</v>
      </c>
      <c r="D401" s="530">
        <f>VLOOKUP(C401,'급수계통별장래인구(출x)'!$C$5:$D$491,2,FALSE)</f>
        <v>171</v>
      </c>
      <c r="E401" s="518">
        <f t="shared" si="48"/>
        <v>1.3259411468227813E-3</v>
      </c>
      <c r="F401" s="541">
        <f t="shared" si="45"/>
        <v>176</v>
      </c>
      <c r="G401" s="530">
        <f t="shared" si="45"/>
        <v>173</v>
      </c>
      <c r="H401" s="530">
        <f t="shared" si="45"/>
        <v>177</v>
      </c>
      <c r="I401" s="530">
        <f t="shared" si="45"/>
        <v>181</v>
      </c>
      <c r="J401" s="530">
        <f t="shared" si="45"/>
        <v>184</v>
      </c>
    </row>
    <row r="402" spans="1:10" ht="18" customHeight="1">
      <c r="A402" s="534" t="s">
        <v>1227</v>
      </c>
      <c r="B402" s="534" t="s">
        <v>1289</v>
      </c>
      <c r="C402" s="535" t="s">
        <v>776</v>
      </c>
      <c r="D402" s="530">
        <f>VLOOKUP(C402,'급수계통별장래인구(출x)'!$C$5:$D$491,2,FALSE)</f>
        <v>338</v>
      </c>
      <c r="E402" s="518">
        <f t="shared" si="48"/>
        <v>2.6208661264684216E-3</v>
      </c>
      <c r="F402" s="541">
        <f t="shared" si="45"/>
        <v>347</v>
      </c>
      <c r="G402" s="530">
        <f t="shared" si="45"/>
        <v>342</v>
      </c>
      <c r="H402" s="530">
        <f t="shared" si="45"/>
        <v>349</v>
      </c>
      <c r="I402" s="530">
        <f t="shared" si="45"/>
        <v>357</v>
      </c>
      <c r="J402" s="530">
        <f t="shared" si="45"/>
        <v>363</v>
      </c>
    </row>
    <row r="403" spans="1:10" ht="18" customHeight="1">
      <c r="A403" s="534" t="s">
        <v>1227</v>
      </c>
      <c r="B403" s="534" t="s">
        <v>1289</v>
      </c>
      <c r="C403" s="535" t="s">
        <v>777</v>
      </c>
      <c r="D403" s="530">
        <f>VLOOKUP(C403,'급수계통별장래인구(출x)'!$C$5:$D$491,2,FALSE)</f>
        <v>133</v>
      </c>
      <c r="E403" s="518">
        <f t="shared" si="48"/>
        <v>1.031287558639941E-3</v>
      </c>
      <c r="F403" s="541">
        <f t="shared" si="45"/>
        <v>137</v>
      </c>
      <c r="G403" s="530">
        <f t="shared" si="45"/>
        <v>135</v>
      </c>
      <c r="H403" s="530">
        <f t="shared" si="45"/>
        <v>137</v>
      </c>
      <c r="I403" s="530">
        <f t="shared" si="45"/>
        <v>140</v>
      </c>
      <c r="J403" s="530">
        <f t="shared" si="45"/>
        <v>143</v>
      </c>
    </row>
    <row r="404" spans="1:10" ht="18" customHeight="1">
      <c r="A404" s="534" t="s">
        <v>1227</v>
      </c>
      <c r="B404" s="534" t="s">
        <v>1392</v>
      </c>
      <c r="C404" s="535" t="s">
        <v>778</v>
      </c>
      <c r="D404" s="530">
        <f>VLOOKUP(C404,'급수계통별장래인구(출x)'!$C$5:$D$491,2,FALSE)</f>
        <v>1310</v>
      </c>
      <c r="E404" s="518">
        <f t="shared" si="48"/>
        <v>1.0157794750513705E-2</v>
      </c>
      <c r="F404" s="541">
        <f t="shared" si="45"/>
        <v>1346</v>
      </c>
      <c r="G404" s="530">
        <f t="shared" si="45"/>
        <v>1325</v>
      </c>
      <c r="H404" s="530">
        <f t="shared" si="45"/>
        <v>1353</v>
      </c>
      <c r="I404" s="530">
        <f t="shared" si="45"/>
        <v>1384</v>
      </c>
      <c r="J404" s="530">
        <f t="shared" si="45"/>
        <v>1407</v>
      </c>
    </row>
    <row r="405" spans="1:10" ht="18" customHeight="1">
      <c r="A405" s="534" t="s">
        <v>1227</v>
      </c>
      <c r="B405" s="534" t="s">
        <v>1361</v>
      </c>
      <c r="C405" s="535" t="s">
        <v>1175</v>
      </c>
      <c r="D405" s="530">
        <f>VLOOKUP(C405,'급수계통별장래인구(출x)'!$C$5:$D$491,2,FALSE)</f>
        <v>200</v>
      </c>
      <c r="E405" s="518">
        <f t="shared" si="48"/>
        <v>1.5508083588570542E-3</v>
      </c>
      <c r="F405" s="541">
        <f t="shared" si="45"/>
        <v>205</v>
      </c>
      <c r="G405" s="530">
        <f t="shared" si="45"/>
        <v>202</v>
      </c>
      <c r="H405" s="530">
        <f t="shared" si="45"/>
        <v>207</v>
      </c>
      <c r="I405" s="530">
        <f t="shared" si="45"/>
        <v>211</v>
      </c>
      <c r="J405" s="530">
        <f t="shared" si="45"/>
        <v>215</v>
      </c>
    </row>
    <row r="406" spans="1:10" ht="18" customHeight="1">
      <c r="A406" s="534" t="s">
        <v>1227</v>
      </c>
      <c r="B406" s="534" t="s">
        <v>1361</v>
      </c>
      <c r="C406" s="535" t="s">
        <v>1176</v>
      </c>
      <c r="D406" s="530">
        <f>VLOOKUP(C406,'급수계통별장래인구(출x)'!$C$5:$D$491,2,FALSE)</f>
        <v>91</v>
      </c>
      <c r="E406" s="518">
        <f t="shared" si="48"/>
        <v>7.0561780327995966E-4</v>
      </c>
      <c r="F406" s="541">
        <f t="shared" si="45"/>
        <v>93</v>
      </c>
      <c r="G406" s="530">
        <f t="shared" si="45"/>
        <v>92</v>
      </c>
      <c r="H406" s="530">
        <f t="shared" si="45"/>
        <v>94</v>
      </c>
      <c r="I406" s="530">
        <f t="shared" si="45"/>
        <v>96</v>
      </c>
      <c r="J406" s="530">
        <f t="shared" si="45"/>
        <v>98</v>
      </c>
    </row>
    <row r="407" spans="1:10" ht="18" customHeight="1">
      <c r="A407" s="534" t="s">
        <v>1227</v>
      </c>
      <c r="B407" s="534" t="s">
        <v>1361</v>
      </c>
      <c r="C407" s="535" t="s">
        <v>1181</v>
      </c>
      <c r="D407" s="530">
        <f>VLOOKUP(C407,'급수계통별장래인구(출x)'!$C$5:$D$491,2,FALSE)</f>
        <v>133</v>
      </c>
      <c r="E407" s="518">
        <f t="shared" si="48"/>
        <v>1.031287558639941E-3</v>
      </c>
      <c r="F407" s="541">
        <f t="shared" si="45"/>
        <v>137</v>
      </c>
      <c r="G407" s="530">
        <f t="shared" si="45"/>
        <v>135</v>
      </c>
      <c r="H407" s="530">
        <f t="shared" si="45"/>
        <v>137</v>
      </c>
      <c r="I407" s="530">
        <f t="shared" si="45"/>
        <v>140</v>
      </c>
      <c r="J407" s="530">
        <f t="shared" si="45"/>
        <v>143</v>
      </c>
    </row>
    <row r="408" spans="1:10" ht="18" customHeight="1">
      <c r="A408" s="534" t="s">
        <v>1227</v>
      </c>
      <c r="B408" s="535" t="s">
        <v>779</v>
      </c>
      <c r="C408" s="535" t="s">
        <v>779</v>
      </c>
      <c r="D408" s="530">
        <f>VLOOKUP(C408,'급수계통별장래인구(출x)'!$C$5:$D$491,2,FALSE)</f>
        <v>282</v>
      </c>
      <c r="E408" s="518">
        <f t="shared" si="48"/>
        <v>2.1866397859884464E-3</v>
      </c>
      <c r="F408" s="541">
        <f t="shared" si="45"/>
        <v>290</v>
      </c>
      <c r="G408" s="530">
        <f t="shared" si="45"/>
        <v>285</v>
      </c>
      <c r="H408" s="530">
        <f t="shared" si="45"/>
        <v>291</v>
      </c>
      <c r="I408" s="530">
        <f t="shared" si="45"/>
        <v>298</v>
      </c>
      <c r="J408" s="530">
        <f t="shared" si="45"/>
        <v>303</v>
      </c>
    </row>
    <row r="409" spans="1:10" ht="18" customHeight="1">
      <c r="A409" s="534" t="s">
        <v>1227</v>
      </c>
      <c r="B409" s="534" t="s">
        <v>1393</v>
      </c>
      <c r="C409" s="535" t="s">
        <v>780</v>
      </c>
      <c r="D409" s="530">
        <f>VLOOKUP(C409,'급수계통별장래인구(출x)'!$C$5:$D$491,2,FALSE)</f>
        <v>112</v>
      </c>
      <c r="E409" s="518">
        <f t="shared" si="48"/>
        <v>8.6845268095995035E-4</v>
      </c>
      <c r="F409" s="541">
        <f t="shared" si="45"/>
        <v>115</v>
      </c>
      <c r="G409" s="530">
        <f t="shared" si="45"/>
        <v>113</v>
      </c>
      <c r="H409" s="530">
        <f t="shared" si="45"/>
        <v>116</v>
      </c>
      <c r="I409" s="530">
        <f t="shared" si="45"/>
        <v>118</v>
      </c>
      <c r="J409" s="530">
        <f t="shared" si="45"/>
        <v>120</v>
      </c>
    </row>
    <row r="410" spans="1:10" ht="18" customHeight="1">
      <c r="A410" s="534" t="s">
        <v>1227</v>
      </c>
      <c r="B410" s="534" t="s">
        <v>1393</v>
      </c>
      <c r="C410" s="535" t="s">
        <v>781</v>
      </c>
      <c r="D410" s="530">
        <f>VLOOKUP(C410,'급수계통별장래인구(출x)'!$C$5:$D$491,2,FALSE)</f>
        <v>162</v>
      </c>
      <c r="E410" s="518">
        <f t="shared" si="48"/>
        <v>1.2561547706742139E-3</v>
      </c>
      <c r="F410" s="541">
        <f t="shared" si="45"/>
        <v>166</v>
      </c>
      <c r="G410" s="530">
        <f t="shared" si="45"/>
        <v>164</v>
      </c>
      <c r="H410" s="530">
        <f t="shared" si="45"/>
        <v>167</v>
      </c>
      <c r="I410" s="530">
        <f t="shared" si="45"/>
        <v>171</v>
      </c>
      <c r="J410" s="530">
        <f t="shared" si="45"/>
        <v>174</v>
      </c>
    </row>
    <row r="411" spans="1:10" ht="18" customHeight="1">
      <c r="A411" s="534" t="s">
        <v>1227</v>
      </c>
      <c r="B411" s="534" t="s">
        <v>1393</v>
      </c>
      <c r="C411" s="535" t="s">
        <v>782</v>
      </c>
      <c r="D411" s="530">
        <f>VLOOKUP(C411,'급수계통별장래인구(출x)'!$C$5:$D$491,2,FALSE)</f>
        <v>270</v>
      </c>
      <c r="E411" s="518">
        <f t="shared" si="48"/>
        <v>2.0935912844570232E-3</v>
      </c>
      <c r="F411" s="541">
        <f t="shared" si="45"/>
        <v>277</v>
      </c>
      <c r="G411" s="530">
        <f t="shared" si="45"/>
        <v>273</v>
      </c>
      <c r="H411" s="530">
        <f t="shared" si="45"/>
        <v>279</v>
      </c>
      <c r="I411" s="530">
        <f t="shared" si="45"/>
        <v>285</v>
      </c>
      <c r="J411" s="530">
        <f t="shared" si="45"/>
        <v>290</v>
      </c>
    </row>
    <row r="412" spans="1:10" ht="18" customHeight="1">
      <c r="A412" s="537" t="s">
        <v>1228</v>
      </c>
      <c r="B412" s="577" t="s">
        <v>1232</v>
      </c>
      <c r="C412" s="577"/>
      <c r="D412" s="538">
        <f>SUM(D413:D437)</f>
        <v>2879</v>
      </c>
      <c r="E412" s="538"/>
      <c r="F412" s="538">
        <f t="shared" ref="F412" si="49">SUM(F413:F437)</f>
        <v>2957</v>
      </c>
      <c r="G412" s="538">
        <f t="shared" ref="G412:J412" si="50">SUM(G413:G437)</f>
        <v>2915</v>
      </c>
      <c r="H412" s="538">
        <f t="shared" si="50"/>
        <v>2971</v>
      </c>
      <c r="I412" s="538">
        <f t="shared" si="50"/>
        <v>3041</v>
      </c>
      <c r="J412" s="538">
        <f t="shared" si="50"/>
        <v>3094</v>
      </c>
    </row>
    <row r="413" spans="1:10" ht="18" customHeight="1">
      <c r="A413" s="534" t="s">
        <v>1228</v>
      </c>
      <c r="B413" s="534" t="s">
        <v>1394</v>
      </c>
      <c r="C413" s="535" t="s">
        <v>1182</v>
      </c>
      <c r="D413" s="530">
        <f>VLOOKUP(C413,'급수계통별장래인구(출x)'!$C$5:$D$491,2,FALSE)</f>
        <v>237</v>
      </c>
      <c r="E413" s="518">
        <f t="shared" ref="E413:E437" si="51">D413/$D$3</f>
        <v>1.8377079052456092E-3</v>
      </c>
      <c r="F413" s="541">
        <f t="shared" ref="F413:J443" si="52">ROUND($E413*F$3,0)</f>
        <v>243</v>
      </c>
      <c r="G413" s="530">
        <f t="shared" si="52"/>
        <v>240</v>
      </c>
      <c r="H413" s="530">
        <f t="shared" si="52"/>
        <v>245</v>
      </c>
      <c r="I413" s="530">
        <f t="shared" si="52"/>
        <v>250</v>
      </c>
      <c r="J413" s="530">
        <f t="shared" si="52"/>
        <v>255</v>
      </c>
    </row>
    <row r="414" spans="1:10" ht="18" customHeight="1">
      <c r="A414" s="534" t="s">
        <v>1228</v>
      </c>
      <c r="B414" s="534" t="s">
        <v>1394</v>
      </c>
      <c r="C414" s="535" t="s">
        <v>1183</v>
      </c>
      <c r="D414" s="530">
        <f>VLOOKUP(C414,'급수계통별장래인구(출x)'!$C$5:$D$491,2,FALSE)</f>
        <v>225</v>
      </c>
      <c r="E414" s="518">
        <f t="shared" si="51"/>
        <v>1.744659403714186E-3</v>
      </c>
      <c r="F414" s="541">
        <f t="shared" si="52"/>
        <v>231</v>
      </c>
      <c r="G414" s="530">
        <f t="shared" si="52"/>
        <v>228</v>
      </c>
      <c r="H414" s="530">
        <f t="shared" si="52"/>
        <v>232</v>
      </c>
      <c r="I414" s="530">
        <f t="shared" si="52"/>
        <v>238</v>
      </c>
      <c r="J414" s="530">
        <f t="shared" si="52"/>
        <v>242</v>
      </c>
    </row>
    <row r="415" spans="1:10" ht="18" customHeight="1">
      <c r="A415" s="534" t="s">
        <v>1228</v>
      </c>
      <c r="B415" s="534" t="s">
        <v>1394</v>
      </c>
      <c r="C415" s="535" t="s">
        <v>1184</v>
      </c>
      <c r="D415" s="530">
        <f>VLOOKUP(C415,'급수계통별장래인구(출x)'!$C$5:$D$491,2,FALSE)</f>
        <v>129</v>
      </c>
      <c r="E415" s="518">
        <f t="shared" si="51"/>
        <v>1.0002713914628E-3</v>
      </c>
      <c r="F415" s="541">
        <f t="shared" si="52"/>
        <v>133</v>
      </c>
      <c r="G415" s="530">
        <f t="shared" si="52"/>
        <v>131</v>
      </c>
      <c r="H415" s="530">
        <f t="shared" si="52"/>
        <v>133</v>
      </c>
      <c r="I415" s="530">
        <f t="shared" si="52"/>
        <v>136</v>
      </c>
      <c r="J415" s="530">
        <f t="shared" si="52"/>
        <v>139</v>
      </c>
    </row>
    <row r="416" spans="1:10" ht="18" customHeight="1">
      <c r="A416" s="534" t="s">
        <v>1228</v>
      </c>
      <c r="B416" s="534" t="s">
        <v>1395</v>
      </c>
      <c r="C416" s="535" t="s">
        <v>1185</v>
      </c>
      <c r="D416" s="530">
        <f>VLOOKUP(C416,'급수계통별장래인구(출x)'!$C$5:$D$491,2,FALSE)</f>
        <v>149</v>
      </c>
      <c r="E416" s="518">
        <f t="shared" si="51"/>
        <v>1.1553522273485054E-3</v>
      </c>
      <c r="F416" s="541">
        <f t="shared" si="52"/>
        <v>153</v>
      </c>
      <c r="G416" s="530">
        <f t="shared" si="52"/>
        <v>151</v>
      </c>
      <c r="H416" s="530">
        <f t="shared" si="52"/>
        <v>154</v>
      </c>
      <c r="I416" s="530">
        <f t="shared" si="52"/>
        <v>157</v>
      </c>
      <c r="J416" s="530">
        <f t="shared" si="52"/>
        <v>160</v>
      </c>
    </row>
    <row r="417" spans="1:10" ht="18" customHeight="1">
      <c r="A417" s="534" t="s">
        <v>1228</v>
      </c>
      <c r="B417" s="534" t="s">
        <v>1395</v>
      </c>
      <c r="C417" s="535" t="s">
        <v>1186</v>
      </c>
      <c r="D417" s="530">
        <f>VLOOKUP(C417,'급수계통별장래인구(출x)'!$C$5:$D$491,2,FALSE)</f>
        <v>145</v>
      </c>
      <c r="E417" s="518">
        <f t="shared" si="51"/>
        <v>1.1243360601713643E-3</v>
      </c>
      <c r="F417" s="541">
        <f t="shared" si="52"/>
        <v>149</v>
      </c>
      <c r="G417" s="530">
        <f t="shared" si="52"/>
        <v>147</v>
      </c>
      <c r="H417" s="530">
        <f t="shared" si="52"/>
        <v>150</v>
      </c>
      <c r="I417" s="530">
        <f t="shared" si="52"/>
        <v>153</v>
      </c>
      <c r="J417" s="530">
        <f t="shared" si="52"/>
        <v>156</v>
      </c>
    </row>
    <row r="418" spans="1:10" ht="18" customHeight="1">
      <c r="A418" s="534" t="s">
        <v>1228</v>
      </c>
      <c r="B418" s="534" t="s">
        <v>1395</v>
      </c>
      <c r="C418" s="535" t="s">
        <v>1187</v>
      </c>
      <c r="D418" s="530">
        <f>VLOOKUP(C418,'급수계통별장래인구(출x)'!$C$5:$D$491,2,FALSE)</f>
        <v>154</v>
      </c>
      <c r="E418" s="518">
        <f t="shared" si="51"/>
        <v>1.1941224363199317E-3</v>
      </c>
      <c r="F418" s="541">
        <f t="shared" si="52"/>
        <v>158</v>
      </c>
      <c r="G418" s="530">
        <f t="shared" si="52"/>
        <v>156</v>
      </c>
      <c r="H418" s="530">
        <f t="shared" si="52"/>
        <v>159</v>
      </c>
      <c r="I418" s="530">
        <f t="shared" si="52"/>
        <v>163</v>
      </c>
      <c r="J418" s="530">
        <f t="shared" si="52"/>
        <v>165</v>
      </c>
    </row>
    <row r="419" spans="1:10" ht="18" customHeight="1">
      <c r="A419" s="534" t="s">
        <v>1228</v>
      </c>
      <c r="B419" s="534" t="s">
        <v>1395</v>
      </c>
      <c r="C419" s="535" t="s">
        <v>1188</v>
      </c>
      <c r="D419" s="530">
        <f>VLOOKUP(C419,'급수계통별장래인구(출x)'!$C$5:$D$491,2,FALSE)</f>
        <v>66</v>
      </c>
      <c r="E419" s="518">
        <f t="shared" si="51"/>
        <v>5.1176675842282788E-4</v>
      </c>
      <c r="F419" s="541">
        <f t="shared" si="52"/>
        <v>68</v>
      </c>
      <c r="G419" s="530">
        <f t="shared" si="52"/>
        <v>67</v>
      </c>
      <c r="H419" s="530">
        <f t="shared" si="52"/>
        <v>68</v>
      </c>
      <c r="I419" s="530">
        <f t="shared" si="52"/>
        <v>70</v>
      </c>
      <c r="J419" s="530">
        <f t="shared" si="52"/>
        <v>71</v>
      </c>
    </row>
    <row r="420" spans="1:10" ht="18" customHeight="1">
      <c r="A420" s="534" t="s">
        <v>1228</v>
      </c>
      <c r="B420" s="534" t="s">
        <v>1396</v>
      </c>
      <c r="C420" s="535" t="s">
        <v>1189</v>
      </c>
      <c r="D420" s="530">
        <f>VLOOKUP(C420,'급수계통별장래인구(출x)'!$C$5:$D$491,2,FALSE)</f>
        <v>241</v>
      </c>
      <c r="E420" s="518">
        <f t="shared" si="51"/>
        <v>1.8687240724227503E-3</v>
      </c>
      <c r="F420" s="541">
        <f t="shared" si="52"/>
        <v>248</v>
      </c>
      <c r="G420" s="530">
        <f t="shared" si="52"/>
        <v>244</v>
      </c>
      <c r="H420" s="530">
        <f t="shared" si="52"/>
        <v>249</v>
      </c>
      <c r="I420" s="530">
        <f t="shared" si="52"/>
        <v>255</v>
      </c>
      <c r="J420" s="530">
        <f t="shared" si="52"/>
        <v>259</v>
      </c>
    </row>
    <row r="421" spans="1:10" ht="18" customHeight="1">
      <c r="A421" s="534" t="s">
        <v>1228</v>
      </c>
      <c r="B421" s="534" t="s">
        <v>1396</v>
      </c>
      <c r="C421" s="535" t="s">
        <v>1190</v>
      </c>
      <c r="D421" s="530">
        <f>VLOOKUP(C421,'급수계통별장래인구(출x)'!$C$5:$D$491,2,FALSE)</f>
        <v>163</v>
      </c>
      <c r="E421" s="518">
        <f t="shared" si="51"/>
        <v>1.2639088124684992E-3</v>
      </c>
      <c r="F421" s="541">
        <f t="shared" si="52"/>
        <v>167</v>
      </c>
      <c r="G421" s="530">
        <f t="shared" si="52"/>
        <v>165</v>
      </c>
      <c r="H421" s="530">
        <f t="shared" si="52"/>
        <v>168</v>
      </c>
      <c r="I421" s="530">
        <f t="shared" si="52"/>
        <v>172</v>
      </c>
      <c r="J421" s="530">
        <f t="shared" si="52"/>
        <v>175</v>
      </c>
    </row>
    <row r="422" spans="1:10" ht="18" customHeight="1">
      <c r="A422" s="534" t="s">
        <v>1228</v>
      </c>
      <c r="B422" s="534" t="s">
        <v>1396</v>
      </c>
      <c r="C422" s="535" t="s">
        <v>1191</v>
      </c>
      <c r="D422" s="530">
        <f>VLOOKUP(C422,'급수계통별장래인구(출x)'!$C$5:$D$491,2,FALSE)</f>
        <v>107</v>
      </c>
      <c r="E422" s="518">
        <f t="shared" si="51"/>
        <v>8.2968247198852399E-4</v>
      </c>
      <c r="F422" s="541">
        <f t="shared" si="52"/>
        <v>110</v>
      </c>
      <c r="G422" s="530">
        <f t="shared" si="52"/>
        <v>108</v>
      </c>
      <c r="H422" s="530">
        <f t="shared" si="52"/>
        <v>111</v>
      </c>
      <c r="I422" s="530">
        <f t="shared" si="52"/>
        <v>113</v>
      </c>
      <c r="J422" s="530">
        <f t="shared" si="52"/>
        <v>115</v>
      </c>
    </row>
    <row r="423" spans="1:10" ht="18" customHeight="1">
      <c r="A423" s="534" t="s">
        <v>1228</v>
      </c>
      <c r="B423" s="534" t="s">
        <v>1397</v>
      </c>
      <c r="C423" s="535" t="s">
        <v>1192</v>
      </c>
      <c r="D423" s="530">
        <f>VLOOKUP(C423,'급수계통별장래인구(출x)'!$C$5:$D$491,2,FALSE)</f>
        <v>176</v>
      </c>
      <c r="E423" s="518">
        <f t="shared" si="51"/>
        <v>1.3647113557942077E-3</v>
      </c>
      <c r="F423" s="541">
        <f t="shared" si="52"/>
        <v>181</v>
      </c>
      <c r="G423" s="530">
        <f t="shared" si="52"/>
        <v>178</v>
      </c>
      <c r="H423" s="530">
        <f t="shared" si="52"/>
        <v>182</v>
      </c>
      <c r="I423" s="530">
        <f t="shared" si="52"/>
        <v>186</v>
      </c>
      <c r="J423" s="530">
        <f t="shared" si="52"/>
        <v>189</v>
      </c>
    </row>
    <row r="424" spans="1:10" ht="18" customHeight="1">
      <c r="A424" s="534" t="s">
        <v>1228</v>
      </c>
      <c r="B424" s="534" t="s">
        <v>1397</v>
      </c>
      <c r="C424" s="535" t="s">
        <v>1193</v>
      </c>
      <c r="D424" s="530">
        <f>VLOOKUP(C424,'급수계통별장래인구(출x)'!$C$5:$D$491,2,FALSE)</f>
        <v>74</v>
      </c>
      <c r="E424" s="518">
        <f t="shared" si="51"/>
        <v>5.7379909277711005E-4</v>
      </c>
      <c r="F424" s="541">
        <f t="shared" si="52"/>
        <v>76</v>
      </c>
      <c r="G424" s="530">
        <f t="shared" si="52"/>
        <v>75</v>
      </c>
      <c r="H424" s="530">
        <f t="shared" si="52"/>
        <v>76</v>
      </c>
      <c r="I424" s="530">
        <f t="shared" si="52"/>
        <v>78</v>
      </c>
      <c r="J424" s="530">
        <f t="shared" si="52"/>
        <v>80</v>
      </c>
    </row>
    <row r="425" spans="1:10" ht="18" customHeight="1">
      <c r="A425" s="534" t="s">
        <v>1228</v>
      </c>
      <c r="B425" s="534" t="s">
        <v>1269</v>
      </c>
      <c r="C425" s="535" t="s">
        <v>1173</v>
      </c>
      <c r="D425" s="530">
        <f>VLOOKUP(C425,'급수계통별장래인구(출x)'!$C$5:$D$491,2,FALSE)</f>
        <v>148</v>
      </c>
      <c r="E425" s="518">
        <f t="shared" si="51"/>
        <v>1.1475981855542201E-3</v>
      </c>
      <c r="F425" s="541">
        <f t="shared" si="52"/>
        <v>152</v>
      </c>
      <c r="G425" s="530">
        <f t="shared" si="52"/>
        <v>150</v>
      </c>
      <c r="H425" s="530">
        <f t="shared" si="52"/>
        <v>153</v>
      </c>
      <c r="I425" s="530">
        <f t="shared" si="52"/>
        <v>156</v>
      </c>
      <c r="J425" s="530">
        <f t="shared" si="52"/>
        <v>159</v>
      </c>
    </row>
    <row r="426" spans="1:10" ht="18" customHeight="1">
      <c r="A426" s="534" t="s">
        <v>1228</v>
      </c>
      <c r="B426" s="534" t="s">
        <v>1269</v>
      </c>
      <c r="C426" s="535" t="s">
        <v>1174</v>
      </c>
      <c r="D426" s="530">
        <f>VLOOKUP(C426,'급수계통별장래인구(출x)'!$C$5:$D$491,2,FALSE)</f>
        <v>180</v>
      </c>
      <c r="E426" s="518">
        <f t="shared" si="51"/>
        <v>1.3957275229713488E-3</v>
      </c>
      <c r="F426" s="541">
        <f t="shared" si="52"/>
        <v>185</v>
      </c>
      <c r="G426" s="530">
        <f t="shared" si="52"/>
        <v>182</v>
      </c>
      <c r="H426" s="530">
        <f t="shared" si="52"/>
        <v>186</v>
      </c>
      <c r="I426" s="530">
        <f t="shared" si="52"/>
        <v>190</v>
      </c>
      <c r="J426" s="530">
        <f t="shared" si="52"/>
        <v>193</v>
      </c>
    </row>
    <row r="427" spans="1:10" ht="18" customHeight="1">
      <c r="A427" s="534" t="s">
        <v>1228</v>
      </c>
      <c r="B427" s="534" t="s">
        <v>1398</v>
      </c>
      <c r="C427" s="535" t="s">
        <v>1194</v>
      </c>
      <c r="D427" s="530">
        <f>VLOOKUP(C427,'급수계통별장래인구(출x)'!$C$5:$D$491,2,FALSE)</f>
        <v>35</v>
      </c>
      <c r="E427" s="518">
        <f t="shared" si="51"/>
        <v>2.7139146279998448E-4</v>
      </c>
      <c r="F427" s="541">
        <f t="shared" si="52"/>
        <v>36</v>
      </c>
      <c r="G427" s="530">
        <f t="shared" si="52"/>
        <v>35</v>
      </c>
      <c r="H427" s="530">
        <f t="shared" si="52"/>
        <v>36</v>
      </c>
      <c r="I427" s="530">
        <f t="shared" si="52"/>
        <v>37</v>
      </c>
      <c r="J427" s="530">
        <f t="shared" si="52"/>
        <v>38</v>
      </c>
    </row>
    <row r="428" spans="1:10" ht="18" customHeight="1">
      <c r="A428" s="534" t="s">
        <v>1228</v>
      </c>
      <c r="B428" s="534" t="s">
        <v>1398</v>
      </c>
      <c r="C428" s="535" t="s">
        <v>1195</v>
      </c>
      <c r="D428" s="530">
        <f>VLOOKUP(C428,'급수계통별장래인구(출x)'!$C$5:$D$491,2,FALSE)</f>
        <v>40</v>
      </c>
      <c r="E428" s="518">
        <f t="shared" si="51"/>
        <v>3.1016167177141084E-4</v>
      </c>
      <c r="F428" s="541">
        <f t="shared" si="52"/>
        <v>41</v>
      </c>
      <c r="G428" s="530">
        <f t="shared" si="52"/>
        <v>40</v>
      </c>
      <c r="H428" s="530">
        <f t="shared" si="52"/>
        <v>41</v>
      </c>
      <c r="I428" s="530">
        <f t="shared" si="52"/>
        <v>42</v>
      </c>
      <c r="J428" s="530">
        <f t="shared" si="52"/>
        <v>43</v>
      </c>
    </row>
    <row r="429" spans="1:10" ht="18" customHeight="1">
      <c r="A429" s="534" t="s">
        <v>1228</v>
      </c>
      <c r="B429" s="534" t="s">
        <v>1398</v>
      </c>
      <c r="C429" s="535" t="s">
        <v>1196</v>
      </c>
      <c r="D429" s="530">
        <f>VLOOKUP(C429,'급수계통별장래인구(출x)'!$C$5:$D$491,2,FALSE)</f>
        <v>47</v>
      </c>
      <c r="E429" s="518">
        <f t="shared" si="51"/>
        <v>3.6443996433140773E-4</v>
      </c>
      <c r="F429" s="541">
        <f t="shared" si="52"/>
        <v>48</v>
      </c>
      <c r="G429" s="530">
        <f t="shared" si="52"/>
        <v>48</v>
      </c>
      <c r="H429" s="530">
        <f t="shared" si="52"/>
        <v>49</v>
      </c>
      <c r="I429" s="530">
        <f t="shared" si="52"/>
        <v>50</v>
      </c>
      <c r="J429" s="530">
        <f t="shared" si="52"/>
        <v>50</v>
      </c>
    </row>
    <row r="430" spans="1:10" ht="18" customHeight="1">
      <c r="A430" s="534" t="s">
        <v>1228</v>
      </c>
      <c r="B430" s="534" t="s">
        <v>1398</v>
      </c>
      <c r="C430" s="535" t="s">
        <v>1197</v>
      </c>
      <c r="D430" s="530">
        <f>VLOOKUP(C430,'급수계통별장래인구(출x)'!$C$5:$D$491,2,FALSE)</f>
        <v>11</v>
      </c>
      <c r="E430" s="518">
        <f t="shared" si="51"/>
        <v>8.529445973713798E-5</v>
      </c>
      <c r="F430" s="541">
        <f t="shared" si="52"/>
        <v>11</v>
      </c>
      <c r="G430" s="530">
        <f t="shared" si="52"/>
        <v>11</v>
      </c>
      <c r="H430" s="530">
        <f t="shared" si="52"/>
        <v>11</v>
      </c>
      <c r="I430" s="530">
        <f t="shared" si="52"/>
        <v>12</v>
      </c>
      <c r="J430" s="530">
        <f t="shared" si="52"/>
        <v>12</v>
      </c>
    </row>
    <row r="431" spans="1:10" ht="18" customHeight="1">
      <c r="A431" s="534" t="s">
        <v>1228</v>
      </c>
      <c r="B431" s="534" t="s">
        <v>1398</v>
      </c>
      <c r="C431" s="535" t="s">
        <v>1198</v>
      </c>
      <c r="D431" s="530">
        <f>VLOOKUP(C431,'급수계통별장래인구(출x)'!$C$5:$D$491,2,FALSE)</f>
        <v>70</v>
      </c>
      <c r="E431" s="518">
        <f t="shared" si="51"/>
        <v>5.4278292559996897E-4</v>
      </c>
      <c r="F431" s="541">
        <f t="shared" si="52"/>
        <v>72</v>
      </c>
      <c r="G431" s="530">
        <f t="shared" si="52"/>
        <v>71</v>
      </c>
      <c r="H431" s="530">
        <f t="shared" si="52"/>
        <v>72</v>
      </c>
      <c r="I431" s="530">
        <f t="shared" si="52"/>
        <v>74</v>
      </c>
      <c r="J431" s="530">
        <f t="shared" si="52"/>
        <v>75</v>
      </c>
    </row>
    <row r="432" spans="1:10" ht="18" customHeight="1">
      <c r="A432" s="534" t="s">
        <v>1228</v>
      </c>
      <c r="B432" s="534" t="s">
        <v>1399</v>
      </c>
      <c r="C432" s="535" t="s">
        <v>1199</v>
      </c>
      <c r="D432" s="530">
        <f>VLOOKUP(C432,'급수계통별장래인구(출x)'!$C$5:$D$491,2,FALSE)</f>
        <v>70</v>
      </c>
      <c r="E432" s="518">
        <f t="shared" si="51"/>
        <v>5.4278292559996897E-4</v>
      </c>
      <c r="F432" s="541">
        <f t="shared" si="52"/>
        <v>72</v>
      </c>
      <c r="G432" s="530">
        <f t="shared" si="52"/>
        <v>71</v>
      </c>
      <c r="H432" s="530">
        <f t="shared" si="52"/>
        <v>72</v>
      </c>
      <c r="I432" s="530">
        <f t="shared" si="52"/>
        <v>74</v>
      </c>
      <c r="J432" s="530">
        <f t="shared" si="52"/>
        <v>75</v>
      </c>
    </row>
    <row r="433" spans="1:10" ht="18" customHeight="1">
      <c r="A433" s="534" t="s">
        <v>1228</v>
      </c>
      <c r="B433" s="534" t="s">
        <v>1399</v>
      </c>
      <c r="C433" s="535" t="s">
        <v>1200</v>
      </c>
      <c r="D433" s="530">
        <f>VLOOKUP(C433,'급수계통별장래인구(출x)'!$C$5:$D$491,2,FALSE)</f>
        <v>75</v>
      </c>
      <c r="E433" s="518">
        <f t="shared" si="51"/>
        <v>5.8155313457139532E-4</v>
      </c>
      <c r="F433" s="541">
        <f t="shared" si="52"/>
        <v>77</v>
      </c>
      <c r="G433" s="530">
        <f t="shared" si="52"/>
        <v>76</v>
      </c>
      <c r="H433" s="530">
        <f t="shared" si="52"/>
        <v>77</v>
      </c>
      <c r="I433" s="530">
        <f t="shared" si="52"/>
        <v>79</v>
      </c>
      <c r="J433" s="530">
        <f t="shared" si="52"/>
        <v>81</v>
      </c>
    </row>
    <row r="434" spans="1:10" ht="18" customHeight="1">
      <c r="A434" s="534" t="s">
        <v>1228</v>
      </c>
      <c r="B434" s="534" t="s">
        <v>1399</v>
      </c>
      <c r="C434" s="535" t="s">
        <v>1201</v>
      </c>
      <c r="D434" s="530">
        <f>VLOOKUP(C434,'급수계통별장래인구(출x)'!$C$5:$D$491,2,FALSE)</f>
        <v>6</v>
      </c>
      <c r="E434" s="518">
        <f t="shared" si="51"/>
        <v>4.6524250765711626E-5</v>
      </c>
      <c r="F434" s="541">
        <f t="shared" si="52"/>
        <v>6</v>
      </c>
      <c r="G434" s="530">
        <f t="shared" si="52"/>
        <v>6</v>
      </c>
      <c r="H434" s="530">
        <f t="shared" si="52"/>
        <v>6</v>
      </c>
      <c r="I434" s="530">
        <f t="shared" si="52"/>
        <v>6</v>
      </c>
      <c r="J434" s="530">
        <f t="shared" si="52"/>
        <v>6</v>
      </c>
    </row>
    <row r="435" spans="1:10" ht="18" customHeight="1">
      <c r="A435" s="534" t="s">
        <v>1228</v>
      </c>
      <c r="B435" s="534" t="s">
        <v>1400</v>
      </c>
      <c r="C435" s="535" t="s">
        <v>1202</v>
      </c>
      <c r="D435" s="530">
        <f>VLOOKUP(C435,'급수계통별장래인구(출x)'!$C$5:$D$491,2,FALSE)</f>
        <v>137</v>
      </c>
      <c r="E435" s="518">
        <f t="shared" si="51"/>
        <v>1.0623037258170821E-3</v>
      </c>
      <c r="F435" s="541">
        <f t="shared" si="52"/>
        <v>141</v>
      </c>
      <c r="G435" s="530">
        <f t="shared" si="52"/>
        <v>139</v>
      </c>
      <c r="H435" s="530">
        <f t="shared" si="52"/>
        <v>141</v>
      </c>
      <c r="I435" s="530">
        <f t="shared" si="52"/>
        <v>145</v>
      </c>
      <c r="J435" s="530">
        <f t="shared" si="52"/>
        <v>147</v>
      </c>
    </row>
    <row r="436" spans="1:10" ht="18" customHeight="1">
      <c r="A436" s="534" t="s">
        <v>1228</v>
      </c>
      <c r="B436" s="534" t="s">
        <v>1400</v>
      </c>
      <c r="C436" s="535" t="s">
        <v>1203</v>
      </c>
      <c r="D436" s="530">
        <f>VLOOKUP(C436,'급수계통별장래인구(출x)'!$C$5:$D$491,2,FALSE)</f>
        <v>120</v>
      </c>
      <c r="E436" s="518">
        <f t="shared" si="51"/>
        <v>9.3048501531423251E-4</v>
      </c>
      <c r="F436" s="541">
        <f t="shared" si="52"/>
        <v>123</v>
      </c>
      <c r="G436" s="530">
        <f t="shared" si="52"/>
        <v>121</v>
      </c>
      <c r="H436" s="530">
        <f t="shared" si="52"/>
        <v>124</v>
      </c>
      <c r="I436" s="530">
        <f t="shared" si="52"/>
        <v>127</v>
      </c>
      <c r="J436" s="530">
        <f t="shared" si="52"/>
        <v>129</v>
      </c>
    </row>
    <row r="437" spans="1:10" ht="18" customHeight="1">
      <c r="A437" s="534" t="s">
        <v>1228</v>
      </c>
      <c r="B437" s="534" t="s">
        <v>1400</v>
      </c>
      <c r="C437" s="535" t="s">
        <v>1204</v>
      </c>
      <c r="D437" s="530">
        <f>VLOOKUP(C437,'급수계통별장래인구(출x)'!$C$5:$D$491,2,FALSE)</f>
        <v>74</v>
      </c>
      <c r="E437" s="518">
        <f t="shared" si="51"/>
        <v>5.7379909277711005E-4</v>
      </c>
      <c r="F437" s="541">
        <f t="shared" si="52"/>
        <v>76</v>
      </c>
      <c r="G437" s="530">
        <f t="shared" si="52"/>
        <v>75</v>
      </c>
      <c r="H437" s="530">
        <f t="shared" si="52"/>
        <v>76</v>
      </c>
      <c r="I437" s="530">
        <f t="shared" si="52"/>
        <v>78</v>
      </c>
      <c r="J437" s="530">
        <f t="shared" si="52"/>
        <v>80</v>
      </c>
    </row>
    <row r="438" spans="1:10" ht="18" customHeight="1">
      <c r="A438" s="537" t="s">
        <v>1229</v>
      </c>
      <c r="B438" s="577" t="s">
        <v>1232</v>
      </c>
      <c r="C438" s="577"/>
      <c r="D438" s="538">
        <f>SUM(D439:D474)</f>
        <v>30861</v>
      </c>
      <c r="E438" s="538"/>
      <c r="F438" s="538">
        <f t="shared" ref="F438" si="53">SUM(F439:F474)</f>
        <v>31702</v>
      </c>
      <c r="G438" s="538">
        <f t="shared" ref="G438:J438" si="54">SUM(G439:G474)</f>
        <v>31223</v>
      </c>
      <c r="H438" s="538">
        <f t="shared" si="54"/>
        <v>31873</v>
      </c>
      <c r="I438" s="538">
        <f t="shared" si="54"/>
        <v>32593</v>
      </c>
      <c r="J438" s="538">
        <f t="shared" si="54"/>
        <v>33159</v>
      </c>
    </row>
    <row r="439" spans="1:10" ht="18" customHeight="1">
      <c r="A439" s="534" t="s">
        <v>1229</v>
      </c>
      <c r="B439" s="534" t="s">
        <v>1401</v>
      </c>
      <c r="C439" s="535" t="s">
        <v>620</v>
      </c>
      <c r="D439" s="530">
        <f>VLOOKUP(C439,'급수계통별장래인구(출x)'!$C$5:$D$491,2,FALSE)</f>
        <v>344</v>
      </c>
      <c r="E439" s="518">
        <f t="shared" ref="E439:E474" si="55">D439/$D$3</f>
        <v>2.6673903772341332E-3</v>
      </c>
      <c r="F439" s="541">
        <f t="shared" si="52"/>
        <v>353</v>
      </c>
      <c r="G439" s="530">
        <f t="shared" si="52"/>
        <v>348</v>
      </c>
      <c r="H439" s="530">
        <f t="shared" si="52"/>
        <v>355</v>
      </c>
      <c r="I439" s="530">
        <f t="shared" si="52"/>
        <v>363</v>
      </c>
      <c r="J439" s="530">
        <f t="shared" si="52"/>
        <v>370</v>
      </c>
    </row>
    <row r="440" spans="1:10" ht="18" customHeight="1">
      <c r="A440" s="534" t="s">
        <v>1229</v>
      </c>
      <c r="B440" s="534" t="s">
        <v>1401</v>
      </c>
      <c r="C440" s="535" t="s">
        <v>621</v>
      </c>
      <c r="D440" s="530">
        <f>VLOOKUP(C440,'급수계통별장래인구(출x)'!$C$5:$D$491,2,FALSE)</f>
        <v>429</v>
      </c>
      <c r="E440" s="518">
        <f t="shared" si="55"/>
        <v>3.3264839297483815E-3</v>
      </c>
      <c r="F440" s="541">
        <f t="shared" si="52"/>
        <v>441</v>
      </c>
      <c r="G440" s="530">
        <f t="shared" si="52"/>
        <v>434</v>
      </c>
      <c r="H440" s="530">
        <f t="shared" si="52"/>
        <v>443</v>
      </c>
      <c r="I440" s="530">
        <f t="shared" si="52"/>
        <v>453</v>
      </c>
      <c r="J440" s="530">
        <f t="shared" si="52"/>
        <v>461</v>
      </c>
    </row>
    <row r="441" spans="1:10" ht="18" customHeight="1">
      <c r="A441" s="534" t="s">
        <v>1229</v>
      </c>
      <c r="B441" s="534" t="s">
        <v>1401</v>
      </c>
      <c r="C441" s="535" t="s">
        <v>622</v>
      </c>
      <c r="D441" s="530">
        <f>VLOOKUP(C441,'급수계통별장래인구(출x)'!$C$5:$D$491,2,FALSE)</f>
        <v>730</v>
      </c>
      <c r="E441" s="518">
        <f t="shared" si="55"/>
        <v>5.6604505098282482E-3</v>
      </c>
      <c r="F441" s="541">
        <f t="shared" si="52"/>
        <v>750</v>
      </c>
      <c r="G441" s="530">
        <f t="shared" si="52"/>
        <v>739</v>
      </c>
      <c r="H441" s="530">
        <f t="shared" si="52"/>
        <v>754</v>
      </c>
      <c r="I441" s="530">
        <f t="shared" si="52"/>
        <v>771</v>
      </c>
      <c r="J441" s="530">
        <f t="shared" si="52"/>
        <v>784</v>
      </c>
    </row>
    <row r="442" spans="1:10" ht="18" customHeight="1">
      <c r="A442" s="534" t="s">
        <v>1229</v>
      </c>
      <c r="B442" s="534" t="s">
        <v>1401</v>
      </c>
      <c r="C442" s="535" t="s">
        <v>623</v>
      </c>
      <c r="D442" s="530">
        <f>VLOOKUP(C442,'급수계통별장래인구(출x)'!$C$5:$D$491,2,FALSE)</f>
        <v>379</v>
      </c>
      <c r="E442" s="518">
        <f t="shared" si="55"/>
        <v>2.9387818400341179E-3</v>
      </c>
      <c r="F442" s="541">
        <f t="shared" si="52"/>
        <v>389</v>
      </c>
      <c r="G442" s="530">
        <f t="shared" si="52"/>
        <v>383</v>
      </c>
      <c r="H442" s="530">
        <f t="shared" si="52"/>
        <v>391</v>
      </c>
      <c r="I442" s="530">
        <f t="shared" si="52"/>
        <v>400</v>
      </c>
      <c r="J442" s="530">
        <f t="shared" si="52"/>
        <v>407</v>
      </c>
    </row>
    <row r="443" spans="1:10" ht="18" customHeight="1">
      <c r="A443" s="534" t="s">
        <v>1229</v>
      </c>
      <c r="B443" s="534" t="s">
        <v>1401</v>
      </c>
      <c r="C443" s="535" t="s">
        <v>624</v>
      </c>
      <c r="D443" s="530">
        <f>VLOOKUP(C443,'급수계통별장래인구(출x)'!$C$5:$D$491,2,FALSE)</f>
        <v>894</v>
      </c>
      <c r="E443" s="518">
        <f t="shared" si="55"/>
        <v>6.9321133640910327E-3</v>
      </c>
      <c r="F443" s="541">
        <f t="shared" si="52"/>
        <v>918</v>
      </c>
      <c r="G443" s="530">
        <f t="shared" si="52"/>
        <v>904</v>
      </c>
      <c r="H443" s="530">
        <f t="shared" si="52"/>
        <v>923</v>
      </c>
      <c r="I443" s="530">
        <f t="shared" si="52"/>
        <v>944</v>
      </c>
      <c r="J443" s="530">
        <f t="shared" si="52"/>
        <v>961</v>
      </c>
    </row>
    <row r="444" spans="1:10" ht="18" customHeight="1">
      <c r="A444" s="534" t="s">
        <v>1229</v>
      </c>
      <c r="B444" s="534" t="s">
        <v>1402</v>
      </c>
      <c r="C444" s="535" t="s">
        <v>625</v>
      </c>
      <c r="D444" s="530">
        <f>VLOOKUP(C444,'급수계통별장래인구(출x)'!$C$5:$D$491,2,FALSE)</f>
        <v>510</v>
      </c>
      <c r="E444" s="518">
        <f t="shared" si="55"/>
        <v>3.9545613150854886E-3</v>
      </c>
      <c r="F444" s="541">
        <f t="shared" ref="F444:J474" si="56">ROUND($E444*F$3,0)</f>
        <v>524</v>
      </c>
      <c r="G444" s="530">
        <f t="shared" si="56"/>
        <v>516</v>
      </c>
      <c r="H444" s="530">
        <f t="shared" si="56"/>
        <v>527</v>
      </c>
      <c r="I444" s="530">
        <f t="shared" si="56"/>
        <v>539</v>
      </c>
      <c r="J444" s="530">
        <f t="shared" si="56"/>
        <v>548</v>
      </c>
    </row>
    <row r="445" spans="1:10" ht="18" customHeight="1">
      <c r="A445" s="534" t="s">
        <v>1229</v>
      </c>
      <c r="B445" s="534" t="s">
        <v>1402</v>
      </c>
      <c r="C445" s="535" t="s">
        <v>626</v>
      </c>
      <c r="D445" s="530">
        <f>VLOOKUP(C445,'급수계통별장래인구(출x)'!$C$5:$D$491,2,FALSE)</f>
        <v>1016</v>
      </c>
      <c r="E445" s="518">
        <f t="shared" si="55"/>
        <v>7.8781064629938353E-3</v>
      </c>
      <c r="F445" s="541">
        <f t="shared" si="56"/>
        <v>1044</v>
      </c>
      <c r="G445" s="530">
        <f t="shared" si="56"/>
        <v>1028</v>
      </c>
      <c r="H445" s="530">
        <f t="shared" si="56"/>
        <v>1049</v>
      </c>
      <c r="I445" s="530">
        <f t="shared" si="56"/>
        <v>1073</v>
      </c>
      <c r="J445" s="530">
        <f t="shared" si="56"/>
        <v>1092</v>
      </c>
    </row>
    <row r="446" spans="1:10" ht="18" customHeight="1">
      <c r="A446" s="534" t="s">
        <v>1229</v>
      </c>
      <c r="B446" s="534" t="s">
        <v>1402</v>
      </c>
      <c r="C446" s="535" t="s">
        <v>627</v>
      </c>
      <c r="D446" s="530">
        <f>VLOOKUP(C446,'급수계통별장래인구(출x)'!$C$5:$D$491,2,FALSE)</f>
        <v>218</v>
      </c>
      <c r="E446" s="518">
        <f t="shared" si="55"/>
        <v>1.6903811111541891E-3</v>
      </c>
      <c r="F446" s="541">
        <f t="shared" si="56"/>
        <v>224</v>
      </c>
      <c r="G446" s="530">
        <f t="shared" si="56"/>
        <v>221</v>
      </c>
      <c r="H446" s="530">
        <f t="shared" si="56"/>
        <v>225</v>
      </c>
      <c r="I446" s="530">
        <f t="shared" si="56"/>
        <v>230</v>
      </c>
      <c r="J446" s="530">
        <f t="shared" si="56"/>
        <v>234</v>
      </c>
    </row>
    <row r="447" spans="1:10" ht="18" customHeight="1">
      <c r="A447" s="534" t="s">
        <v>1229</v>
      </c>
      <c r="B447" s="534" t="s">
        <v>1403</v>
      </c>
      <c r="C447" s="535" t="s">
        <v>628</v>
      </c>
      <c r="D447" s="530">
        <f>VLOOKUP(C447,'급수계통별장래인구(출x)'!$C$5:$D$491,2,FALSE)</f>
        <v>707</v>
      </c>
      <c r="E447" s="518">
        <f t="shared" si="55"/>
        <v>5.4821075485596863E-3</v>
      </c>
      <c r="F447" s="541">
        <f t="shared" si="56"/>
        <v>726</v>
      </c>
      <c r="G447" s="530">
        <f t="shared" si="56"/>
        <v>715</v>
      </c>
      <c r="H447" s="530">
        <f t="shared" si="56"/>
        <v>730</v>
      </c>
      <c r="I447" s="530">
        <f t="shared" si="56"/>
        <v>747</v>
      </c>
      <c r="J447" s="530">
        <f t="shared" si="56"/>
        <v>760</v>
      </c>
    </row>
    <row r="448" spans="1:10" ht="18" customHeight="1">
      <c r="A448" s="534" t="s">
        <v>1229</v>
      </c>
      <c r="B448" s="534" t="s">
        <v>1403</v>
      </c>
      <c r="C448" s="535" t="s">
        <v>629</v>
      </c>
      <c r="D448" s="530">
        <f>VLOOKUP(C448,'급수계통별장래인구(출x)'!$C$5:$D$491,2,FALSE)</f>
        <v>276</v>
      </c>
      <c r="E448" s="518">
        <f t="shared" si="55"/>
        <v>2.1401155352227348E-3</v>
      </c>
      <c r="F448" s="541">
        <f t="shared" si="56"/>
        <v>284</v>
      </c>
      <c r="G448" s="530">
        <f t="shared" si="56"/>
        <v>279</v>
      </c>
      <c r="H448" s="530">
        <f t="shared" si="56"/>
        <v>285</v>
      </c>
      <c r="I448" s="530">
        <f t="shared" si="56"/>
        <v>292</v>
      </c>
      <c r="J448" s="530">
        <f t="shared" si="56"/>
        <v>297</v>
      </c>
    </row>
    <row r="449" spans="1:10" ht="18" customHeight="1">
      <c r="A449" s="534" t="s">
        <v>1229</v>
      </c>
      <c r="B449" s="534" t="s">
        <v>1403</v>
      </c>
      <c r="C449" s="535" t="s">
        <v>630</v>
      </c>
      <c r="D449" s="530">
        <f>VLOOKUP(C449,'급수계통별장래인구(출x)'!$C$5:$D$491,2,FALSE)</f>
        <v>1179</v>
      </c>
      <c r="E449" s="518">
        <f t="shared" si="55"/>
        <v>9.1420152754623351E-3</v>
      </c>
      <c r="F449" s="541">
        <f t="shared" si="56"/>
        <v>1211</v>
      </c>
      <c r="G449" s="530">
        <f t="shared" si="56"/>
        <v>1193</v>
      </c>
      <c r="H449" s="530">
        <f t="shared" si="56"/>
        <v>1218</v>
      </c>
      <c r="I449" s="530">
        <f t="shared" si="56"/>
        <v>1245</v>
      </c>
      <c r="J449" s="530">
        <f t="shared" si="56"/>
        <v>1267</v>
      </c>
    </row>
    <row r="450" spans="1:10" ht="18" customHeight="1">
      <c r="A450" s="534" t="s">
        <v>1229</v>
      </c>
      <c r="B450" s="534" t="s">
        <v>1403</v>
      </c>
      <c r="C450" s="535" t="s">
        <v>631</v>
      </c>
      <c r="D450" s="530">
        <f>VLOOKUP(C450,'급수계통별장래인구(출x)'!$C$5:$D$491,2,FALSE)</f>
        <v>2076</v>
      </c>
      <c r="E450" s="518">
        <f t="shared" si="55"/>
        <v>1.6097390764936222E-2</v>
      </c>
      <c r="F450" s="541">
        <f t="shared" si="56"/>
        <v>2133</v>
      </c>
      <c r="G450" s="530">
        <f t="shared" si="56"/>
        <v>2100</v>
      </c>
      <c r="H450" s="530">
        <f t="shared" si="56"/>
        <v>2144</v>
      </c>
      <c r="I450" s="530">
        <f t="shared" si="56"/>
        <v>2193</v>
      </c>
      <c r="J450" s="530">
        <f t="shared" si="56"/>
        <v>2230</v>
      </c>
    </row>
    <row r="451" spans="1:10" ht="18" customHeight="1">
      <c r="A451" s="534" t="s">
        <v>1229</v>
      </c>
      <c r="B451" s="534" t="s">
        <v>1403</v>
      </c>
      <c r="C451" s="535" t="s">
        <v>632</v>
      </c>
      <c r="D451" s="530">
        <f>VLOOKUP(C451,'급수계통별장래인구(출x)'!$C$5:$D$491,2,FALSE)</f>
        <v>656</v>
      </c>
      <c r="E451" s="518">
        <f t="shared" si="55"/>
        <v>5.0866514170511377E-3</v>
      </c>
      <c r="F451" s="541">
        <f t="shared" si="56"/>
        <v>674</v>
      </c>
      <c r="G451" s="530">
        <f t="shared" si="56"/>
        <v>664</v>
      </c>
      <c r="H451" s="530">
        <f t="shared" si="56"/>
        <v>678</v>
      </c>
      <c r="I451" s="530">
        <f t="shared" si="56"/>
        <v>693</v>
      </c>
      <c r="J451" s="530">
        <f t="shared" si="56"/>
        <v>705</v>
      </c>
    </row>
    <row r="452" spans="1:10" ht="18" customHeight="1">
      <c r="A452" s="534" t="s">
        <v>1229</v>
      </c>
      <c r="B452" s="534" t="s">
        <v>1403</v>
      </c>
      <c r="C452" s="535" t="s">
        <v>633</v>
      </c>
      <c r="D452" s="530">
        <f>VLOOKUP(C452,'급수계통별장래인구(출x)'!$C$5:$D$491,2,FALSE)</f>
        <v>420</v>
      </c>
      <c r="E452" s="518">
        <f t="shared" si="55"/>
        <v>3.2566975535998138E-3</v>
      </c>
      <c r="F452" s="541">
        <f t="shared" si="56"/>
        <v>431</v>
      </c>
      <c r="G452" s="530">
        <f t="shared" si="56"/>
        <v>425</v>
      </c>
      <c r="H452" s="530">
        <f t="shared" si="56"/>
        <v>434</v>
      </c>
      <c r="I452" s="530">
        <f t="shared" si="56"/>
        <v>444</v>
      </c>
      <c r="J452" s="530">
        <f t="shared" si="56"/>
        <v>451</v>
      </c>
    </row>
    <row r="453" spans="1:10" ht="18" customHeight="1">
      <c r="A453" s="534" t="s">
        <v>1229</v>
      </c>
      <c r="B453" s="534" t="s">
        <v>1403</v>
      </c>
      <c r="C453" s="535" t="s">
        <v>634</v>
      </c>
      <c r="D453" s="530">
        <f>VLOOKUP(C453,'급수계통별장래인구(출x)'!$C$5:$D$491,2,FALSE)</f>
        <v>1448</v>
      </c>
      <c r="E453" s="518">
        <f t="shared" si="55"/>
        <v>1.1227852518125072E-2</v>
      </c>
      <c r="F453" s="541">
        <f t="shared" si="56"/>
        <v>1487</v>
      </c>
      <c r="G453" s="530">
        <f t="shared" si="56"/>
        <v>1465</v>
      </c>
      <c r="H453" s="530">
        <f t="shared" si="56"/>
        <v>1496</v>
      </c>
      <c r="I453" s="530">
        <f t="shared" si="56"/>
        <v>1529</v>
      </c>
      <c r="J453" s="530">
        <f t="shared" si="56"/>
        <v>1556</v>
      </c>
    </row>
    <row r="454" spans="1:10" ht="18" customHeight="1">
      <c r="A454" s="534" t="s">
        <v>1229</v>
      </c>
      <c r="B454" s="534" t="s">
        <v>1403</v>
      </c>
      <c r="C454" s="535" t="s">
        <v>635</v>
      </c>
      <c r="D454" s="530">
        <f>VLOOKUP(C454,'급수계통별장래인구(출x)'!$C$5:$D$491,2,FALSE)</f>
        <v>870</v>
      </c>
      <c r="E454" s="518">
        <f t="shared" si="55"/>
        <v>6.7460163610281862E-3</v>
      </c>
      <c r="F454" s="541">
        <f t="shared" si="56"/>
        <v>894</v>
      </c>
      <c r="G454" s="530">
        <f t="shared" si="56"/>
        <v>880</v>
      </c>
      <c r="H454" s="530">
        <f t="shared" si="56"/>
        <v>899</v>
      </c>
      <c r="I454" s="530">
        <f t="shared" si="56"/>
        <v>919</v>
      </c>
      <c r="J454" s="530">
        <f t="shared" si="56"/>
        <v>935</v>
      </c>
    </row>
    <row r="455" spans="1:10" ht="18" customHeight="1">
      <c r="A455" s="534" t="s">
        <v>1229</v>
      </c>
      <c r="B455" s="534" t="s">
        <v>1403</v>
      </c>
      <c r="C455" s="535" t="s">
        <v>636</v>
      </c>
      <c r="D455" s="530">
        <f>VLOOKUP(C455,'급수계통별장래인구(출x)'!$C$5:$D$491,2,FALSE)</f>
        <v>682</v>
      </c>
      <c r="E455" s="518">
        <f t="shared" si="55"/>
        <v>5.2882565037025552E-3</v>
      </c>
      <c r="F455" s="541">
        <f t="shared" si="56"/>
        <v>701</v>
      </c>
      <c r="G455" s="530">
        <f t="shared" si="56"/>
        <v>690</v>
      </c>
      <c r="H455" s="530">
        <f t="shared" si="56"/>
        <v>704</v>
      </c>
      <c r="I455" s="530">
        <f t="shared" si="56"/>
        <v>720</v>
      </c>
      <c r="J455" s="530">
        <f t="shared" si="56"/>
        <v>733</v>
      </c>
    </row>
    <row r="456" spans="1:10" ht="18" customHeight="1">
      <c r="A456" s="534" t="s">
        <v>1229</v>
      </c>
      <c r="B456" s="534" t="s">
        <v>1403</v>
      </c>
      <c r="C456" s="535" t="s">
        <v>637</v>
      </c>
      <c r="D456" s="530">
        <f>VLOOKUP(C456,'급수계통별장래인구(출x)'!$C$5:$D$491,2,FALSE)</f>
        <v>1105</v>
      </c>
      <c r="E456" s="518">
        <f t="shared" si="55"/>
        <v>8.5682161826852246E-3</v>
      </c>
      <c r="F456" s="541">
        <f t="shared" si="56"/>
        <v>1135</v>
      </c>
      <c r="G456" s="530">
        <f t="shared" si="56"/>
        <v>1118</v>
      </c>
      <c r="H456" s="530">
        <f t="shared" si="56"/>
        <v>1141</v>
      </c>
      <c r="I456" s="530">
        <f t="shared" si="56"/>
        <v>1167</v>
      </c>
      <c r="J456" s="530">
        <f t="shared" si="56"/>
        <v>1187</v>
      </c>
    </row>
    <row r="457" spans="1:10" ht="18" customHeight="1">
      <c r="A457" s="534" t="s">
        <v>1229</v>
      </c>
      <c r="B457" s="534" t="s">
        <v>1403</v>
      </c>
      <c r="C457" s="535" t="s">
        <v>638</v>
      </c>
      <c r="D457" s="530">
        <f>VLOOKUP(C457,'급수계통별장래인구(출x)'!$C$5:$D$491,2,FALSE)</f>
        <v>1994</v>
      </c>
      <c r="E457" s="518">
        <f t="shared" si="55"/>
        <v>1.5461559337804831E-2</v>
      </c>
      <c r="F457" s="541">
        <f t="shared" si="56"/>
        <v>2048</v>
      </c>
      <c r="G457" s="530">
        <f t="shared" si="56"/>
        <v>2017</v>
      </c>
      <c r="H457" s="530">
        <f t="shared" si="56"/>
        <v>2059</v>
      </c>
      <c r="I457" s="530">
        <f t="shared" si="56"/>
        <v>2106</v>
      </c>
      <c r="J457" s="530">
        <f t="shared" si="56"/>
        <v>2142</v>
      </c>
    </row>
    <row r="458" spans="1:10" ht="18" customHeight="1">
      <c r="A458" s="534" t="s">
        <v>1229</v>
      </c>
      <c r="B458" s="534" t="s">
        <v>1403</v>
      </c>
      <c r="C458" s="535" t="s">
        <v>1230</v>
      </c>
      <c r="D458" s="530">
        <f>VLOOKUP(C458,'급수계통별장래인구(출x)'!$C$5:$D$491,2,FALSE)</f>
        <v>1424</v>
      </c>
      <c r="E458" s="518">
        <f t="shared" si="55"/>
        <v>1.1041755515062226E-2</v>
      </c>
      <c r="F458" s="541">
        <f t="shared" si="56"/>
        <v>1463</v>
      </c>
      <c r="G458" s="530">
        <f t="shared" si="56"/>
        <v>1441</v>
      </c>
      <c r="H458" s="530">
        <f t="shared" si="56"/>
        <v>1471</v>
      </c>
      <c r="I458" s="530">
        <f t="shared" si="56"/>
        <v>1504</v>
      </c>
      <c r="J458" s="530">
        <f t="shared" si="56"/>
        <v>1530</v>
      </c>
    </row>
    <row r="459" spans="1:10" ht="18" customHeight="1">
      <c r="A459" s="534" t="s">
        <v>1229</v>
      </c>
      <c r="B459" s="534" t="s">
        <v>1404</v>
      </c>
      <c r="C459" s="535" t="s">
        <v>640</v>
      </c>
      <c r="D459" s="530">
        <f>VLOOKUP(C459,'급수계통별장래인구(출x)'!$C$5:$D$491,2,FALSE)</f>
        <v>314</v>
      </c>
      <c r="E459" s="518">
        <f t="shared" si="55"/>
        <v>2.4347691234055751E-3</v>
      </c>
      <c r="F459" s="541">
        <f t="shared" si="56"/>
        <v>323</v>
      </c>
      <c r="G459" s="530">
        <f t="shared" si="56"/>
        <v>318</v>
      </c>
      <c r="H459" s="530">
        <f t="shared" si="56"/>
        <v>324</v>
      </c>
      <c r="I459" s="530">
        <f t="shared" si="56"/>
        <v>332</v>
      </c>
      <c r="J459" s="530">
        <f t="shared" si="56"/>
        <v>337</v>
      </c>
    </row>
    <row r="460" spans="1:10" ht="18" customHeight="1">
      <c r="A460" s="534" t="s">
        <v>1229</v>
      </c>
      <c r="B460" s="534" t="s">
        <v>1404</v>
      </c>
      <c r="C460" s="535" t="s">
        <v>641</v>
      </c>
      <c r="D460" s="530">
        <f>VLOOKUP(C460,'급수계통별장래인구(출x)'!$C$5:$D$491,2,FALSE)</f>
        <v>325</v>
      </c>
      <c r="E460" s="518">
        <f t="shared" si="55"/>
        <v>2.5200635831427133E-3</v>
      </c>
      <c r="F460" s="541">
        <f t="shared" si="56"/>
        <v>334</v>
      </c>
      <c r="G460" s="530">
        <f t="shared" si="56"/>
        <v>329</v>
      </c>
      <c r="H460" s="530">
        <f t="shared" si="56"/>
        <v>336</v>
      </c>
      <c r="I460" s="530">
        <f t="shared" si="56"/>
        <v>343</v>
      </c>
      <c r="J460" s="530">
        <f t="shared" si="56"/>
        <v>349</v>
      </c>
    </row>
    <row r="461" spans="1:10" ht="18" customHeight="1">
      <c r="A461" s="534" t="s">
        <v>1229</v>
      </c>
      <c r="B461" s="534" t="s">
        <v>1404</v>
      </c>
      <c r="C461" s="535" t="s">
        <v>642</v>
      </c>
      <c r="D461" s="530">
        <f>VLOOKUP(C461,'급수계통별장래인구(출x)'!$C$5:$D$491,2,FALSE)</f>
        <v>185</v>
      </c>
      <c r="E461" s="518">
        <f t="shared" si="55"/>
        <v>1.4344977319427751E-3</v>
      </c>
      <c r="F461" s="541">
        <f t="shared" si="56"/>
        <v>190</v>
      </c>
      <c r="G461" s="530">
        <f t="shared" si="56"/>
        <v>187</v>
      </c>
      <c r="H461" s="530">
        <f t="shared" si="56"/>
        <v>191</v>
      </c>
      <c r="I461" s="530">
        <f t="shared" si="56"/>
        <v>195</v>
      </c>
      <c r="J461" s="530">
        <f t="shared" si="56"/>
        <v>199</v>
      </c>
    </row>
    <row r="462" spans="1:10" ht="18" customHeight="1">
      <c r="A462" s="534" t="s">
        <v>1229</v>
      </c>
      <c r="B462" s="534" t="s">
        <v>1405</v>
      </c>
      <c r="C462" s="535" t="s">
        <v>643</v>
      </c>
      <c r="D462" s="530">
        <f>VLOOKUP(C462,'급수계통별장래인구(출x)'!$C$5:$D$491,2,FALSE)</f>
        <v>164</v>
      </c>
      <c r="E462" s="518">
        <f t="shared" si="55"/>
        <v>1.2716628542627844E-3</v>
      </c>
      <c r="F462" s="541">
        <f t="shared" si="56"/>
        <v>168</v>
      </c>
      <c r="G462" s="530">
        <f t="shared" si="56"/>
        <v>166</v>
      </c>
      <c r="H462" s="530">
        <f t="shared" si="56"/>
        <v>169</v>
      </c>
      <c r="I462" s="530">
        <f t="shared" si="56"/>
        <v>173</v>
      </c>
      <c r="J462" s="530">
        <f t="shared" si="56"/>
        <v>176</v>
      </c>
    </row>
    <row r="463" spans="1:10" ht="18" customHeight="1">
      <c r="A463" s="534" t="s">
        <v>1229</v>
      </c>
      <c r="B463" s="534" t="s">
        <v>1405</v>
      </c>
      <c r="C463" s="535" t="s">
        <v>644</v>
      </c>
      <c r="D463" s="530">
        <f>VLOOKUP(C463,'급수계통별장래인구(출x)'!$C$5:$D$491,2,FALSE)</f>
        <v>221</v>
      </c>
      <c r="E463" s="518">
        <f t="shared" si="55"/>
        <v>1.7136432365370449E-3</v>
      </c>
      <c r="F463" s="541">
        <f t="shared" si="56"/>
        <v>227</v>
      </c>
      <c r="G463" s="530">
        <f t="shared" si="56"/>
        <v>224</v>
      </c>
      <c r="H463" s="530">
        <f t="shared" si="56"/>
        <v>228</v>
      </c>
      <c r="I463" s="530">
        <f t="shared" si="56"/>
        <v>233</v>
      </c>
      <c r="J463" s="530">
        <f t="shared" si="56"/>
        <v>237</v>
      </c>
    </row>
    <row r="464" spans="1:10" ht="18" customHeight="1">
      <c r="A464" s="534" t="s">
        <v>1229</v>
      </c>
      <c r="B464" s="534" t="s">
        <v>1406</v>
      </c>
      <c r="C464" s="530" t="s">
        <v>645</v>
      </c>
      <c r="D464" s="530">
        <f>VLOOKUP(C464,'급수계통별장래인구(출x)'!$C$5:$D$491,2,FALSE)</f>
        <v>3239</v>
      </c>
      <c r="E464" s="518">
        <f t="shared" si="55"/>
        <v>2.5115341371689994E-2</v>
      </c>
      <c r="F464" s="541">
        <f t="shared" si="56"/>
        <v>3327</v>
      </c>
      <c r="G464" s="530">
        <f t="shared" si="56"/>
        <v>3277</v>
      </c>
      <c r="H464" s="530">
        <f t="shared" si="56"/>
        <v>3345</v>
      </c>
      <c r="I464" s="530">
        <f t="shared" si="56"/>
        <v>3421</v>
      </c>
      <c r="J464" s="530">
        <f t="shared" si="56"/>
        <v>3480</v>
      </c>
    </row>
    <row r="465" spans="1:10" ht="18" customHeight="1">
      <c r="A465" s="534" t="s">
        <v>1229</v>
      </c>
      <c r="B465" s="534" t="s">
        <v>1406</v>
      </c>
      <c r="C465" s="530" t="s">
        <v>646</v>
      </c>
      <c r="D465" s="530">
        <f>VLOOKUP(C465,'급수계통별장래인구(출x)'!$C$5:$D$491,2,FALSE)</f>
        <v>808</v>
      </c>
      <c r="E465" s="518">
        <f t="shared" si="55"/>
        <v>6.2652657697824989E-3</v>
      </c>
      <c r="F465" s="541">
        <f t="shared" si="56"/>
        <v>830</v>
      </c>
      <c r="G465" s="530">
        <f t="shared" si="56"/>
        <v>817</v>
      </c>
      <c r="H465" s="530">
        <f t="shared" si="56"/>
        <v>835</v>
      </c>
      <c r="I465" s="530">
        <f t="shared" si="56"/>
        <v>853</v>
      </c>
      <c r="J465" s="530">
        <f t="shared" si="56"/>
        <v>868</v>
      </c>
    </row>
    <row r="466" spans="1:10" ht="18" customHeight="1">
      <c r="A466" s="534" t="s">
        <v>1229</v>
      </c>
      <c r="B466" s="534" t="s">
        <v>1406</v>
      </c>
      <c r="C466" s="530" t="s">
        <v>647</v>
      </c>
      <c r="D466" s="530">
        <f>VLOOKUP(C466,'급수계통별장래인구(출x)'!$C$5:$D$491,2,FALSE)</f>
        <v>290</v>
      </c>
      <c r="E466" s="518">
        <f t="shared" si="55"/>
        <v>2.2486721203427286E-3</v>
      </c>
      <c r="F466" s="541">
        <f t="shared" si="56"/>
        <v>298</v>
      </c>
      <c r="G466" s="530">
        <f t="shared" si="56"/>
        <v>293</v>
      </c>
      <c r="H466" s="530">
        <f t="shared" si="56"/>
        <v>300</v>
      </c>
      <c r="I466" s="530">
        <f t="shared" si="56"/>
        <v>306</v>
      </c>
      <c r="J466" s="530">
        <f t="shared" si="56"/>
        <v>312</v>
      </c>
    </row>
    <row r="467" spans="1:10" ht="18" customHeight="1">
      <c r="A467" s="534" t="s">
        <v>1229</v>
      </c>
      <c r="B467" s="534" t="s">
        <v>1406</v>
      </c>
      <c r="C467" s="530" t="s">
        <v>648</v>
      </c>
      <c r="D467" s="530">
        <f>VLOOKUP(C467,'급수계통별장래인구(출x)'!$C$5:$D$491,2,FALSE)</f>
        <v>911</v>
      </c>
      <c r="E467" s="518">
        <f t="shared" si="55"/>
        <v>7.0639320745938825E-3</v>
      </c>
      <c r="F467" s="541">
        <f t="shared" si="56"/>
        <v>936</v>
      </c>
      <c r="G467" s="530">
        <f t="shared" si="56"/>
        <v>922</v>
      </c>
      <c r="H467" s="530">
        <f t="shared" si="56"/>
        <v>941</v>
      </c>
      <c r="I467" s="530">
        <f t="shared" si="56"/>
        <v>962</v>
      </c>
      <c r="J467" s="530">
        <f t="shared" si="56"/>
        <v>979</v>
      </c>
    </row>
    <row r="468" spans="1:10" ht="18" customHeight="1">
      <c r="A468" s="534" t="s">
        <v>1229</v>
      </c>
      <c r="B468" s="534" t="s">
        <v>1406</v>
      </c>
      <c r="C468" s="530" t="s">
        <v>649</v>
      </c>
      <c r="D468" s="530">
        <f>VLOOKUP(C468,'급수계통별장래인구(출x)'!$C$5:$D$491,2,FALSE)</f>
        <v>1943</v>
      </c>
      <c r="E468" s="518">
        <f t="shared" si="55"/>
        <v>1.5066103206296281E-2</v>
      </c>
      <c r="F468" s="541">
        <f t="shared" si="56"/>
        <v>1996</v>
      </c>
      <c r="G468" s="530">
        <f t="shared" si="56"/>
        <v>1966</v>
      </c>
      <c r="H468" s="530">
        <f t="shared" si="56"/>
        <v>2007</v>
      </c>
      <c r="I468" s="530">
        <f t="shared" si="56"/>
        <v>2052</v>
      </c>
      <c r="J468" s="530">
        <f t="shared" si="56"/>
        <v>2088</v>
      </c>
    </row>
    <row r="469" spans="1:10" ht="18" customHeight="1">
      <c r="A469" s="534" t="s">
        <v>1229</v>
      </c>
      <c r="B469" s="534" t="s">
        <v>1406</v>
      </c>
      <c r="C469" s="530" t="s">
        <v>650</v>
      </c>
      <c r="D469" s="530">
        <f>VLOOKUP(C469,'급수계통별장래인구(출x)'!$C$5:$D$491,2,FALSE)</f>
        <v>1108</v>
      </c>
      <c r="E469" s="518">
        <f t="shared" si="55"/>
        <v>8.5914783080680811E-3</v>
      </c>
      <c r="F469" s="541">
        <f t="shared" si="56"/>
        <v>1138</v>
      </c>
      <c r="G469" s="530">
        <f t="shared" si="56"/>
        <v>1121</v>
      </c>
      <c r="H469" s="530">
        <f t="shared" si="56"/>
        <v>1144</v>
      </c>
      <c r="I469" s="530">
        <f t="shared" si="56"/>
        <v>1170</v>
      </c>
      <c r="J469" s="530">
        <f t="shared" si="56"/>
        <v>1190</v>
      </c>
    </row>
    <row r="470" spans="1:10" ht="18" customHeight="1">
      <c r="A470" s="534" t="s">
        <v>1229</v>
      </c>
      <c r="B470" s="534" t="s">
        <v>1406</v>
      </c>
      <c r="C470" s="530" t="s">
        <v>651</v>
      </c>
      <c r="D470" s="530">
        <f>VLOOKUP(C470,'급수계통별장래인구(출x)'!$C$5:$D$491,2,FALSE)</f>
        <v>386</v>
      </c>
      <c r="E470" s="518">
        <f t="shared" si="55"/>
        <v>2.9930601325941146E-3</v>
      </c>
      <c r="F470" s="541">
        <f t="shared" si="56"/>
        <v>397</v>
      </c>
      <c r="G470" s="530">
        <f t="shared" si="56"/>
        <v>391</v>
      </c>
      <c r="H470" s="530">
        <f t="shared" si="56"/>
        <v>399</v>
      </c>
      <c r="I470" s="530">
        <f t="shared" si="56"/>
        <v>408</v>
      </c>
      <c r="J470" s="530">
        <f t="shared" si="56"/>
        <v>415</v>
      </c>
    </row>
    <row r="471" spans="1:10" ht="18" customHeight="1">
      <c r="A471" s="534" t="s">
        <v>1229</v>
      </c>
      <c r="B471" s="534" t="s">
        <v>1406</v>
      </c>
      <c r="C471" s="530" t="s">
        <v>652</v>
      </c>
      <c r="D471" s="530">
        <f>VLOOKUP(C471,'급수계통별장래인구(출x)'!$C$5:$D$491,2,FALSE)</f>
        <v>1571</v>
      </c>
      <c r="E471" s="518">
        <f t="shared" si="55"/>
        <v>1.2181599658822161E-2</v>
      </c>
      <c r="F471" s="541">
        <f t="shared" si="56"/>
        <v>1614</v>
      </c>
      <c r="G471" s="530">
        <f t="shared" si="56"/>
        <v>1589</v>
      </c>
      <c r="H471" s="530">
        <f t="shared" si="56"/>
        <v>1623</v>
      </c>
      <c r="I471" s="530">
        <f t="shared" si="56"/>
        <v>1659</v>
      </c>
      <c r="J471" s="530">
        <f t="shared" si="56"/>
        <v>1688</v>
      </c>
    </row>
    <row r="472" spans="1:10" ht="18" customHeight="1">
      <c r="A472" s="534" t="s">
        <v>1229</v>
      </c>
      <c r="B472" s="534" t="s">
        <v>1406</v>
      </c>
      <c r="C472" s="530" t="s">
        <v>653</v>
      </c>
      <c r="D472" s="530">
        <f>VLOOKUP(C472,'급수계통별장래인구(출x)'!$C$5:$D$491,2,FALSE)</f>
        <v>1473</v>
      </c>
      <c r="E472" s="518">
        <f t="shared" si="55"/>
        <v>1.1421703562982204E-2</v>
      </c>
      <c r="F472" s="541">
        <f t="shared" si="56"/>
        <v>1513</v>
      </c>
      <c r="G472" s="530">
        <f t="shared" si="56"/>
        <v>1490</v>
      </c>
      <c r="H472" s="530">
        <f t="shared" si="56"/>
        <v>1521</v>
      </c>
      <c r="I472" s="530">
        <f t="shared" si="56"/>
        <v>1556</v>
      </c>
      <c r="J472" s="530">
        <f t="shared" si="56"/>
        <v>1583</v>
      </c>
    </row>
    <row r="473" spans="1:10" ht="18" customHeight="1">
      <c r="A473" s="534" t="s">
        <v>1229</v>
      </c>
      <c r="B473" s="534" t="s">
        <v>1407</v>
      </c>
      <c r="C473" s="535" t="s">
        <v>654</v>
      </c>
      <c r="D473" s="530">
        <f>VLOOKUP(C473,'급수계통별장래인구(출x)'!$C$5:$D$491,2,FALSE)</f>
        <v>347</v>
      </c>
      <c r="E473" s="518">
        <f t="shared" si="55"/>
        <v>2.6906525026169892E-3</v>
      </c>
      <c r="F473" s="541">
        <f t="shared" si="56"/>
        <v>356</v>
      </c>
      <c r="G473" s="530">
        <f t="shared" si="56"/>
        <v>351</v>
      </c>
      <c r="H473" s="530">
        <f t="shared" si="56"/>
        <v>358</v>
      </c>
      <c r="I473" s="530">
        <f t="shared" si="56"/>
        <v>367</v>
      </c>
      <c r="J473" s="530">
        <f t="shared" si="56"/>
        <v>373</v>
      </c>
    </row>
    <row r="474" spans="1:10" ht="18" customHeight="1">
      <c r="A474" s="534" t="s">
        <v>1229</v>
      </c>
      <c r="B474" s="534" t="s">
        <v>1407</v>
      </c>
      <c r="C474" s="535" t="s">
        <v>655</v>
      </c>
      <c r="D474" s="530">
        <f>VLOOKUP(C474,'급수계통별장래인구(출x)'!$C$5:$D$491,2,FALSE)</f>
        <v>219</v>
      </c>
      <c r="E474" s="518">
        <f t="shared" si="55"/>
        <v>1.6981351529484743E-3</v>
      </c>
      <c r="F474" s="541">
        <f t="shared" si="56"/>
        <v>225</v>
      </c>
      <c r="G474" s="530">
        <f t="shared" si="56"/>
        <v>222</v>
      </c>
      <c r="H474" s="530">
        <f t="shared" si="56"/>
        <v>226</v>
      </c>
      <c r="I474" s="530">
        <f t="shared" si="56"/>
        <v>231</v>
      </c>
      <c r="J474" s="530">
        <f t="shared" si="56"/>
        <v>235</v>
      </c>
    </row>
    <row r="475" spans="1:10" ht="18" customHeight="1">
      <c r="A475" s="537" t="s">
        <v>1231</v>
      </c>
      <c r="B475" s="577" t="s">
        <v>1232</v>
      </c>
      <c r="C475" s="577"/>
      <c r="D475" s="538">
        <f>SUM(D476:D499)</f>
        <v>18943</v>
      </c>
      <c r="E475" s="538"/>
      <c r="F475" s="538">
        <f t="shared" ref="F475" si="57">SUM(F476:F499)</f>
        <v>19460</v>
      </c>
      <c r="G475" s="538">
        <f t="shared" ref="G475:J475" si="58">SUM(G476:G499)</f>
        <v>19164</v>
      </c>
      <c r="H475" s="538">
        <f t="shared" si="58"/>
        <v>19564</v>
      </c>
      <c r="I475" s="538">
        <f t="shared" si="58"/>
        <v>20010</v>
      </c>
      <c r="J475" s="538">
        <f t="shared" si="58"/>
        <v>20354</v>
      </c>
    </row>
    <row r="476" spans="1:10" ht="18" customHeight="1">
      <c r="A476" s="534" t="s">
        <v>1231</v>
      </c>
      <c r="B476" s="534" t="s">
        <v>1233</v>
      </c>
      <c r="C476" s="530" t="s">
        <v>656</v>
      </c>
      <c r="D476" s="530">
        <f>VLOOKUP(C476,'급수계통별장래인구(출x)'!$C$5:$D$491,2,FALSE)</f>
        <v>763</v>
      </c>
      <c r="E476" s="518">
        <f t="shared" ref="E476:E499" si="59">D476/$D$3</f>
        <v>5.9163338890396615E-3</v>
      </c>
      <c r="F476" s="541">
        <f t="shared" ref="F476:J499" si="60">ROUND($E476*F$3,0)</f>
        <v>784</v>
      </c>
      <c r="G476" s="530">
        <f t="shared" si="60"/>
        <v>772</v>
      </c>
      <c r="H476" s="530">
        <f t="shared" si="60"/>
        <v>788</v>
      </c>
      <c r="I476" s="530">
        <f t="shared" si="60"/>
        <v>806</v>
      </c>
      <c r="J476" s="530">
        <f t="shared" si="60"/>
        <v>820</v>
      </c>
    </row>
    <row r="477" spans="1:10" ht="18" customHeight="1">
      <c r="A477" s="534" t="s">
        <v>1231</v>
      </c>
      <c r="B477" s="534" t="s">
        <v>1233</v>
      </c>
      <c r="C477" s="530" t="s">
        <v>657</v>
      </c>
      <c r="D477" s="530">
        <f>VLOOKUP(C477,'급수계통별장래인구(출x)'!$C$5:$D$491,2,FALSE)</f>
        <v>631</v>
      </c>
      <c r="E477" s="518">
        <f t="shared" si="59"/>
        <v>4.8928003721940058E-3</v>
      </c>
      <c r="F477" s="541">
        <f t="shared" si="60"/>
        <v>648</v>
      </c>
      <c r="G477" s="530">
        <f t="shared" si="60"/>
        <v>638</v>
      </c>
      <c r="H477" s="530">
        <f t="shared" si="60"/>
        <v>652</v>
      </c>
      <c r="I477" s="530">
        <f t="shared" si="60"/>
        <v>667</v>
      </c>
      <c r="J477" s="530">
        <f t="shared" si="60"/>
        <v>678</v>
      </c>
    </row>
    <row r="478" spans="1:10" ht="18" customHeight="1">
      <c r="A478" s="534" t="s">
        <v>1231</v>
      </c>
      <c r="B478" s="534" t="s">
        <v>1233</v>
      </c>
      <c r="C478" s="530" t="s">
        <v>658</v>
      </c>
      <c r="D478" s="530">
        <f>VLOOKUP(C478,'급수계통별장래인구(출x)'!$C$5:$D$491,2,FALSE)</f>
        <v>610</v>
      </c>
      <c r="E478" s="518">
        <f t="shared" si="59"/>
        <v>4.7299654945140157E-3</v>
      </c>
      <c r="F478" s="541">
        <f t="shared" si="60"/>
        <v>627</v>
      </c>
      <c r="G478" s="530">
        <f t="shared" si="60"/>
        <v>617</v>
      </c>
      <c r="H478" s="530">
        <f t="shared" si="60"/>
        <v>630</v>
      </c>
      <c r="I478" s="530">
        <f t="shared" si="60"/>
        <v>644</v>
      </c>
      <c r="J478" s="530">
        <f t="shared" si="60"/>
        <v>655</v>
      </c>
    </row>
    <row r="479" spans="1:10" ht="18" customHeight="1">
      <c r="A479" s="534" t="s">
        <v>1231</v>
      </c>
      <c r="B479" s="534" t="s">
        <v>1233</v>
      </c>
      <c r="C479" s="530" t="s">
        <v>659</v>
      </c>
      <c r="D479" s="530">
        <f>VLOOKUP(C479,'급수계통별장래인구(출x)'!$C$5:$D$491,2,FALSE)</f>
        <v>698</v>
      </c>
      <c r="E479" s="518">
        <f t="shared" si="59"/>
        <v>5.4123211724111196E-3</v>
      </c>
      <c r="F479" s="541">
        <f t="shared" si="60"/>
        <v>717</v>
      </c>
      <c r="G479" s="530">
        <f t="shared" si="60"/>
        <v>706</v>
      </c>
      <c r="H479" s="530">
        <f t="shared" si="60"/>
        <v>721</v>
      </c>
      <c r="I479" s="530">
        <f t="shared" si="60"/>
        <v>737</v>
      </c>
      <c r="J479" s="530">
        <f t="shared" si="60"/>
        <v>750</v>
      </c>
    </row>
    <row r="480" spans="1:10" ht="18" customHeight="1">
      <c r="A480" s="534" t="s">
        <v>1231</v>
      </c>
      <c r="B480" s="534" t="s">
        <v>1233</v>
      </c>
      <c r="C480" s="530" t="s">
        <v>1100</v>
      </c>
      <c r="D480" s="530">
        <f>VLOOKUP(C480,'급수계통별장래인구(출x)'!$C$5:$D$491,2,FALSE)</f>
        <v>359</v>
      </c>
      <c r="E480" s="518">
        <f t="shared" si="59"/>
        <v>2.7837010041484125E-3</v>
      </c>
      <c r="F480" s="541">
        <f t="shared" si="60"/>
        <v>369</v>
      </c>
      <c r="G480" s="530">
        <f t="shared" si="60"/>
        <v>363</v>
      </c>
      <c r="H480" s="530">
        <f t="shared" si="60"/>
        <v>371</v>
      </c>
      <c r="I480" s="530">
        <f t="shared" si="60"/>
        <v>379</v>
      </c>
      <c r="J480" s="530">
        <f t="shared" si="60"/>
        <v>386</v>
      </c>
    </row>
    <row r="481" spans="1:10" ht="18" customHeight="1">
      <c r="A481" s="534" t="s">
        <v>1231</v>
      </c>
      <c r="B481" s="534" t="s">
        <v>1233</v>
      </c>
      <c r="C481" s="530" t="s">
        <v>660</v>
      </c>
      <c r="D481" s="530">
        <f>VLOOKUP(C481,'급수계통별장래인구(출x)'!$C$5:$D$491,2,FALSE)</f>
        <v>1502</v>
      </c>
      <c r="E481" s="518">
        <f t="shared" si="59"/>
        <v>1.1646570775016477E-2</v>
      </c>
      <c r="F481" s="541">
        <f t="shared" si="60"/>
        <v>1543</v>
      </c>
      <c r="G481" s="530">
        <f t="shared" si="60"/>
        <v>1520</v>
      </c>
      <c r="H481" s="530">
        <f t="shared" si="60"/>
        <v>1551</v>
      </c>
      <c r="I481" s="530">
        <f t="shared" si="60"/>
        <v>1587</v>
      </c>
      <c r="J481" s="530">
        <f t="shared" si="60"/>
        <v>1614</v>
      </c>
    </row>
    <row r="482" spans="1:10" ht="18" customHeight="1">
      <c r="A482" s="534" t="s">
        <v>1231</v>
      </c>
      <c r="B482" s="534" t="s">
        <v>1231</v>
      </c>
      <c r="C482" s="535" t="s">
        <v>661</v>
      </c>
      <c r="D482" s="530">
        <f>VLOOKUP(C482,'급수계통별장래인구(출x)'!$C$5:$D$491,2,FALSE)</f>
        <v>310</v>
      </c>
      <c r="E482" s="518">
        <f t="shared" si="59"/>
        <v>2.403752956228434E-3</v>
      </c>
      <c r="F482" s="541">
        <f t="shared" si="60"/>
        <v>318</v>
      </c>
      <c r="G482" s="530">
        <f t="shared" si="60"/>
        <v>314</v>
      </c>
      <c r="H482" s="530">
        <f t="shared" si="60"/>
        <v>320</v>
      </c>
      <c r="I482" s="530">
        <f t="shared" si="60"/>
        <v>327</v>
      </c>
      <c r="J482" s="530">
        <f t="shared" si="60"/>
        <v>333</v>
      </c>
    </row>
    <row r="483" spans="1:10" ht="18" customHeight="1">
      <c r="A483" s="534" t="s">
        <v>1231</v>
      </c>
      <c r="B483" s="534" t="s">
        <v>1231</v>
      </c>
      <c r="C483" s="535" t="s">
        <v>662</v>
      </c>
      <c r="D483" s="530">
        <f>VLOOKUP(C483,'급수계통별장래인구(출x)'!$C$5:$D$491,2,FALSE)</f>
        <v>1545</v>
      </c>
      <c r="E483" s="518">
        <f t="shared" si="59"/>
        <v>1.1979994572170744E-2</v>
      </c>
      <c r="F483" s="541">
        <f t="shared" si="60"/>
        <v>1587</v>
      </c>
      <c r="G483" s="530">
        <f t="shared" si="60"/>
        <v>1563</v>
      </c>
      <c r="H483" s="530">
        <f t="shared" si="60"/>
        <v>1596</v>
      </c>
      <c r="I483" s="530">
        <f t="shared" si="60"/>
        <v>1632</v>
      </c>
      <c r="J483" s="530">
        <f t="shared" si="60"/>
        <v>1660</v>
      </c>
    </row>
    <row r="484" spans="1:10" ht="18" customHeight="1">
      <c r="A484" s="534" t="s">
        <v>1231</v>
      </c>
      <c r="B484" s="534" t="s">
        <v>1231</v>
      </c>
      <c r="C484" s="535" t="s">
        <v>663</v>
      </c>
      <c r="D484" s="530">
        <f>VLOOKUP(C484,'급수계통별장래인구(출x)'!$C$5:$D$491,2,FALSE)</f>
        <v>462</v>
      </c>
      <c r="E484" s="518">
        <f t="shared" si="59"/>
        <v>3.5823673089597952E-3</v>
      </c>
      <c r="F484" s="541">
        <f t="shared" si="60"/>
        <v>475</v>
      </c>
      <c r="G484" s="530">
        <f t="shared" si="60"/>
        <v>467</v>
      </c>
      <c r="H484" s="530">
        <f t="shared" si="60"/>
        <v>477</v>
      </c>
      <c r="I484" s="530">
        <f t="shared" si="60"/>
        <v>488</v>
      </c>
      <c r="J484" s="530">
        <f t="shared" si="60"/>
        <v>496</v>
      </c>
    </row>
    <row r="485" spans="1:10" ht="18" customHeight="1">
      <c r="A485" s="534" t="s">
        <v>1231</v>
      </c>
      <c r="B485" s="534" t="s">
        <v>1231</v>
      </c>
      <c r="C485" s="535" t="s">
        <v>664</v>
      </c>
      <c r="D485" s="530">
        <f>VLOOKUP(C485,'급수계통별장래인구(출x)'!$C$5:$D$491,2,FALSE)</f>
        <v>836</v>
      </c>
      <c r="E485" s="518">
        <f t="shared" si="59"/>
        <v>6.4823789400224865E-3</v>
      </c>
      <c r="F485" s="541">
        <f t="shared" si="60"/>
        <v>859</v>
      </c>
      <c r="G485" s="530">
        <f t="shared" si="60"/>
        <v>846</v>
      </c>
      <c r="H485" s="530">
        <f t="shared" si="60"/>
        <v>863</v>
      </c>
      <c r="I485" s="530">
        <f t="shared" si="60"/>
        <v>883</v>
      </c>
      <c r="J485" s="530">
        <f t="shared" si="60"/>
        <v>898</v>
      </c>
    </row>
    <row r="486" spans="1:10" ht="18" customHeight="1">
      <c r="A486" s="534" t="s">
        <v>1231</v>
      </c>
      <c r="B486" s="534" t="s">
        <v>1231</v>
      </c>
      <c r="C486" s="535" t="s">
        <v>665</v>
      </c>
      <c r="D486" s="530">
        <f>VLOOKUP(C486,'급수계통별장래인구(출x)'!$C$5:$D$491,2,FALSE)</f>
        <v>391</v>
      </c>
      <c r="E486" s="518">
        <f t="shared" si="59"/>
        <v>3.0318303415655412E-3</v>
      </c>
      <c r="F486" s="541">
        <f t="shared" si="60"/>
        <v>402</v>
      </c>
      <c r="G486" s="530">
        <f t="shared" si="60"/>
        <v>396</v>
      </c>
      <c r="H486" s="530">
        <f t="shared" si="60"/>
        <v>404</v>
      </c>
      <c r="I486" s="530">
        <f t="shared" si="60"/>
        <v>413</v>
      </c>
      <c r="J486" s="530">
        <f t="shared" si="60"/>
        <v>420</v>
      </c>
    </row>
    <row r="487" spans="1:10" ht="18" customHeight="1">
      <c r="A487" s="534" t="s">
        <v>1231</v>
      </c>
      <c r="B487" s="534" t="s">
        <v>1231</v>
      </c>
      <c r="C487" s="535" t="s">
        <v>666</v>
      </c>
      <c r="D487" s="530">
        <f>VLOOKUP(C487,'급수계통별장래인구(출x)'!$C$5:$D$491,2,FALSE)</f>
        <v>565</v>
      </c>
      <c r="E487" s="518">
        <f t="shared" si="59"/>
        <v>4.3810336137711783E-3</v>
      </c>
      <c r="F487" s="541">
        <f t="shared" si="60"/>
        <v>580</v>
      </c>
      <c r="G487" s="530">
        <f t="shared" si="60"/>
        <v>572</v>
      </c>
      <c r="H487" s="530">
        <f t="shared" si="60"/>
        <v>584</v>
      </c>
      <c r="I487" s="530">
        <f t="shared" si="60"/>
        <v>597</v>
      </c>
      <c r="J487" s="530">
        <f t="shared" si="60"/>
        <v>607</v>
      </c>
    </row>
    <row r="488" spans="1:10" ht="18" customHeight="1">
      <c r="A488" s="534" t="s">
        <v>1231</v>
      </c>
      <c r="B488" s="534" t="s">
        <v>1231</v>
      </c>
      <c r="C488" s="535" t="s">
        <v>667</v>
      </c>
      <c r="D488" s="530">
        <f>VLOOKUP(C488,'급수계통별장래인구(출x)'!$C$5:$D$491,2,FALSE)</f>
        <v>2122</v>
      </c>
      <c r="E488" s="518">
        <f t="shared" si="59"/>
        <v>1.6454076687473347E-2</v>
      </c>
      <c r="F488" s="541">
        <f t="shared" si="60"/>
        <v>2180</v>
      </c>
      <c r="G488" s="530">
        <f t="shared" si="60"/>
        <v>2147</v>
      </c>
      <c r="H488" s="530">
        <f t="shared" si="60"/>
        <v>2192</v>
      </c>
      <c r="I488" s="530">
        <f t="shared" si="60"/>
        <v>2241</v>
      </c>
      <c r="J488" s="530">
        <f t="shared" si="60"/>
        <v>2280</v>
      </c>
    </row>
    <row r="489" spans="1:10" ht="18" customHeight="1">
      <c r="A489" s="534" t="s">
        <v>1231</v>
      </c>
      <c r="B489" s="534" t="s">
        <v>1231</v>
      </c>
      <c r="C489" s="535" t="s">
        <v>1205</v>
      </c>
      <c r="D489" s="530">
        <f>VLOOKUP(C489,'급수계통별장래인구(출x)'!$C$5:$D$491,2,FALSE)</f>
        <v>614</v>
      </c>
      <c r="E489" s="518">
        <f t="shared" si="59"/>
        <v>4.7609816616911568E-3</v>
      </c>
      <c r="F489" s="541">
        <f t="shared" si="60"/>
        <v>631</v>
      </c>
      <c r="G489" s="530">
        <f t="shared" si="60"/>
        <v>621</v>
      </c>
      <c r="H489" s="530">
        <f t="shared" si="60"/>
        <v>634</v>
      </c>
      <c r="I489" s="530">
        <f t="shared" si="60"/>
        <v>649</v>
      </c>
      <c r="J489" s="530">
        <f t="shared" si="60"/>
        <v>660</v>
      </c>
    </row>
    <row r="490" spans="1:10" ht="18" customHeight="1">
      <c r="A490" s="534" t="s">
        <v>1231</v>
      </c>
      <c r="B490" s="534" t="s">
        <v>1408</v>
      </c>
      <c r="C490" s="535" t="s">
        <v>668</v>
      </c>
      <c r="D490" s="530">
        <f>VLOOKUP(C490,'급수계통별장래인구(출x)'!$C$5:$D$491,2,FALSE)</f>
        <v>280</v>
      </c>
      <c r="E490" s="518">
        <f t="shared" si="59"/>
        <v>2.1711317023998759E-3</v>
      </c>
      <c r="F490" s="541">
        <f t="shared" si="60"/>
        <v>288</v>
      </c>
      <c r="G490" s="530">
        <f t="shared" si="60"/>
        <v>283</v>
      </c>
      <c r="H490" s="530">
        <f t="shared" si="60"/>
        <v>289</v>
      </c>
      <c r="I490" s="530">
        <f t="shared" si="60"/>
        <v>296</v>
      </c>
      <c r="J490" s="530">
        <f t="shared" si="60"/>
        <v>301</v>
      </c>
    </row>
    <row r="491" spans="1:10" ht="18" customHeight="1">
      <c r="A491" s="534" t="s">
        <v>1231</v>
      </c>
      <c r="B491" s="534" t="s">
        <v>1408</v>
      </c>
      <c r="C491" s="535" t="s">
        <v>669</v>
      </c>
      <c r="D491" s="530">
        <f>VLOOKUP(C491,'급수계통별장래인구(출x)'!$C$5:$D$491,2,FALSE)</f>
        <v>435</v>
      </c>
      <c r="E491" s="518">
        <f t="shared" si="59"/>
        <v>3.3730081805140931E-3</v>
      </c>
      <c r="F491" s="541">
        <f t="shared" si="60"/>
        <v>447</v>
      </c>
      <c r="G491" s="530">
        <f t="shared" si="60"/>
        <v>440</v>
      </c>
      <c r="H491" s="530">
        <f t="shared" si="60"/>
        <v>449</v>
      </c>
      <c r="I491" s="530">
        <f t="shared" si="60"/>
        <v>459</v>
      </c>
      <c r="J491" s="530">
        <f t="shared" si="60"/>
        <v>467</v>
      </c>
    </row>
    <row r="492" spans="1:10" ht="18" customHeight="1">
      <c r="A492" s="534" t="s">
        <v>1231</v>
      </c>
      <c r="B492" s="534" t="s">
        <v>1409</v>
      </c>
      <c r="C492" s="535" t="s">
        <v>670</v>
      </c>
      <c r="D492" s="530">
        <f>VLOOKUP(C492,'급수계통별장래인구(출x)'!$C$5:$D$491,2,FALSE)</f>
        <v>244</v>
      </c>
      <c r="E492" s="518">
        <f t="shared" si="59"/>
        <v>1.8919861978056061E-3</v>
      </c>
      <c r="F492" s="541">
        <f t="shared" si="60"/>
        <v>251</v>
      </c>
      <c r="G492" s="530">
        <f t="shared" si="60"/>
        <v>247</v>
      </c>
      <c r="H492" s="530">
        <f t="shared" si="60"/>
        <v>252</v>
      </c>
      <c r="I492" s="530">
        <f t="shared" si="60"/>
        <v>258</v>
      </c>
      <c r="J492" s="530">
        <f t="shared" si="60"/>
        <v>262</v>
      </c>
    </row>
    <row r="493" spans="1:10" ht="18" customHeight="1">
      <c r="A493" s="534" t="s">
        <v>1231</v>
      </c>
      <c r="B493" s="534" t="s">
        <v>1409</v>
      </c>
      <c r="C493" s="535" t="s">
        <v>671</v>
      </c>
      <c r="D493" s="530">
        <f>VLOOKUP(C493,'급수계통별장래인구(출x)'!$C$5:$D$491,2,FALSE)</f>
        <v>161</v>
      </c>
      <c r="E493" s="518">
        <f t="shared" si="59"/>
        <v>1.2484007288799286E-3</v>
      </c>
      <c r="F493" s="541">
        <f t="shared" si="60"/>
        <v>165</v>
      </c>
      <c r="G493" s="530">
        <f t="shared" si="60"/>
        <v>163</v>
      </c>
      <c r="H493" s="530">
        <f t="shared" si="60"/>
        <v>166</v>
      </c>
      <c r="I493" s="530">
        <f t="shared" si="60"/>
        <v>170</v>
      </c>
      <c r="J493" s="530">
        <f t="shared" si="60"/>
        <v>173</v>
      </c>
    </row>
    <row r="494" spans="1:10" ht="18" customHeight="1">
      <c r="A494" s="534" t="s">
        <v>1231</v>
      </c>
      <c r="B494" s="534" t="s">
        <v>1409</v>
      </c>
      <c r="C494" s="535" t="s">
        <v>672</v>
      </c>
      <c r="D494" s="530">
        <f>VLOOKUP(C494,'급수계통별장래인구(출x)'!$C$5:$D$491,2,FALSE)</f>
        <v>118</v>
      </c>
      <c r="E494" s="518">
        <f t="shared" si="59"/>
        <v>9.1497693172566197E-4</v>
      </c>
      <c r="F494" s="541">
        <f t="shared" si="60"/>
        <v>121</v>
      </c>
      <c r="G494" s="530">
        <f t="shared" si="60"/>
        <v>119</v>
      </c>
      <c r="H494" s="530">
        <f t="shared" si="60"/>
        <v>122</v>
      </c>
      <c r="I494" s="530">
        <f t="shared" si="60"/>
        <v>125</v>
      </c>
      <c r="J494" s="530">
        <f t="shared" si="60"/>
        <v>127</v>
      </c>
    </row>
    <row r="495" spans="1:10" ht="18" customHeight="1">
      <c r="A495" s="534" t="s">
        <v>1231</v>
      </c>
      <c r="B495" s="534" t="s">
        <v>1409</v>
      </c>
      <c r="C495" s="535" t="s">
        <v>673</v>
      </c>
      <c r="D495" s="530">
        <f>VLOOKUP(C495,'급수계통별장래인구(출x)'!$C$5:$D$491,2,FALSE)</f>
        <v>1139</v>
      </c>
      <c r="E495" s="518">
        <f t="shared" si="59"/>
        <v>8.8318536036909243E-3</v>
      </c>
      <c r="F495" s="541">
        <f t="shared" si="60"/>
        <v>1170</v>
      </c>
      <c r="G495" s="530">
        <f t="shared" si="60"/>
        <v>1152</v>
      </c>
      <c r="H495" s="530">
        <f t="shared" si="60"/>
        <v>1176</v>
      </c>
      <c r="I495" s="530">
        <f t="shared" si="60"/>
        <v>1203</v>
      </c>
      <c r="J495" s="530">
        <f t="shared" si="60"/>
        <v>1224</v>
      </c>
    </row>
    <row r="496" spans="1:10" ht="18" customHeight="1">
      <c r="A496" s="534" t="s">
        <v>1231</v>
      </c>
      <c r="B496" s="534" t="s">
        <v>1409</v>
      </c>
      <c r="C496" s="535" t="s">
        <v>674</v>
      </c>
      <c r="D496" s="530">
        <f>VLOOKUP(C496,'급수계통별장래인구(출x)'!$C$5:$D$491,2,FALSE)</f>
        <v>3448</v>
      </c>
      <c r="E496" s="518">
        <f t="shared" si="59"/>
        <v>2.6735936106695616E-2</v>
      </c>
      <c r="F496" s="541">
        <f t="shared" si="60"/>
        <v>3542</v>
      </c>
      <c r="G496" s="530">
        <f t="shared" si="60"/>
        <v>3488</v>
      </c>
      <c r="H496" s="530">
        <f t="shared" si="60"/>
        <v>3561</v>
      </c>
      <c r="I496" s="530">
        <f t="shared" si="60"/>
        <v>3642</v>
      </c>
      <c r="J496" s="530">
        <f t="shared" si="60"/>
        <v>3705</v>
      </c>
    </row>
    <row r="497" spans="1:10" ht="18" customHeight="1">
      <c r="A497" s="534" t="s">
        <v>1231</v>
      </c>
      <c r="B497" s="534" t="s">
        <v>1409</v>
      </c>
      <c r="C497" s="535" t="s">
        <v>675</v>
      </c>
      <c r="D497" s="530">
        <f>VLOOKUP(C497,'급수계통별장래인구(출x)'!$C$5:$D$491,2,FALSE)</f>
        <v>223</v>
      </c>
      <c r="E497" s="518">
        <f t="shared" si="59"/>
        <v>1.7291513201256154E-3</v>
      </c>
      <c r="F497" s="541">
        <f t="shared" si="60"/>
        <v>229</v>
      </c>
      <c r="G497" s="530">
        <f t="shared" si="60"/>
        <v>226</v>
      </c>
      <c r="H497" s="530">
        <f t="shared" si="60"/>
        <v>230</v>
      </c>
      <c r="I497" s="530">
        <f t="shared" si="60"/>
        <v>236</v>
      </c>
      <c r="J497" s="530">
        <f t="shared" si="60"/>
        <v>240</v>
      </c>
    </row>
    <row r="498" spans="1:10" ht="18" customHeight="1">
      <c r="A498" s="534" t="s">
        <v>1231</v>
      </c>
      <c r="B498" s="534" t="s">
        <v>1409</v>
      </c>
      <c r="C498" s="535" t="s">
        <v>676</v>
      </c>
      <c r="D498" s="530">
        <f>VLOOKUP(C498,'급수계통별장래인구(출x)'!$C$5:$D$491,2,FALSE)</f>
        <v>1397</v>
      </c>
      <c r="E498" s="518">
        <f t="shared" si="59"/>
        <v>1.0832396386616525E-2</v>
      </c>
      <c r="F498" s="541">
        <f t="shared" si="60"/>
        <v>1435</v>
      </c>
      <c r="G498" s="530">
        <f t="shared" si="60"/>
        <v>1413</v>
      </c>
      <c r="H498" s="530">
        <f t="shared" si="60"/>
        <v>1443</v>
      </c>
      <c r="I498" s="530">
        <f t="shared" si="60"/>
        <v>1476</v>
      </c>
      <c r="J498" s="530">
        <f t="shared" si="60"/>
        <v>1501</v>
      </c>
    </row>
    <row r="499" spans="1:10" ht="18" customHeight="1">
      <c r="A499" s="534" t="s">
        <v>1231</v>
      </c>
      <c r="B499" s="534" t="s">
        <v>1409</v>
      </c>
      <c r="C499" s="535" t="s">
        <v>677</v>
      </c>
      <c r="D499" s="530">
        <f>VLOOKUP(C499,'급수계통별장래인구(출x)'!$C$5:$D$491,2,FALSE)</f>
        <v>90</v>
      </c>
      <c r="E499" s="518">
        <f t="shared" si="59"/>
        <v>6.9786376148567439E-4</v>
      </c>
      <c r="F499" s="541">
        <f t="shared" si="60"/>
        <v>92</v>
      </c>
      <c r="G499" s="530">
        <f t="shared" si="60"/>
        <v>91</v>
      </c>
      <c r="H499" s="530">
        <f t="shared" si="60"/>
        <v>93</v>
      </c>
      <c r="I499" s="530">
        <f t="shared" si="60"/>
        <v>95</v>
      </c>
      <c r="J499" s="530">
        <f t="shared" si="60"/>
        <v>97</v>
      </c>
    </row>
  </sheetData>
  <mergeCells count="18">
    <mergeCell ref="A1:J1"/>
    <mergeCell ref="B4:C4"/>
    <mergeCell ref="B33:C33"/>
    <mergeCell ref="B475:C475"/>
    <mergeCell ref="B438:C438"/>
    <mergeCell ref="A3:C3"/>
    <mergeCell ref="A2:C2"/>
    <mergeCell ref="B92:C92"/>
    <mergeCell ref="B124:C124"/>
    <mergeCell ref="B158:C158"/>
    <mergeCell ref="B185:C185"/>
    <mergeCell ref="B212:C212"/>
    <mergeCell ref="B246:C246"/>
    <mergeCell ref="B287:C287"/>
    <mergeCell ref="B311:C311"/>
    <mergeCell ref="B354:C354"/>
    <mergeCell ref="B383:C383"/>
    <mergeCell ref="B412:C412"/>
  </mergeCells>
  <phoneticPr fontId="10" type="noConversion"/>
  <printOptions horizontalCentered="1"/>
  <pageMargins left="0.62992125984251968" right="0.62992125984251968" top="0.62992125984251968" bottom="0.62992125984251968" header="0.31496062992125984" footer="0.31496062992125984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>
  <sheetPr codeName="Sheet13" enableFormatConditionsCalculation="0">
    <tabColor theme="1"/>
  </sheetPr>
  <dimension ref="A1:O587"/>
  <sheetViews>
    <sheetView view="pageBreakPreview" zoomScale="115" zoomScaleSheetLayoutView="115" workbookViewId="0">
      <selection activeCell="C57" sqref="C57"/>
    </sheetView>
  </sheetViews>
  <sheetFormatPr defaultRowHeight="13.5"/>
  <cols>
    <col min="1" max="2" width="6.77734375" customWidth="1"/>
    <col min="3" max="3" width="7.77734375" customWidth="1"/>
    <col min="4" max="4" width="8.33203125" customWidth="1"/>
    <col min="5" max="5" width="6.77734375" customWidth="1"/>
    <col min="6" max="9" width="8.33203125" customWidth="1"/>
    <col min="10" max="10" width="6.77734375" customWidth="1"/>
    <col min="11" max="14" width="9.88671875" style="522" bestFit="1" customWidth="1"/>
    <col min="15" max="15" width="9.88671875" bestFit="1" customWidth="1"/>
  </cols>
  <sheetData>
    <row r="1" spans="1:15" s="516" customFormat="1" ht="30" customHeight="1">
      <c r="A1" s="511" t="s">
        <v>1098</v>
      </c>
      <c r="B1" s="514"/>
      <c r="C1" s="514"/>
      <c r="D1" s="515"/>
      <c r="E1" s="515"/>
      <c r="K1" s="522"/>
      <c r="L1" s="522"/>
      <c r="M1" s="522"/>
      <c r="N1" s="522"/>
    </row>
    <row r="2" spans="1:15" ht="20.100000000000001" customHeight="1">
      <c r="A2" s="582" t="s">
        <v>130</v>
      </c>
      <c r="B2" s="582"/>
      <c r="C2" s="582"/>
      <c r="D2" s="509" t="s">
        <v>614</v>
      </c>
      <c r="E2" s="509" t="s">
        <v>342</v>
      </c>
      <c r="F2" s="509" t="s">
        <v>30</v>
      </c>
      <c r="G2" s="509" t="s">
        <v>31</v>
      </c>
      <c r="H2" s="509" t="s">
        <v>29</v>
      </c>
      <c r="I2" s="509" t="s">
        <v>127</v>
      </c>
      <c r="J2" s="509" t="s">
        <v>43</v>
      </c>
    </row>
    <row r="3" spans="1:15" ht="17.100000000000001" customHeight="1">
      <c r="A3" s="583" t="s">
        <v>608</v>
      </c>
      <c r="B3" s="583"/>
      <c r="C3" s="583"/>
      <c r="D3" s="505">
        <f>D4+D65+D92+D131+D236+D375+D428</f>
        <v>128965</v>
      </c>
      <c r="E3" s="521">
        <f>E4+E65+E92+E131+E236+E375+E428</f>
        <v>0.99999999999999989</v>
      </c>
      <c r="F3" s="517">
        <f>'1.생잔모형법'!E27</f>
        <v>130469</v>
      </c>
      <c r="G3" s="517">
        <f>'1.생잔모형법'!F27</f>
        <v>133201</v>
      </c>
      <c r="H3" s="517">
        <f>'1.생잔모형법'!G27</f>
        <v>136221</v>
      </c>
      <c r="I3" s="517">
        <f>'1.생잔모형법'!H27</f>
        <v>138561</v>
      </c>
      <c r="J3" s="507"/>
      <c r="K3" s="523">
        <f>F4+F65+F92+F131+F236+F375+F428</f>
        <v>130469</v>
      </c>
      <c r="L3" s="523">
        <f>G4+G65+G92+G131+G236+G375+G428</f>
        <v>133201</v>
      </c>
      <c r="M3" s="523">
        <f>H4+H65+H92+H131+H236+H375+H428</f>
        <v>136221</v>
      </c>
      <c r="N3" s="523">
        <f>I4+I65+I92+I131+I236+I375+I428</f>
        <v>138561</v>
      </c>
      <c r="O3" s="50"/>
    </row>
    <row r="4" spans="1:15" ht="17.100000000000001" customHeight="1">
      <c r="A4" s="585" t="s">
        <v>619</v>
      </c>
      <c r="B4" s="532" t="s">
        <v>678</v>
      </c>
      <c r="C4" s="533"/>
      <c r="D4" s="526">
        <f>SUM(D5:D64)</f>
        <v>49804</v>
      </c>
      <c r="E4" s="527">
        <f>SUM(E5:E64)</f>
        <v>0.38618229752258371</v>
      </c>
      <c r="F4" s="526">
        <f>F3-F65-F92-F131-F236-F375-F428</f>
        <v>50378</v>
      </c>
      <c r="G4" s="526">
        <f>G3-G65-G92-G131-G236-G375-G428</f>
        <v>51449</v>
      </c>
      <c r="H4" s="526">
        <f>H3-H65-H92-H131-H236-H375-H428</f>
        <v>52618</v>
      </c>
      <c r="I4" s="526">
        <f>I3-I65-I92-I131-I236-I375-I428</f>
        <v>53509</v>
      </c>
      <c r="J4" s="528"/>
      <c r="K4" s="524">
        <f>D4/$D$3</f>
        <v>0.38618229752258365</v>
      </c>
      <c r="L4" s="525"/>
      <c r="M4" s="525"/>
      <c r="N4" s="525"/>
      <c r="O4" s="50"/>
    </row>
    <row r="5" spans="1:15" ht="17.100000000000001" customHeight="1">
      <c r="A5" s="585"/>
      <c r="B5" s="505" t="s">
        <v>611</v>
      </c>
      <c r="C5" s="505" t="s">
        <v>620</v>
      </c>
      <c r="D5" s="505">
        <v>344</v>
      </c>
      <c r="E5" s="518">
        <f t="shared" ref="E5:E64" si="0">D5/$D$3</f>
        <v>2.6673903772341332E-3</v>
      </c>
      <c r="F5" s="517">
        <f>F4-SUM(F6:F64)</f>
        <v>339</v>
      </c>
      <c r="G5" s="517">
        <f>G4-SUM(G6:G64)</f>
        <v>367</v>
      </c>
      <c r="H5" s="517">
        <f>H4-SUM(H6:H64)</f>
        <v>378</v>
      </c>
      <c r="I5" s="517">
        <f>I4-SUM(I6:I64)</f>
        <v>366</v>
      </c>
      <c r="J5" s="507"/>
    </row>
    <row r="6" spans="1:15" ht="17.100000000000001" customHeight="1">
      <c r="A6" s="585"/>
      <c r="B6" s="505" t="s">
        <v>611</v>
      </c>
      <c r="C6" s="505" t="s">
        <v>621</v>
      </c>
      <c r="D6" s="505">
        <v>429</v>
      </c>
      <c r="E6" s="518">
        <f t="shared" si="0"/>
        <v>3.3264839297483815E-3</v>
      </c>
      <c r="F6" s="517">
        <f t="shared" ref="F6:F35" si="1">ROUND($F$3*E6,0)</f>
        <v>434</v>
      </c>
      <c r="G6" s="517">
        <f t="shared" ref="G6:G64" si="2">ROUND($G$3*E6,0)</f>
        <v>443</v>
      </c>
      <c r="H6" s="517">
        <f t="shared" ref="H6:H64" si="3">ROUND($H$3*E6,0)</f>
        <v>453</v>
      </c>
      <c r="I6" s="517">
        <f t="shared" ref="I6:I64" si="4">ROUND($I$3*E6,0)</f>
        <v>461</v>
      </c>
      <c r="J6" s="507"/>
    </row>
    <row r="7" spans="1:15" ht="17.100000000000001" customHeight="1">
      <c r="A7" s="585"/>
      <c r="B7" s="505" t="s">
        <v>611</v>
      </c>
      <c r="C7" s="505" t="s">
        <v>622</v>
      </c>
      <c r="D7" s="505">
        <v>730</v>
      </c>
      <c r="E7" s="518">
        <f t="shared" si="0"/>
        <v>5.6604505098282482E-3</v>
      </c>
      <c r="F7" s="517">
        <f t="shared" si="1"/>
        <v>739</v>
      </c>
      <c r="G7" s="517">
        <f t="shared" si="2"/>
        <v>754</v>
      </c>
      <c r="H7" s="517">
        <f t="shared" si="3"/>
        <v>771</v>
      </c>
      <c r="I7" s="517">
        <f t="shared" si="4"/>
        <v>784</v>
      </c>
      <c r="J7" s="507"/>
    </row>
    <row r="8" spans="1:15" ht="17.100000000000001" customHeight="1">
      <c r="A8" s="585"/>
      <c r="B8" s="505" t="s">
        <v>611</v>
      </c>
      <c r="C8" s="505" t="s">
        <v>623</v>
      </c>
      <c r="D8" s="505">
        <v>379</v>
      </c>
      <c r="E8" s="518">
        <f t="shared" si="0"/>
        <v>2.9387818400341179E-3</v>
      </c>
      <c r="F8" s="517">
        <f t="shared" si="1"/>
        <v>383</v>
      </c>
      <c r="G8" s="517">
        <f t="shared" si="2"/>
        <v>391</v>
      </c>
      <c r="H8" s="517">
        <f t="shared" si="3"/>
        <v>400</v>
      </c>
      <c r="I8" s="517">
        <f t="shared" si="4"/>
        <v>407</v>
      </c>
      <c r="J8" s="507"/>
    </row>
    <row r="9" spans="1:15" ht="17.100000000000001" customHeight="1">
      <c r="A9" s="585"/>
      <c r="B9" s="505" t="s">
        <v>611</v>
      </c>
      <c r="C9" s="505" t="s">
        <v>624</v>
      </c>
      <c r="D9" s="505">
        <v>894</v>
      </c>
      <c r="E9" s="518">
        <f t="shared" si="0"/>
        <v>6.9321133640910327E-3</v>
      </c>
      <c r="F9" s="517">
        <f t="shared" si="1"/>
        <v>904</v>
      </c>
      <c r="G9" s="517">
        <f t="shared" si="2"/>
        <v>923</v>
      </c>
      <c r="H9" s="517">
        <f t="shared" si="3"/>
        <v>944</v>
      </c>
      <c r="I9" s="517">
        <f t="shared" si="4"/>
        <v>961</v>
      </c>
      <c r="J9" s="507"/>
    </row>
    <row r="10" spans="1:15" ht="17.100000000000001" customHeight="1">
      <c r="A10" s="585"/>
      <c r="B10" s="505" t="s">
        <v>611</v>
      </c>
      <c r="C10" s="505" t="s">
        <v>625</v>
      </c>
      <c r="D10" s="505">
        <v>510</v>
      </c>
      <c r="E10" s="518">
        <f t="shared" si="0"/>
        <v>3.9545613150854886E-3</v>
      </c>
      <c r="F10" s="517">
        <f t="shared" si="1"/>
        <v>516</v>
      </c>
      <c r="G10" s="517">
        <f t="shared" si="2"/>
        <v>527</v>
      </c>
      <c r="H10" s="517">
        <f t="shared" si="3"/>
        <v>539</v>
      </c>
      <c r="I10" s="517">
        <f t="shared" si="4"/>
        <v>548</v>
      </c>
      <c r="J10" s="507"/>
    </row>
    <row r="11" spans="1:15" ht="17.100000000000001" customHeight="1">
      <c r="A11" s="585"/>
      <c r="B11" s="505" t="s">
        <v>611</v>
      </c>
      <c r="C11" s="505" t="s">
        <v>626</v>
      </c>
      <c r="D11" s="505">
        <v>1016</v>
      </c>
      <c r="E11" s="518">
        <f t="shared" si="0"/>
        <v>7.8781064629938353E-3</v>
      </c>
      <c r="F11" s="517">
        <f t="shared" si="1"/>
        <v>1028</v>
      </c>
      <c r="G11" s="517">
        <f t="shared" si="2"/>
        <v>1049</v>
      </c>
      <c r="H11" s="517">
        <f t="shared" si="3"/>
        <v>1073</v>
      </c>
      <c r="I11" s="517">
        <f t="shared" si="4"/>
        <v>1092</v>
      </c>
      <c r="J11" s="507"/>
    </row>
    <row r="12" spans="1:15" ht="17.100000000000001" customHeight="1">
      <c r="A12" s="585"/>
      <c r="B12" s="505" t="s">
        <v>611</v>
      </c>
      <c r="C12" s="505" t="s">
        <v>627</v>
      </c>
      <c r="D12" s="505">
        <v>218</v>
      </c>
      <c r="E12" s="518">
        <f t="shared" si="0"/>
        <v>1.6903811111541891E-3</v>
      </c>
      <c r="F12" s="517">
        <f t="shared" si="1"/>
        <v>221</v>
      </c>
      <c r="G12" s="517">
        <f t="shared" si="2"/>
        <v>225</v>
      </c>
      <c r="H12" s="517">
        <f t="shared" si="3"/>
        <v>230</v>
      </c>
      <c r="I12" s="517">
        <f t="shared" si="4"/>
        <v>234</v>
      </c>
      <c r="J12" s="507"/>
    </row>
    <row r="13" spans="1:15" ht="17.100000000000001" customHeight="1">
      <c r="A13" s="585"/>
      <c r="B13" s="505" t="s">
        <v>611</v>
      </c>
      <c r="C13" s="505" t="s">
        <v>628</v>
      </c>
      <c r="D13" s="505">
        <v>707</v>
      </c>
      <c r="E13" s="518">
        <f t="shared" si="0"/>
        <v>5.4821075485596863E-3</v>
      </c>
      <c r="F13" s="517">
        <f t="shared" si="1"/>
        <v>715</v>
      </c>
      <c r="G13" s="517">
        <f t="shared" si="2"/>
        <v>730</v>
      </c>
      <c r="H13" s="517">
        <f t="shared" si="3"/>
        <v>747</v>
      </c>
      <c r="I13" s="517">
        <f t="shared" si="4"/>
        <v>760</v>
      </c>
      <c r="J13" s="507"/>
    </row>
    <row r="14" spans="1:15" ht="17.100000000000001" customHeight="1">
      <c r="A14" s="585"/>
      <c r="B14" s="505" t="s">
        <v>611</v>
      </c>
      <c r="C14" s="505" t="s">
        <v>629</v>
      </c>
      <c r="D14" s="505">
        <v>276</v>
      </c>
      <c r="E14" s="518">
        <f t="shared" si="0"/>
        <v>2.1401155352227348E-3</v>
      </c>
      <c r="F14" s="517">
        <f t="shared" si="1"/>
        <v>279</v>
      </c>
      <c r="G14" s="517">
        <f t="shared" si="2"/>
        <v>285</v>
      </c>
      <c r="H14" s="517">
        <f t="shared" si="3"/>
        <v>292</v>
      </c>
      <c r="I14" s="517">
        <f t="shared" si="4"/>
        <v>297</v>
      </c>
      <c r="J14" s="507"/>
    </row>
    <row r="15" spans="1:15" ht="17.100000000000001" customHeight="1">
      <c r="A15" s="585"/>
      <c r="B15" s="505" t="s">
        <v>611</v>
      </c>
      <c r="C15" s="505" t="s">
        <v>630</v>
      </c>
      <c r="D15" s="505">
        <v>1179</v>
      </c>
      <c r="E15" s="518">
        <f t="shared" si="0"/>
        <v>9.1420152754623351E-3</v>
      </c>
      <c r="F15" s="517">
        <f t="shared" si="1"/>
        <v>1193</v>
      </c>
      <c r="G15" s="517">
        <f t="shared" si="2"/>
        <v>1218</v>
      </c>
      <c r="H15" s="517">
        <f t="shared" si="3"/>
        <v>1245</v>
      </c>
      <c r="I15" s="517">
        <f t="shared" si="4"/>
        <v>1267</v>
      </c>
      <c r="J15" s="507"/>
    </row>
    <row r="16" spans="1:15" ht="17.100000000000001" customHeight="1">
      <c r="A16" s="585"/>
      <c r="B16" s="505" t="s">
        <v>611</v>
      </c>
      <c r="C16" s="505" t="s">
        <v>631</v>
      </c>
      <c r="D16" s="505">
        <v>2076</v>
      </c>
      <c r="E16" s="518">
        <f t="shared" si="0"/>
        <v>1.6097390764936222E-2</v>
      </c>
      <c r="F16" s="517">
        <f t="shared" si="1"/>
        <v>2100</v>
      </c>
      <c r="G16" s="517">
        <f t="shared" si="2"/>
        <v>2144</v>
      </c>
      <c r="H16" s="517">
        <f t="shared" si="3"/>
        <v>2193</v>
      </c>
      <c r="I16" s="517">
        <f t="shared" si="4"/>
        <v>2230</v>
      </c>
      <c r="J16" s="507"/>
    </row>
    <row r="17" spans="1:10" ht="17.100000000000001" customHeight="1">
      <c r="A17" s="585"/>
      <c r="B17" s="505" t="s">
        <v>611</v>
      </c>
      <c r="C17" s="505" t="s">
        <v>632</v>
      </c>
      <c r="D17" s="505">
        <v>656</v>
      </c>
      <c r="E17" s="518">
        <f t="shared" si="0"/>
        <v>5.0866514170511377E-3</v>
      </c>
      <c r="F17" s="517">
        <f t="shared" si="1"/>
        <v>664</v>
      </c>
      <c r="G17" s="517">
        <f t="shared" si="2"/>
        <v>678</v>
      </c>
      <c r="H17" s="517">
        <f t="shared" si="3"/>
        <v>693</v>
      </c>
      <c r="I17" s="517">
        <f t="shared" si="4"/>
        <v>705</v>
      </c>
      <c r="J17" s="507"/>
    </row>
    <row r="18" spans="1:10" ht="17.100000000000001" customHeight="1">
      <c r="A18" s="585"/>
      <c r="B18" s="505" t="s">
        <v>611</v>
      </c>
      <c r="C18" s="505" t="s">
        <v>633</v>
      </c>
      <c r="D18" s="505">
        <v>420</v>
      </c>
      <c r="E18" s="518">
        <f t="shared" si="0"/>
        <v>3.2566975535998138E-3</v>
      </c>
      <c r="F18" s="517">
        <f t="shared" si="1"/>
        <v>425</v>
      </c>
      <c r="G18" s="517">
        <f t="shared" si="2"/>
        <v>434</v>
      </c>
      <c r="H18" s="517">
        <f t="shared" si="3"/>
        <v>444</v>
      </c>
      <c r="I18" s="517">
        <f t="shared" si="4"/>
        <v>451</v>
      </c>
      <c r="J18" s="507"/>
    </row>
    <row r="19" spans="1:10" ht="17.100000000000001" customHeight="1">
      <c r="A19" s="585"/>
      <c r="B19" s="505" t="s">
        <v>611</v>
      </c>
      <c r="C19" s="505" t="s">
        <v>634</v>
      </c>
      <c r="D19" s="505">
        <v>1448</v>
      </c>
      <c r="E19" s="518">
        <f t="shared" si="0"/>
        <v>1.1227852518125072E-2</v>
      </c>
      <c r="F19" s="517">
        <f t="shared" si="1"/>
        <v>1465</v>
      </c>
      <c r="G19" s="517">
        <f t="shared" si="2"/>
        <v>1496</v>
      </c>
      <c r="H19" s="517">
        <f t="shared" si="3"/>
        <v>1529</v>
      </c>
      <c r="I19" s="517">
        <f t="shared" si="4"/>
        <v>1556</v>
      </c>
      <c r="J19" s="507"/>
    </row>
    <row r="20" spans="1:10" ht="17.100000000000001" customHeight="1">
      <c r="A20" s="585"/>
      <c r="B20" s="505" t="s">
        <v>611</v>
      </c>
      <c r="C20" s="505" t="s">
        <v>635</v>
      </c>
      <c r="D20" s="505">
        <v>870</v>
      </c>
      <c r="E20" s="518">
        <f t="shared" si="0"/>
        <v>6.7460163610281862E-3</v>
      </c>
      <c r="F20" s="517">
        <f t="shared" si="1"/>
        <v>880</v>
      </c>
      <c r="G20" s="517">
        <f t="shared" si="2"/>
        <v>899</v>
      </c>
      <c r="H20" s="517">
        <f t="shared" si="3"/>
        <v>919</v>
      </c>
      <c r="I20" s="517">
        <f t="shared" si="4"/>
        <v>935</v>
      </c>
      <c r="J20" s="507"/>
    </row>
    <row r="21" spans="1:10" ht="17.100000000000001" customHeight="1">
      <c r="A21" s="585"/>
      <c r="B21" s="505" t="s">
        <v>611</v>
      </c>
      <c r="C21" s="505" t="s">
        <v>636</v>
      </c>
      <c r="D21" s="505">
        <v>682</v>
      </c>
      <c r="E21" s="518">
        <f t="shared" si="0"/>
        <v>5.2882565037025552E-3</v>
      </c>
      <c r="F21" s="517">
        <f t="shared" si="1"/>
        <v>690</v>
      </c>
      <c r="G21" s="517">
        <f t="shared" si="2"/>
        <v>704</v>
      </c>
      <c r="H21" s="517">
        <f t="shared" si="3"/>
        <v>720</v>
      </c>
      <c r="I21" s="517">
        <f t="shared" si="4"/>
        <v>733</v>
      </c>
      <c r="J21" s="507"/>
    </row>
    <row r="22" spans="1:10" ht="17.100000000000001" customHeight="1">
      <c r="A22" s="585"/>
      <c r="B22" s="505" t="s">
        <v>611</v>
      </c>
      <c r="C22" s="505" t="s">
        <v>637</v>
      </c>
      <c r="D22" s="505">
        <v>1105</v>
      </c>
      <c r="E22" s="518">
        <f t="shared" si="0"/>
        <v>8.5682161826852246E-3</v>
      </c>
      <c r="F22" s="517">
        <f t="shared" si="1"/>
        <v>1118</v>
      </c>
      <c r="G22" s="517">
        <f t="shared" si="2"/>
        <v>1141</v>
      </c>
      <c r="H22" s="517">
        <f t="shared" si="3"/>
        <v>1167</v>
      </c>
      <c r="I22" s="517">
        <f t="shared" si="4"/>
        <v>1187</v>
      </c>
      <c r="J22" s="507"/>
    </row>
    <row r="23" spans="1:10" ht="17.100000000000001" customHeight="1">
      <c r="A23" s="585"/>
      <c r="B23" s="505" t="s">
        <v>611</v>
      </c>
      <c r="C23" s="505" t="s">
        <v>638</v>
      </c>
      <c r="D23" s="505">
        <v>1994</v>
      </c>
      <c r="E23" s="518">
        <f t="shared" si="0"/>
        <v>1.5461559337804831E-2</v>
      </c>
      <c r="F23" s="517">
        <f t="shared" si="1"/>
        <v>2017</v>
      </c>
      <c r="G23" s="517">
        <f t="shared" si="2"/>
        <v>2059</v>
      </c>
      <c r="H23" s="517">
        <f t="shared" si="3"/>
        <v>2106</v>
      </c>
      <c r="I23" s="517">
        <f t="shared" si="4"/>
        <v>2142</v>
      </c>
      <c r="J23" s="507"/>
    </row>
    <row r="24" spans="1:10" ht="17.100000000000001" customHeight="1">
      <c r="A24" s="585"/>
      <c r="B24" s="505" t="s">
        <v>611</v>
      </c>
      <c r="C24" s="505" t="s">
        <v>639</v>
      </c>
      <c r="D24" s="505">
        <v>1424</v>
      </c>
      <c r="E24" s="518">
        <f t="shared" si="0"/>
        <v>1.1041755515062226E-2</v>
      </c>
      <c r="F24" s="517">
        <f t="shared" si="1"/>
        <v>1441</v>
      </c>
      <c r="G24" s="517">
        <f t="shared" si="2"/>
        <v>1471</v>
      </c>
      <c r="H24" s="517">
        <f t="shared" si="3"/>
        <v>1504</v>
      </c>
      <c r="I24" s="517">
        <f t="shared" si="4"/>
        <v>1530</v>
      </c>
      <c r="J24" s="507"/>
    </row>
    <row r="25" spans="1:10" ht="17.100000000000001" customHeight="1">
      <c r="A25" s="585"/>
      <c r="B25" s="505" t="s">
        <v>611</v>
      </c>
      <c r="C25" s="505" t="s">
        <v>640</v>
      </c>
      <c r="D25" s="505">
        <v>314</v>
      </c>
      <c r="E25" s="518">
        <f t="shared" si="0"/>
        <v>2.4347691234055751E-3</v>
      </c>
      <c r="F25" s="517">
        <f t="shared" si="1"/>
        <v>318</v>
      </c>
      <c r="G25" s="517">
        <f t="shared" si="2"/>
        <v>324</v>
      </c>
      <c r="H25" s="517">
        <f t="shared" si="3"/>
        <v>332</v>
      </c>
      <c r="I25" s="517">
        <f t="shared" si="4"/>
        <v>337</v>
      </c>
      <c r="J25" s="507"/>
    </row>
    <row r="26" spans="1:10" ht="17.100000000000001" customHeight="1">
      <c r="A26" s="585"/>
      <c r="B26" s="505" t="s">
        <v>611</v>
      </c>
      <c r="C26" s="505" t="s">
        <v>641</v>
      </c>
      <c r="D26" s="505">
        <v>325</v>
      </c>
      <c r="E26" s="518">
        <f t="shared" si="0"/>
        <v>2.5200635831427133E-3</v>
      </c>
      <c r="F26" s="517">
        <f t="shared" si="1"/>
        <v>329</v>
      </c>
      <c r="G26" s="517">
        <f t="shared" si="2"/>
        <v>336</v>
      </c>
      <c r="H26" s="517">
        <f t="shared" si="3"/>
        <v>343</v>
      </c>
      <c r="I26" s="517">
        <f t="shared" si="4"/>
        <v>349</v>
      </c>
      <c r="J26" s="507"/>
    </row>
    <row r="27" spans="1:10" ht="17.100000000000001" customHeight="1">
      <c r="A27" s="585"/>
      <c r="B27" s="505" t="s">
        <v>611</v>
      </c>
      <c r="C27" s="505" t="s">
        <v>642</v>
      </c>
      <c r="D27" s="505">
        <v>185</v>
      </c>
      <c r="E27" s="518">
        <f t="shared" si="0"/>
        <v>1.4344977319427751E-3</v>
      </c>
      <c r="F27" s="517">
        <f t="shared" si="1"/>
        <v>187</v>
      </c>
      <c r="G27" s="517">
        <f t="shared" si="2"/>
        <v>191</v>
      </c>
      <c r="H27" s="517">
        <f t="shared" si="3"/>
        <v>195</v>
      </c>
      <c r="I27" s="517">
        <f t="shared" si="4"/>
        <v>199</v>
      </c>
      <c r="J27" s="507"/>
    </row>
    <row r="28" spans="1:10" ht="17.100000000000001" customHeight="1">
      <c r="A28" s="585"/>
      <c r="B28" s="505" t="s">
        <v>611</v>
      </c>
      <c r="C28" s="505" t="s">
        <v>643</v>
      </c>
      <c r="D28" s="505">
        <v>164</v>
      </c>
      <c r="E28" s="518">
        <f t="shared" si="0"/>
        <v>1.2716628542627844E-3</v>
      </c>
      <c r="F28" s="517">
        <f t="shared" si="1"/>
        <v>166</v>
      </c>
      <c r="G28" s="517">
        <f t="shared" si="2"/>
        <v>169</v>
      </c>
      <c r="H28" s="517">
        <f t="shared" si="3"/>
        <v>173</v>
      </c>
      <c r="I28" s="517">
        <f t="shared" si="4"/>
        <v>176</v>
      </c>
      <c r="J28" s="507"/>
    </row>
    <row r="29" spans="1:10" ht="17.100000000000001" customHeight="1">
      <c r="A29" s="585"/>
      <c r="B29" s="505" t="s">
        <v>611</v>
      </c>
      <c r="C29" s="505" t="s">
        <v>644</v>
      </c>
      <c r="D29" s="505">
        <v>221</v>
      </c>
      <c r="E29" s="518">
        <f t="shared" si="0"/>
        <v>1.7136432365370449E-3</v>
      </c>
      <c r="F29" s="517">
        <f t="shared" si="1"/>
        <v>224</v>
      </c>
      <c r="G29" s="517">
        <f t="shared" si="2"/>
        <v>228</v>
      </c>
      <c r="H29" s="517">
        <f t="shared" si="3"/>
        <v>233</v>
      </c>
      <c r="I29" s="517">
        <f t="shared" si="4"/>
        <v>237</v>
      </c>
      <c r="J29" s="507"/>
    </row>
    <row r="30" spans="1:10" ht="17.100000000000001" customHeight="1">
      <c r="A30" s="585"/>
      <c r="B30" s="505" t="s">
        <v>611</v>
      </c>
      <c r="C30" s="505" t="s">
        <v>645</v>
      </c>
      <c r="D30" s="505">
        <v>3239</v>
      </c>
      <c r="E30" s="518">
        <f t="shared" si="0"/>
        <v>2.5115341371689994E-2</v>
      </c>
      <c r="F30" s="517">
        <f t="shared" si="1"/>
        <v>3277</v>
      </c>
      <c r="G30" s="517">
        <f t="shared" si="2"/>
        <v>3345</v>
      </c>
      <c r="H30" s="517">
        <f t="shared" si="3"/>
        <v>3421</v>
      </c>
      <c r="I30" s="517">
        <f t="shared" si="4"/>
        <v>3480</v>
      </c>
      <c r="J30" s="507"/>
    </row>
    <row r="31" spans="1:10" ht="17.100000000000001" customHeight="1">
      <c r="A31" s="585"/>
      <c r="B31" s="505" t="s">
        <v>611</v>
      </c>
      <c r="C31" s="505" t="s">
        <v>646</v>
      </c>
      <c r="D31" s="505">
        <v>808</v>
      </c>
      <c r="E31" s="518">
        <f t="shared" si="0"/>
        <v>6.2652657697824989E-3</v>
      </c>
      <c r="F31" s="517">
        <f t="shared" si="1"/>
        <v>817</v>
      </c>
      <c r="G31" s="517">
        <f t="shared" si="2"/>
        <v>835</v>
      </c>
      <c r="H31" s="517">
        <f t="shared" si="3"/>
        <v>853</v>
      </c>
      <c r="I31" s="517">
        <f t="shared" si="4"/>
        <v>868</v>
      </c>
      <c r="J31" s="507"/>
    </row>
    <row r="32" spans="1:10" ht="17.100000000000001" customHeight="1">
      <c r="A32" s="585"/>
      <c r="B32" s="505" t="s">
        <v>611</v>
      </c>
      <c r="C32" s="505" t="s">
        <v>647</v>
      </c>
      <c r="D32" s="505">
        <v>290</v>
      </c>
      <c r="E32" s="518">
        <f t="shared" si="0"/>
        <v>2.2486721203427286E-3</v>
      </c>
      <c r="F32" s="517">
        <f t="shared" si="1"/>
        <v>293</v>
      </c>
      <c r="G32" s="517">
        <f t="shared" si="2"/>
        <v>300</v>
      </c>
      <c r="H32" s="517">
        <f t="shared" si="3"/>
        <v>306</v>
      </c>
      <c r="I32" s="517">
        <f t="shared" si="4"/>
        <v>312</v>
      </c>
      <c r="J32" s="507"/>
    </row>
    <row r="33" spans="1:10" ht="17.100000000000001" customHeight="1">
      <c r="A33" s="585"/>
      <c r="B33" s="505" t="s">
        <v>611</v>
      </c>
      <c r="C33" s="505" t="s">
        <v>648</v>
      </c>
      <c r="D33" s="505">
        <v>911</v>
      </c>
      <c r="E33" s="518">
        <f t="shared" si="0"/>
        <v>7.0639320745938825E-3</v>
      </c>
      <c r="F33" s="517">
        <f t="shared" si="1"/>
        <v>922</v>
      </c>
      <c r="G33" s="517">
        <f t="shared" si="2"/>
        <v>941</v>
      </c>
      <c r="H33" s="517">
        <f t="shared" si="3"/>
        <v>962</v>
      </c>
      <c r="I33" s="517">
        <f t="shared" si="4"/>
        <v>979</v>
      </c>
      <c r="J33" s="507"/>
    </row>
    <row r="34" spans="1:10" ht="17.100000000000001" customHeight="1">
      <c r="A34" s="585"/>
      <c r="B34" s="505" t="s">
        <v>611</v>
      </c>
      <c r="C34" s="505" t="s">
        <v>649</v>
      </c>
      <c r="D34" s="505">
        <v>1943</v>
      </c>
      <c r="E34" s="518">
        <f t="shared" si="0"/>
        <v>1.5066103206296281E-2</v>
      </c>
      <c r="F34" s="517">
        <f t="shared" si="1"/>
        <v>1966</v>
      </c>
      <c r="G34" s="517">
        <f t="shared" si="2"/>
        <v>2007</v>
      </c>
      <c r="H34" s="517">
        <f t="shared" si="3"/>
        <v>2052</v>
      </c>
      <c r="I34" s="517">
        <f t="shared" si="4"/>
        <v>2088</v>
      </c>
      <c r="J34" s="507"/>
    </row>
    <row r="35" spans="1:10" ht="17.100000000000001" customHeight="1">
      <c r="A35" s="585"/>
      <c r="B35" s="505" t="s">
        <v>611</v>
      </c>
      <c r="C35" s="505" t="s">
        <v>650</v>
      </c>
      <c r="D35" s="505">
        <v>1108</v>
      </c>
      <c r="E35" s="518">
        <f t="shared" si="0"/>
        <v>8.5914783080680811E-3</v>
      </c>
      <c r="F35" s="517">
        <f t="shared" si="1"/>
        <v>1121</v>
      </c>
      <c r="G35" s="517">
        <f t="shared" si="2"/>
        <v>1144</v>
      </c>
      <c r="H35" s="517">
        <f t="shared" si="3"/>
        <v>1170</v>
      </c>
      <c r="I35" s="517">
        <f t="shared" si="4"/>
        <v>1190</v>
      </c>
      <c r="J35" s="507"/>
    </row>
    <row r="36" spans="1:10" ht="17.100000000000001" customHeight="1">
      <c r="A36" s="585"/>
      <c r="B36" s="505" t="s">
        <v>611</v>
      </c>
      <c r="C36" s="505" t="s">
        <v>651</v>
      </c>
      <c r="D36" s="505">
        <v>386</v>
      </c>
      <c r="E36" s="518">
        <f t="shared" si="0"/>
        <v>2.9930601325941146E-3</v>
      </c>
      <c r="F36" s="517">
        <f t="shared" ref="F36:F64" si="5">ROUND($F$3*E36,0)</f>
        <v>391</v>
      </c>
      <c r="G36" s="517">
        <f t="shared" si="2"/>
        <v>399</v>
      </c>
      <c r="H36" s="517">
        <f t="shared" si="3"/>
        <v>408</v>
      </c>
      <c r="I36" s="517">
        <f t="shared" si="4"/>
        <v>415</v>
      </c>
      <c r="J36" s="507"/>
    </row>
    <row r="37" spans="1:10" ht="17.100000000000001" customHeight="1">
      <c r="A37" s="585"/>
      <c r="B37" s="505" t="s">
        <v>611</v>
      </c>
      <c r="C37" s="505" t="s">
        <v>652</v>
      </c>
      <c r="D37" s="505">
        <v>1571</v>
      </c>
      <c r="E37" s="518">
        <f t="shared" si="0"/>
        <v>1.2181599658822161E-2</v>
      </c>
      <c r="F37" s="517">
        <f t="shared" si="5"/>
        <v>1589</v>
      </c>
      <c r="G37" s="517">
        <f t="shared" si="2"/>
        <v>1623</v>
      </c>
      <c r="H37" s="517">
        <f t="shared" si="3"/>
        <v>1659</v>
      </c>
      <c r="I37" s="517">
        <f t="shared" si="4"/>
        <v>1688</v>
      </c>
      <c r="J37" s="507"/>
    </row>
    <row r="38" spans="1:10" ht="17.100000000000001" customHeight="1">
      <c r="A38" s="585"/>
      <c r="B38" s="505" t="s">
        <v>611</v>
      </c>
      <c r="C38" s="505" t="s">
        <v>653</v>
      </c>
      <c r="D38" s="505">
        <v>1473</v>
      </c>
      <c r="E38" s="518">
        <f t="shared" si="0"/>
        <v>1.1421703562982204E-2</v>
      </c>
      <c r="F38" s="517">
        <f t="shared" si="5"/>
        <v>1490</v>
      </c>
      <c r="G38" s="517">
        <f t="shared" si="2"/>
        <v>1521</v>
      </c>
      <c r="H38" s="517">
        <f t="shared" si="3"/>
        <v>1556</v>
      </c>
      <c r="I38" s="517">
        <f t="shared" si="4"/>
        <v>1583</v>
      </c>
      <c r="J38" s="507"/>
    </row>
    <row r="39" spans="1:10" ht="17.100000000000001" customHeight="1">
      <c r="A39" s="585"/>
      <c r="B39" s="505" t="s">
        <v>611</v>
      </c>
      <c r="C39" s="505" t="s">
        <v>654</v>
      </c>
      <c r="D39" s="505">
        <v>347</v>
      </c>
      <c r="E39" s="518">
        <f t="shared" si="0"/>
        <v>2.6906525026169892E-3</v>
      </c>
      <c r="F39" s="517">
        <f t="shared" si="5"/>
        <v>351</v>
      </c>
      <c r="G39" s="517">
        <f t="shared" si="2"/>
        <v>358</v>
      </c>
      <c r="H39" s="517">
        <f t="shared" si="3"/>
        <v>367</v>
      </c>
      <c r="I39" s="517">
        <f t="shared" si="4"/>
        <v>373</v>
      </c>
      <c r="J39" s="507"/>
    </row>
    <row r="40" spans="1:10" ht="17.100000000000001" customHeight="1">
      <c r="A40" s="585"/>
      <c r="B40" s="505" t="s">
        <v>611</v>
      </c>
      <c r="C40" s="505" t="s">
        <v>655</v>
      </c>
      <c r="D40" s="505">
        <v>219</v>
      </c>
      <c r="E40" s="518">
        <f t="shared" si="0"/>
        <v>1.6981351529484743E-3</v>
      </c>
      <c r="F40" s="517">
        <f t="shared" si="5"/>
        <v>222</v>
      </c>
      <c r="G40" s="517">
        <f t="shared" si="2"/>
        <v>226</v>
      </c>
      <c r="H40" s="517">
        <f t="shared" si="3"/>
        <v>231</v>
      </c>
      <c r="I40" s="517">
        <f t="shared" si="4"/>
        <v>235</v>
      </c>
      <c r="J40" s="507"/>
    </row>
    <row r="41" spans="1:10" ht="17.100000000000001" customHeight="1">
      <c r="A41" s="585"/>
      <c r="B41" s="505" t="s">
        <v>1099</v>
      </c>
      <c r="C41" s="505" t="s">
        <v>656</v>
      </c>
      <c r="D41" s="505">
        <v>763</v>
      </c>
      <c r="E41" s="518">
        <f t="shared" si="0"/>
        <v>5.9163338890396615E-3</v>
      </c>
      <c r="F41" s="517">
        <f t="shared" si="5"/>
        <v>772</v>
      </c>
      <c r="G41" s="517">
        <f t="shared" si="2"/>
        <v>788</v>
      </c>
      <c r="H41" s="517">
        <f t="shared" si="3"/>
        <v>806</v>
      </c>
      <c r="I41" s="517">
        <f t="shared" si="4"/>
        <v>820</v>
      </c>
      <c r="J41" s="507"/>
    </row>
    <row r="42" spans="1:10" ht="17.100000000000001" customHeight="1">
      <c r="A42" s="585"/>
      <c r="B42" s="505" t="s">
        <v>1097</v>
      </c>
      <c r="C42" s="505" t="s">
        <v>657</v>
      </c>
      <c r="D42" s="505">
        <v>631</v>
      </c>
      <c r="E42" s="518">
        <f t="shared" si="0"/>
        <v>4.8928003721940058E-3</v>
      </c>
      <c r="F42" s="517">
        <f t="shared" si="5"/>
        <v>638</v>
      </c>
      <c r="G42" s="517">
        <f t="shared" si="2"/>
        <v>652</v>
      </c>
      <c r="H42" s="517">
        <f t="shared" si="3"/>
        <v>667</v>
      </c>
      <c r="I42" s="517">
        <f t="shared" si="4"/>
        <v>678</v>
      </c>
      <c r="J42" s="507"/>
    </row>
    <row r="43" spans="1:10" ht="17.100000000000001" customHeight="1">
      <c r="A43" s="585"/>
      <c r="B43" s="505" t="s">
        <v>1097</v>
      </c>
      <c r="C43" s="505" t="s">
        <v>658</v>
      </c>
      <c r="D43" s="505">
        <v>610</v>
      </c>
      <c r="E43" s="518">
        <f t="shared" si="0"/>
        <v>4.7299654945140157E-3</v>
      </c>
      <c r="F43" s="517">
        <f t="shared" si="5"/>
        <v>617</v>
      </c>
      <c r="G43" s="517">
        <f t="shared" si="2"/>
        <v>630</v>
      </c>
      <c r="H43" s="517">
        <f t="shared" si="3"/>
        <v>644</v>
      </c>
      <c r="I43" s="517">
        <f t="shared" si="4"/>
        <v>655</v>
      </c>
      <c r="J43" s="507"/>
    </row>
    <row r="44" spans="1:10" ht="17.100000000000001" customHeight="1">
      <c r="A44" s="585"/>
      <c r="B44" s="505" t="s">
        <v>1097</v>
      </c>
      <c r="C44" s="505" t="s">
        <v>659</v>
      </c>
      <c r="D44" s="505">
        <v>698</v>
      </c>
      <c r="E44" s="518">
        <f t="shared" si="0"/>
        <v>5.4123211724111196E-3</v>
      </c>
      <c r="F44" s="517">
        <f t="shared" si="5"/>
        <v>706</v>
      </c>
      <c r="G44" s="517">
        <f t="shared" si="2"/>
        <v>721</v>
      </c>
      <c r="H44" s="517">
        <f t="shared" si="3"/>
        <v>737</v>
      </c>
      <c r="I44" s="517">
        <f t="shared" si="4"/>
        <v>750</v>
      </c>
      <c r="J44" s="507"/>
    </row>
    <row r="45" spans="1:10" ht="17.100000000000001" customHeight="1">
      <c r="A45" s="585"/>
      <c r="B45" s="505" t="s">
        <v>1097</v>
      </c>
      <c r="C45" s="505" t="s">
        <v>1100</v>
      </c>
      <c r="D45" s="505">
        <v>359</v>
      </c>
      <c r="E45" s="518">
        <f t="shared" si="0"/>
        <v>2.7837010041484125E-3</v>
      </c>
      <c r="F45" s="517">
        <f t="shared" si="5"/>
        <v>363</v>
      </c>
      <c r="G45" s="517">
        <f t="shared" si="2"/>
        <v>371</v>
      </c>
      <c r="H45" s="517">
        <f t="shared" si="3"/>
        <v>379</v>
      </c>
      <c r="I45" s="517">
        <f t="shared" si="4"/>
        <v>386</v>
      </c>
      <c r="J45" s="507"/>
    </row>
    <row r="46" spans="1:10" ht="17.100000000000001" customHeight="1">
      <c r="A46" s="585"/>
      <c r="B46" s="505" t="s">
        <v>1097</v>
      </c>
      <c r="C46" s="505" t="s">
        <v>660</v>
      </c>
      <c r="D46" s="505">
        <v>1502</v>
      </c>
      <c r="E46" s="518">
        <f t="shared" si="0"/>
        <v>1.1646570775016477E-2</v>
      </c>
      <c r="F46" s="517">
        <f t="shared" si="5"/>
        <v>1520</v>
      </c>
      <c r="G46" s="517">
        <f t="shared" si="2"/>
        <v>1551</v>
      </c>
      <c r="H46" s="517">
        <f t="shared" si="3"/>
        <v>1587</v>
      </c>
      <c r="I46" s="517">
        <f t="shared" si="4"/>
        <v>1614</v>
      </c>
      <c r="J46" s="507"/>
    </row>
    <row r="47" spans="1:10" ht="17.100000000000001" customHeight="1">
      <c r="A47" s="585"/>
      <c r="B47" s="505" t="s">
        <v>1097</v>
      </c>
      <c r="C47" s="505" t="s">
        <v>661</v>
      </c>
      <c r="D47" s="505">
        <v>310</v>
      </c>
      <c r="E47" s="518">
        <f t="shared" si="0"/>
        <v>2.403752956228434E-3</v>
      </c>
      <c r="F47" s="517">
        <f t="shared" si="5"/>
        <v>314</v>
      </c>
      <c r="G47" s="517">
        <f t="shared" si="2"/>
        <v>320</v>
      </c>
      <c r="H47" s="517">
        <f t="shared" si="3"/>
        <v>327</v>
      </c>
      <c r="I47" s="517">
        <f t="shared" si="4"/>
        <v>333</v>
      </c>
      <c r="J47" s="507"/>
    </row>
    <row r="48" spans="1:10" ht="17.100000000000001" customHeight="1">
      <c r="A48" s="585"/>
      <c r="B48" s="505" t="s">
        <v>1097</v>
      </c>
      <c r="C48" s="505" t="s">
        <v>662</v>
      </c>
      <c r="D48" s="505">
        <v>1545</v>
      </c>
      <c r="E48" s="518">
        <f t="shared" si="0"/>
        <v>1.1979994572170744E-2</v>
      </c>
      <c r="F48" s="517">
        <f t="shared" si="5"/>
        <v>1563</v>
      </c>
      <c r="G48" s="517">
        <f t="shared" si="2"/>
        <v>1596</v>
      </c>
      <c r="H48" s="517">
        <f t="shared" si="3"/>
        <v>1632</v>
      </c>
      <c r="I48" s="517">
        <f t="shared" si="4"/>
        <v>1660</v>
      </c>
      <c r="J48" s="507"/>
    </row>
    <row r="49" spans="1:10" ht="17.100000000000001" customHeight="1">
      <c r="A49" s="585"/>
      <c r="B49" s="505" t="s">
        <v>1097</v>
      </c>
      <c r="C49" s="505" t="s">
        <v>663</v>
      </c>
      <c r="D49" s="505">
        <v>462</v>
      </c>
      <c r="E49" s="518">
        <f t="shared" si="0"/>
        <v>3.5823673089597952E-3</v>
      </c>
      <c r="F49" s="517">
        <f t="shared" si="5"/>
        <v>467</v>
      </c>
      <c r="G49" s="517">
        <f t="shared" si="2"/>
        <v>477</v>
      </c>
      <c r="H49" s="517">
        <f t="shared" si="3"/>
        <v>488</v>
      </c>
      <c r="I49" s="517">
        <f t="shared" si="4"/>
        <v>496</v>
      </c>
      <c r="J49" s="507"/>
    </row>
    <row r="50" spans="1:10" ht="17.100000000000001" customHeight="1">
      <c r="A50" s="585"/>
      <c r="B50" s="505" t="s">
        <v>1097</v>
      </c>
      <c r="C50" s="505" t="s">
        <v>664</v>
      </c>
      <c r="D50" s="505">
        <v>836</v>
      </c>
      <c r="E50" s="518">
        <f t="shared" si="0"/>
        <v>6.4823789400224865E-3</v>
      </c>
      <c r="F50" s="517">
        <f t="shared" si="5"/>
        <v>846</v>
      </c>
      <c r="G50" s="517">
        <f t="shared" si="2"/>
        <v>863</v>
      </c>
      <c r="H50" s="517">
        <f t="shared" si="3"/>
        <v>883</v>
      </c>
      <c r="I50" s="517">
        <f t="shared" si="4"/>
        <v>898</v>
      </c>
      <c r="J50" s="507"/>
    </row>
    <row r="51" spans="1:10" ht="17.100000000000001" customHeight="1">
      <c r="A51" s="585"/>
      <c r="B51" s="505" t="s">
        <v>1097</v>
      </c>
      <c r="C51" s="505" t="s">
        <v>665</v>
      </c>
      <c r="D51" s="505">
        <v>391</v>
      </c>
      <c r="E51" s="518">
        <f t="shared" si="0"/>
        <v>3.0318303415655412E-3</v>
      </c>
      <c r="F51" s="517">
        <f t="shared" si="5"/>
        <v>396</v>
      </c>
      <c r="G51" s="517">
        <f t="shared" si="2"/>
        <v>404</v>
      </c>
      <c r="H51" s="517">
        <f t="shared" si="3"/>
        <v>413</v>
      </c>
      <c r="I51" s="517">
        <f t="shared" si="4"/>
        <v>420</v>
      </c>
      <c r="J51" s="507"/>
    </row>
    <row r="52" spans="1:10" ht="17.100000000000001" customHeight="1">
      <c r="A52" s="585"/>
      <c r="B52" s="505" t="s">
        <v>1097</v>
      </c>
      <c r="C52" s="505" t="s">
        <v>666</v>
      </c>
      <c r="D52" s="505">
        <v>565</v>
      </c>
      <c r="E52" s="518">
        <f t="shared" si="0"/>
        <v>4.3810336137711783E-3</v>
      </c>
      <c r="F52" s="517">
        <f t="shared" si="5"/>
        <v>572</v>
      </c>
      <c r="G52" s="517">
        <f t="shared" si="2"/>
        <v>584</v>
      </c>
      <c r="H52" s="517">
        <f t="shared" si="3"/>
        <v>597</v>
      </c>
      <c r="I52" s="517">
        <f t="shared" si="4"/>
        <v>607</v>
      </c>
      <c r="J52" s="507"/>
    </row>
    <row r="53" spans="1:10" ht="17.100000000000001" customHeight="1">
      <c r="A53" s="585"/>
      <c r="B53" s="505" t="s">
        <v>1097</v>
      </c>
      <c r="C53" s="505" t="s">
        <v>667</v>
      </c>
      <c r="D53" s="505">
        <v>2122</v>
      </c>
      <c r="E53" s="518">
        <f t="shared" si="0"/>
        <v>1.6454076687473347E-2</v>
      </c>
      <c r="F53" s="517">
        <f t="shared" si="5"/>
        <v>2147</v>
      </c>
      <c r="G53" s="517">
        <f t="shared" si="2"/>
        <v>2192</v>
      </c>
      <c r="H53" s="517">
        <f t="shared" si="3"/>
        <v>2241</v>
      </c>
      <c r="I53" s="517">
        <f t="shared" si="4"/>
        <v>2280</v>
      </c>
      <c r="J53" s="507"/>
    </row>
    <row r="54" spans="1:10" ht="17.100000000000001" customHeight="1">
      <c r="A54" s="585"/>
      <c r="B54" s="505" t="s">
        <v>1097</v>
      </c>
      <c r="C54" s="505" t="s">
        <v>1101</v>
      </c>
      <c r="D54" s="505">
        <v>614</v>
      </c>
      <c r="E54" s="518">
        <f t="shared" si="0"/>
        <v>4.7609816616911568E-3</v>
      </c>
      <c r="F54" s="517">
        <f t="shared" si="5"/>
        <v>621</v>
      </c>
      <c r="G54" s="517">
        <f>ROUND($G$3*E54,0)</f>
        <v>634</v>
      </c>
      <c r="H54" s="517">
        <f>ROUND($H$3*E54,0)</f>
        <v>649</v>
      </c>
      <c r="I54" s="517">
        <f>ROUND($I$3*E54,0)</f>
        <v>660</v>
      </c>
      <c r="J54" s="507"/>
    </row>
    <row r="55" spans="1:10" ht="17.100000000000001" customHeight="1">
      <c r="A55" s="585"/>
      <c r="B55" s="505" t="s">
        <v>1097</v>
      </c>
      <c r="C55" s="505" t="s">
        <v>668</v>
      </c>
      <c r="D55" s="505">
        <v>280</v>
      </c>
      <c r="E55" s="518">
        <f t="shared" si="0"/>
        <v>2.1711317023998759E-3</v>
      </c>
      <c r="F55" s="517">
        <f t="shared" si="5"/>
        <v>283</v>
      </c>
      <c r="G55" s="517">
        <f t="shared" si="2"/>
        <v>289</v>
      </c>
      <c r="H55" s="517">
        <f t="shared" si="3"/>
        <v>296</v>
      </c>
      <c r="I55" s="517">
        <f t="shared" si="4"/>
        <v>301</v>
      </c>
      <c r="J55" s="507"/>
    </row>
    <row r="56" spans="1:10" ht="17.100000000000001" customHeight="1">
      <c r="A56" s="585"/>
      <c r="B56" s="505" t="s">
        <v>1097</v>
      </c>
      <c r="C56" s="505" t="s">
        <v>669</v>
      </c>
      <c r="D56" s="505">
        <v>435</v>
      </c>
      <c r="E56" s="518">
        <f t="shared" si="0"/>
        <v>3.3730081805140931E-3</v>
      </c>
      <c r="F56" s="517">
        <f t="shared" si="5"/>
        <v>440</v>
      </c>
      <c r="G56" s="517">
        <f t="shared" si="2"/>
        <v>449</v>
      </c>
      <c r="H56" s="517">
        <f t="shared" si="3"/>
        <v>459</v>
      </c>
      <c r="I56" s="517">
        <f t="shared" si="4"/>
        <v>467</v>
      </c>
      <c r="J56" s="507"/>
    </row>
    <row r="57" spans="1:10" ht="17.100000000000001" customHeight="1">
      <c r="A57" s="585"/>
      <c r="B57" s="505" t="s">
        <v>1097</v>
      </c>
      <c r="C57" s="505" t="s">
        <v>670</v>
      </c>
      <c r="D57" s="505">
        <v>244</v>
      </c>
      <c r="E57" s="518">
        <f t="shared" si="0"/>
        <v>1.8919861978056061E-3</v>
      </c>
      <c r="F57" s="517">
        <f t="shared" si="5"/>
        <v>247</v>
      </c>
      <c r="G57" s="517">
        <f t="shared" si="2"/>
        <v>252</v>
      </c>
      <c r="H57" s="517">
        <f t="shared" si="3"/>
        <v>258</v>
      </c>
      <c r="I57" s="517">
        <f t="shared" si="4"/>
        <v>262</v>
      </c>
      <c r="J57" s="507"/>
    </row>
    <row r="58" spans="1:10" ht="17.100000000000001" customHeight="1">
      <c r="A58" s="585"/>
      <c r="B58" s="505" t="s">
        <v>1097</v>
      </c>
      <c r="C58" s="505" t="s">
        <v>671</v>
      </c>
      <c r="D58" s="505">
        <v>161</v>
      </c>
      <c r="E58" s="518">
        <f t="shared" si="0"/>
        <v>1.2484007288799286E-3</v>
      </c>
      <c r="F58" s="517">
        <f t="shared" si="5"/>
        <v>163</v>
      </c>
      <c r="G58" s="517">
        <f t="shared" si="2"/>
        <v>166</v>
      </c>
      <c r="H58" s="517">
        <f t="shared" si="3"/>
        <v>170</v>
      </c>
      <c r="I58" s="517">
        <f t="shared" si="4"/>
        <v>173</v>
      </c>
      <c r="J58" s="507"/>
    </row>
    <row r="59" spans="1:10" ht="17.100000000000001" customHeight="1">
      <c r="A59" s="585"/>
      <c r="B59" s="505" t="s">
        <v>1097</v>
      </c>
      <c r="C59" s="505" t="s">
        <v>672</v>
      </c>
      <c r="D59" s="505">
        <v>118</v>
      </c>
      <c r="E59" s="518">
        <f t="shared" si="0"/>
        <v>9.1497693172566197E-4</v>
      </c>
      <c r="F59" s="517">
        <f t="shared" si="5"/>
        <v>119</v>
      </c>
      <c r="G59" s="517">
        <f t="shared" si="2"/>
        <v>122</v>
      </c>
      <c r="H59" s="517">
        <f t="shared" si="3"/>
        <v>125</v>
      </c>
      <c r="I59" s="517">
        <f t="shared" si="4"/>
        <v>127</v>
      </c>
      <c r="J59" s="507"/>
    </row>
    <row r="60" spans="1:10" ht="17.100000000000001" customHeight="1">
      <c r="A60" s="585"/>
      <c r="B60" s="505" t="s">
        <v>1097</v>
      </c>
      <c r="C60" s="505" t="s">
        <v>673</v>
      </c>
      <c r="D60" s="505">
        <v>1139</v>
      </c>
      <c r="E60" s="518">
        <f t="shared" si="0"/>
        <v>8.8318536036909243E-3</v>
      </c>
      <c r="F60" s="517">
        <f t="shared" si="5"/>
        <v>1152</v>
      </c>
      <c r="G60" s="517">
        <f t="shared" si="2"/>
        <v>1176</v>
      </c>
      <c r="H60" s="517">
        <f t="shared" si="3"/>
        <v>1203</v>
      </c>
      <c r="I60" s="517">
        <f t="shared" si="4"/>
        <v>1224</v>
      </c>
      <c r="J60" s="507"/>
    </row>
    <row r="61" spans="1:10" ht="17.100000000000001" customHeight="1">
      <c r="A61" s="585"/>
      <c r="B61" s="505" t="s">
        <v>1097</v>
      </c>
      <c r="C61" s="505" t="s">
        <v>674</v>
      </c>
      <c r="D61" s="505">
        <v>3448</v>
      </c>
      <c r="E61" s="518">
        <f t="shared" si="0"/>
        <v>2.6735936106695616E-2</v>
      </c>
      <c r="F61" s="517">
        <f t="shared" si="5"/>
        <v>3488</v>
      </c>
      <c r="G61" s="517">
        <f t="shared" si="2"/>
        <v>3561</v>
      </c>
      <c r="H61" s="517">
        <f t="shared" si="3"/>
        <v>3642</v>
      </c>
      <c r="I61" s="517">
        <f t="shared" si="4"/>
        <v>3705</v>
      </c>
      <c r="J61" s="507"/>
    </row>
    <row r="62" spans="1:10" ht="17.100000000000001" customHeight="1">
      <c r="A62" s="585"/>
      <c r="B62" s="505" t="s">
        <v>1097</v>
      </c>
      <c r="C62" s="505" t="s">
        <v>675</v>
      </c>
      <c r="D62" s="505">
        <v>223</v>
      </c>
      <c r="E62" s="518">
        <f t="shared" si="0"/>
        <v>1.7291513201256154E-3</v>
      </c>
      <c r="F62" s="517">
        <f t="shared" si="5"/>
        <v>226</v>
      </c>
      <c r="G62" s="517">
        <f t="shared" si="2"/>
        <v>230</v>
      </c>
      <c r="H62" s="517">
        <f t="shared" si="3"/>
        <v>236</v>
      </c>
      <c r="I62" s="517">
        <f t="shared" si="4"/>
        <v>240</v>
      </c>
      <c r="J62" s="507"/>
    </row>
    <row r="63" spans="1:10" ht="17.100000000000001" customHeight="1">
      <c r="A63" s="585"/>
      <c r="B63" s="505" t="s">
        <v>1097</v>
      </c>
      <c r="C63" s="505" t="s">
        <v>676</v>
      </c>
      <c r="D63" s="505">
        <v>1397</v>
      </c>
      <c r="E63" s="518">
        <f t="shared" si="0"/>
        <v>1.0832396386616525E-2</v>
      </c>
      <c r="F63" s="517">
        <f t="shared" si="5"/>
        <v>1413</v>
      </c>
      <c r="G63" s="517">
        <f t="shared" si="2"/>
        <v>1443</v>
      </c>
      <c r="H63" s="517">
        <f t="shared" si="3"/>
        <v>1476</v>
      </c>
      <c r="I63" s="517">
        <f t="shared" si="4"/>
        <v>1501</v>
      </c>
      <c r="J63" s="507"/>
    </row>
    <row r="64" spans="1:10" ht="17.100000000000001" customHeight="1">
      <c r="A64" s="585"/>
      <c r="B64" s="505" t="s">
        <v>1097</v>
      </c>
      <c r="C64" s="505" t="s">
        <v>677</v>
      </c>
      <c r="D64" s="505">
        <v>90</v>
      </c>
      <c r="E64" s="518">
        <f t="shared" si="0"/>
        <v>6.9786376148567439E-4</v>
      </c>
      <c r="F64" s="517">
        <f t="shared" si="5"/>
        <v>91</v>
      </c>
      <c r="G64" s="517">
        <f t="shared" si="2"/>
        <v>93</v>
      </c>
      <c r="H64" s="517">
        <f t="shared" si="3"/>
        <v>95</v>
      </c>
      <c r="I64" s="517">
        <f t="shared" si="4"/>
        <v>97</v>
      </c>
      <c r="J64" s="507"/>
    </row>
    <row r="65" spans="1:11" ht="17.100000000000001" customHeight="1">
      <c r="A65" s="585" t="s">
        <v>1102</v>
      </c>
      <c r="B65" s="584" t="s">
        <v>1103</v>
      </c>
      <c r="C65" s="584"/>
      <c r="D65" s="526">
        <f t="shared" ref="D65:I65" si="6">SUM(D66:D91)</f>
        <v>3687</v>
      </c>
      <c r="E65" s="527">
        <f t="shared" si="6"/>
        <v>2.8589152095529795E-2</v>
      </c>
      <c r="F65" s="526">
        <f t="shared" si="6"/>
        <v>3732</v>
      </c>
      <c r="G65" s="526">
        <f t="shared" si="6"/>
        <v>3807</v>
      </c>
      <c r="H65" s="526">
        <f t="shared" si="6"/>
        <v>3894</v>
      </c>
      <c r="I65" s="526">
        <f t="shared" si="6"/>
        <v>3963</v>
      </c>
      <c r="J65" s="528"/>
      <c r="K65" s="524">
        <f>D65/$D$3</f>
        <v>2.8589152095529795E-2</v>
      </c>
    </row>
    <row r="66" spans="1:11" ht="17.100000000000001" customHeight="1">
      <c r="A66" s="585"/>
      <c r="B66" s="505" t="s">
        <v>1104</v>
      </c>
      <c r="C66" s="519" t="s">
        <v>1105</v>
      </c>
      <c r="D66" s="505">
        <v>237</v>
      </c>
      <c r="E66" s="518">
        <f>D66/$D$3</f>
        <v>1.8377079052456092E-3</v>
      </c>
      <c r="F66" s="517">
        <f>ROUND($F$3*E66,0)</f>
        <v>240</v>
      </c>
      <c r="G66" s="517">
        <f>ROUND($G$3*E66,0)</f>
        <v>245</v>
      </c>
      <c r="H66" s="517">
        <f>ROUND($H$3*E66,0)</f>
        <v>250</v>
      </c>
      <c r="I66" s="517">
        <f>ROUND($I$3*E66,0)</f>
        <v>255</v>
      </c>
      <c r="J66" s="507"/>
    </row>
    <row r="67" spans="1:11" ht="17.100000000000001" customHeight="1">
      <c r="A67" s="585"/>
      <c r="B67" s="505" t="s">
        <v>1095</v>
      </c>
      <c r="C67" s="519" t="s">
        <v>1106</v>
      </c>
      <c r="D67" s="505">
        <v>225</v>
      </c>
      <c r="E67" s="518">
        <f t="shared" ref="E67:E91" si="7">D67/$D$3</f>
        <v>1.744659403714186E-3</v>
      </c>
      <c r="F67" s="517">
        <f t="shared" ref="F67:F91" si="8">ROUND($F$3*E67,0)</f>
        <v>228</v>
      </c>
      <c r="G67" s="517">
        <f t="shared" ref="G67:G91" si="9">ROUND($G$3*E67,0)</f>
        <v>232</v>
      </c>
      <c r="H67" s="517">
        <f t="shared" ref="H67:H91" si="10">ROUND($H$3*E67,0)</f>
        <v>238</v>
      </c>
      <c r="I67" s="517">
        <f t="shared" ref="I67:I91" si="11">ROUND($I$3*E67,0)</f>
        <v>242</v>
      </c>
      <c r="J67" s="507"/>
    </row>
    <row r="68" spans="1:11" ht="17.100000000000001" customHeight="1">
      <c r="A68" s="585"/>
      <c r="B68" s="505" t="s">
        <v>1095</v>
      </c>
      <c r="C68" s="519" t="s">
        <v>1107</v>
      </c>
      <c r="D68" s="505">
        <v>129</v>
      </c>
      <c r="E68" s="518">
        <f t="shared" si="7"/>
        <v>1.0002713914628E-3</v>
      </c>
      <c r="F68" s="517">
        <f t="shared" si="8"/>
        <v>131</v>
      </c>
      <c r="G68" s="517">
        <f t="shared" si="9"/>
        <v>133</v>
      </c>
      <c r="H68" s="517">
        <f t="shared" si="10"/>
        <v>136</v>
      </c>
      <c r="I68" s="517">
        <f t="shared" si="11"/>
        <v>139</v>
      </c>
      <c r="J68" s="507"/>
    </row>
    <row r="69" spans="1:11" ht="17.100000000000001" customHeight="1">
      <c r="A69" s="585"/>
      <c r="B69" s="505" t="s">
        <v>1095</v>
      </c>
      <c r="C69" s="519" t="s">
        <v>1108</v>
      </c>
      <c r="D69" s="505">
        <v>149</v>
      </c>
      <c r="E69" s="518">
        <f t="shared" si="7"/>
        <v>1.1553522273485054E-3</v>
      </c>
      <c r="F69" s="517">
        <f t="shared" si="8"/>
        <v>151</v>
      </c>
      <c r="G69" s="517">
        <f t="shared" si="9"/>
        <v>154</v>
      </c>
      <c r="H69" s="517">
        <f t="shared" si="10"/>
        <v>157</v>
      </c>
      <c r="I69" s="517">
        <f t="shared" si="11"/>
        <v>160</v>
      </c>
      <c r="J69" s="507"/>
    </row>
    <row r="70" spans="1:11" ht="17.100000000000001" customHeight="1">
      <c r="A70" s="585"/>
      <c r="B70" s="505" t="s">
        <v>1095</v>
      </c>
      <c r="C70" s="519" t="s">
        <v>1109</v>
      </c>
      <c r="D70" s="505">
        <v>145</v>
      </c>
      <c r="E70" s="518">
        <f t="shared" si="7"/>
        <v>1.1243360601713643E-3</v>
      </c>
      <c r="F70" s="517">
        <f t="shared" si="8"/>
        <v>147</v>
      </c>
      <c r="G70" s="517">
        <f t="shared" si="9"/>
        <v>150</v>
      </c>
      <c r="H70" s="517">
        <f t="shared" si="10"/>
        <v>153</v>
      </c>
      <c r="I70" s="517">
        <f t="shared" si="11"/>
        <v>156</v>
      </c>
      <c r="J70" s="507"/>
    </row>
    <row r="71" spans="1:11" ht="17.100000000000001" customHeight="1">
      <c r="A71" s="585"/>
      <c r="B71" s="505" t="s">
        <v>1095</v>
      </c>
      <c r="C71" s="519" t="s">
        <v>1110</v>
      </c>
      <c r="D71" s="505">
        <v>154</v>
      </c>
      <c r="E71" s="518">
        <f t="shared" si="7"/>
        <v>1.1941224363199317E-3</v>
      </c>
      <c r="F71" s="517">
        <f t="shared" si="8"/>
        <v>156</v>
      </c>
      <c r="G71" s="517">
        <f t="shared" si="9"/>
        <v>159</v>
      </c>
      <c r="H71" s="517">
        <f t="shared" si="10"/>
        <v>163</v>
      </c>
      <c r="I71" s="517">
        <f t="shared" si="11"/>
        <v>165</v>
      </c>
      <c r="J71" s="507"/>
    </row>
    <row r="72" spans="1:11" ht="17.100000000000001" customHeight="1">
      <c r="A72" s="585"/>
      <c r="B72" s="505" t="s">
        <v>1095</v>
      </c>
      <c r="C72" s="519" t="s">
        <v>1111</v>
      </c>
      <c r="D72" s="505">
        <v>66</v>
      </c>
      <c r="E72" s="518">
        <f t="shared" si="7"/>
        <v>5.1176675842282788E-4</v>
      </c>
      <c r="F72" s="517">
        <f t="shared" si="8"/>
        <v>67</v>
      </c>
      <c r="G72" s="517">
        <f t="shared" si="9"/>
        <v>68</v>
      </c>
      <c r="H72" s="517">
        <f t="shared" si="10"/>
        <v>70</v>
      </c>
      <c r="I72" s="517">
        <f t="shared" si="11"/>
        <v>71</v>
      </c>
      <c r="J72" s="507"/>
    </row>
    <row r="73" spans="1:11" ht="17.100000000000001" customHeight="1">
      <c r="A73" s="585"/>
      <c r="B73" s="505" t="s">
        <v>1095</v>
      </c>
      <c r="C73" s="519" t="s">
        <v>1112</v>
      </c>
      <c r="D73" s="505">
        <v>241</v>
      </c>
      <c r="E73" s="518">
        <f t="shared" si="7"/>
        <v>1.8687240724227503E-3</v>
      </c>
      <c r="F73" s="517">
        <f t="shared" si="8"/>
        <v>244</v>
      </c>
      <c r="G73" s="517">
        <f t="shared" si="9"/>
        <v>249</v>
      </c>
      <c r="H73" s="517">
        <f t="shared" si="10"/>
        <v>255</v>
      </c>
      <c r="I73" s="517">
        <f t="shared" si="11"/>
        <v>259</v>
      </c>
      <c r="J73" s="507"/>
    </row>
    <row r="74" spans="1:11" ht="17.100000000000001" customHeight="1">
      <c r="A74" s="585"/>
      <c r="B74" s="505" t="s">
        <v>1095</v>
      </c>
      <c r="C74" s="519" t="s">
        <v>1113</v>
      </c>
      <c r="D74" s="505">
        <v>163</v>
      </c>
      <c r="E74" s="518">
        <f t="shared" si="7"/>
        <v>1.2639088124684992E-3</v>
      </c>
      <c r="F74" s="517">
        <f t="shared" si="8"/>
        <v>165</v>
      </c>
      <c r="G74" s="517">
        <f t="shared" si="9"/>
        <v>168</v>
      </c>
      <c r="H74" s="517">
        <f t="shared" si="10"/>
        <v>172</v>
      </c>
      <c r="I74" s="517">
        <f t="shared" si="11"/>
        <v>175</v>
      </c>
      <c r="J74" s="507"/>
    </row>
    <row r="75" spans="1:11" ht="17.100000000000001" customHeight="1">
      <c r="A75" s="585"/>
      <c r="B75" s="505" t="s">
        <v>1095</v>
      </c>
      <c r="C75" s="519" t="s">
        <v>1114</v>
      </c>
      <c r="D75" s="505">
        <v>107</v>
      </c>
      <c r="E75" s="518">
        <f t="shared" si="7"/>
        <v>8.2968247198852399E-4</v>
      </c>
      <c r="F75" s="517">
        <f t="shared" si="8"/>
        <v>108</v>
      </c>
      <c r="G75" s="517">
        <f t="shared" si="9"/>
        <v>111</v>
      </c>
      <c r="H75" s="517">
        <f t="shared" si="10"/>
        <v>113</v>
      </c>
      <c r="I75" s="517">
        <f t="shared" si="11"/>
        <v>115</v>
      </c>
      <c r="J75" s="507"/>
    </row>
    <row r="76" spans="1:11" ht="17.100000000000001" customHeight="1">
      <c r="A76" s="585"/>
      <c r="B76" s="505" t="s">
        <v>1095</v>
      </c>
      <c r="C76" s="519" t="s">
        <v>1115</v>
      </c>
      <c r="D76" s="505">
        <v>176</v>
      </c>
      <c r="E76" s="518">
        <f t="shared" si="7"/>
        <v>1.3647113557942077E-3</v>
      </c>
      <c r="F76" s="517">
        <f t="shared" si="8"/>
        <v>178</v>
      </c>
      <c r="G76" s="517">
        <f t="shared" si="9"/>
        <v>182</v>
      </c>
      <c r="H76" s="517">
        <f t="shared" si="10"/>
        <v>186</v>
      </c>
      <c r="I76" s="517">
        <f t="shared" si="11"/>
        <v>189</v>
      </c>
      <c r="J76" s="507"/>
    </row>
    <row r="77" spans="1:11" ht="17.100000000000001" customHeight="1">
      <c r="A77" s="585"/>
      <c r="B77" s="505" t="s">
        <v>1095</v>
      </c>
      <c r="C77" s="519" t="s">
        <v>1116</v>
      </c>
      <c r="D77" s="505">
        <v>74</v>
      </c>
      <c r="E77" s="518">
        <f t="shared" si="7"/>
        <v>5.7379909277711005E-4</v>
      </c>
      <c r="F77" s="517">
        <f>ROUND($F$3*E77,0)</f>
        <v>75</v>
      </c>
      <c r="G77" s="517">
        <f>ROUND($G$3*E77,0)</f>
        <v>76</v>
      </c>
      <c r="H77" s="517">
        <f>ROUND($H$3*E77,0)</f>
        <v>78</v>
      </c>
      <c r="I77" s="517">
        <f>ROUND($I$3*E77,0)</f>
        <v>80</v>
      </c>
      <c r="J77" s="507"/>
    </row>
    <row r="78" spans="1:11" ht="17.100000000000001" customHeight="1">
      <c r="A78" s="585"/>
      <c r="B78" s="505" t="s">
        <v>1095</v>
      </c>
      <c r="C78" s="519" t="s">
        <v>1117</v>
      </c>
      <c r="D78" s="505">
        <v>148</v>
      </c>
      <c r="E78" s="518">
        <f t="shared" si="7"/>
        <v>1.1475981855542201E-3</v>
      </c>
      <c r="F78" s="517">
        <f t="shared" si="8"/>
        <v>150</v>
      </c>
      <c r="G78" s="517">
        <f t="shared" si="9"/>
        <v>153</v>
      </c>
      <c r="H78" s="517">
        <f t="shared" si="10"/>
        <v>156</v>
      </c>
      <c r="I78" s="517">
        <f t="shared" si="11"/>
        <v>159</v>
      </c>
      <c r="J78" s="507"/>
    </row>
    <row r="79" spans="1:11" ht="17.100000000000001" customHeight="1">
      <c r="A79" s="585"/>
      <c r="B79" s="505" t="s">
        <v>1095</v>
      </c>
      <c r="C79" s="519" t="s">
        <v>1118</v>
      </c>
      <c r="D79" s="505">
        <v>180</v>
      </c>
      <c r="E79" s="518">
        <f t="shared" si="7"/>
        <v>1.3957275229713488E-3</v>
      </c>
      <c r="F79" s="517">
        <f t="shared" si="8"/>
        <v>182</v>
      </c>
      <c r="G79" s="517">
        <f t="shared" si="9"/>
        <v>186</v>
      </c>
      <c r="H79" s="517">
        <f t="shared" si="10"/>
        <v>190</v>
      </c>
      <c r="I79" s="517">
        <f t="shared" si="11"/>
        <v>193</v>
      </c>
      <c r="J79" s="507"/>
    </row>
    <row r="80" spans="1:11" ht="17.100000000000001" customHeight="1">
      <c r="A80" s="585"/>
      <c r="B80" s="505" t="s">
        <v>1095</v>
      </c>
      <c r="C80" s="519" t="s">
        <v>1119</v>
      </c>
      <c r="D80" s="505">
        <v>137</v>
      </c>
      <c r="E80" s="518">
        <f t="shared" si="7"/>
        <v>1.0623037258170821E-3</v>
      </c>
      <c r="F80" s="517">
        <f t="shared" si="8"/>
        <v>139</v>
      </c>
      <c r="G80" s="517">
        <f t="shared" si="9"/>
        <v>141</v>
      </c>
      <c r="H80" s="517">
        <f t="shared" si="10"/>
        <v>145</v>
      </c>
      <c r="I80" s="517">
        <f t="shared" si="11"/>
        <v>147</v>
      </c>
      <c r="J80" s="507"/>
    </row>
    <row r="81" spans="1:11" ht="17.100000000000001" customHeight="1">
      <c r="A81" s="585"/>
      <c r="B81" s="505" t="s">
        <v>1095</v>
      </c>
      <c r="C81" s="519" t="s">
        <v>1120</v>
      </c>
      <c r="D81" s="505">
        <v>74</v>
      </c>
      <c r="E81" s="518">
        <f t="shared" si="7"/>
        <v>5.7379909277711005E-4</v>
      </c>
      <c r="F81" s="517">
        <f t="shared" si="8"/>
        <v>75</v>
      </c>
      <c r="G81" s="517">
        <f t="shared" si="9"/>
        <v>76</v>
      </c>
      <c r="H81" s="517">
        <f t="shared" si="10"/>
        <v>78</v>
      </c>
      <c r="I81" s="517">
        <f t="shared" si="11"/>
        <v>80</v>
      </c>
      <c r="J81" s="507"/>
    </row>
    <row r="82" spans="1:11" ht="17.100000000000001" customHeight="1">
      <c r="A82" s="585"/>
      <c r="B82" s="505" t="s">
        <v>1121</v>
      </c>
      <c r="C82" s="519" t="s">
        <v>1122</v>
      </c>
      <c r="D82" s="505">
        <v>200</v>
      </c>
      <c r="E82" s="518">
        <f t="shared" si="7"/>
        <v>1.5508083588570542E-3</v>
      </c>
      <c r="F82" s="517">
        <f t="shared" si="8"/>
        <v>202</v>
      </c>
      <c r="G82" s="517">
        <f t="shared" si="9"/>
        <v>207</v>
      </c>
      <c r="H82" s="517">
        <f t="shared" si="10"/>
        <v>211</v>
      </c>
      <c r="I82" s="517">
        <f t="shared" si="11"/>
        <v>215</v>
      </c>
      <c r="J82" s="507"/>
    </row>
    <row r="83" spans="1:11" ht="17.100000000000001" customHeight="1">
      <c r="A83" s="585"/>
      <c r="B83" s="505" t="s">
        <v>1094</v>
      </c>
      <c r="C83" s="519" t="s">
        <v>1123</v>
      </c>
      <c r="D83" s="505">
        <v>91</v>
      </c>
      <c r="E83" s="518">
        <f t="shared" si="7"/>
        <v>7.0561780327995966E-4</v>
      </c>
      <c r="F83" s="517">
        <f t="shared" si="8"/>
        <v>92</v>
      </c>
      <c r="G83" s="517">
        <f t="shared" si="9"/>
        <v>94</v>
      </c>
      <c r="H83" s="517">
        <f t="shared" si="10"/>
        <v>96</v>
      </c>
      <c r="I83" s="517">
        <f t="shared" si="11"/>
        <v>98</v>
      </c>
      <c r="J83" s="507"/>
    </row>
    <row r="84" spans="1:11" ht="17.100000000000001" customHeight="1">
      <c r="A84" s="585"/>
      <c r="B84" s="505" t="s">
        <v>1094</v>
      </c>
      <c r="C84" s="519" t="s">
        <v>1124</v>
      </c>
      <c r="D84" s="505">
        <v>133</v>
      </c>
      <c r="E84" s="518">
        <f t="shared" si="7"/>
        <v>1.031287558639941E-3</v>
      </c>
      <c r="F84" s="517">
        <f t="shared" si="8"/>
        <v>135</v>
      </c>
      <c r="G84" s="517">
        <f t="shared" si="9"/>
        <v>137</v>
      </c>
      <c r="H84" s="517">
        <f t="shared" si="10"/>
        <v>140</v>
      </c>
      <c r="I84" s="517">
        <f t="shared" si="11"/>
        <v>143</v>
      </c>
      <c r="J84" s="507"/>
    </row>
    <row r="85" spans="1:11" ht="17.100000000000001" customHeight="1">
      <c r="A85" s="585"/>
      <c r="B85" s="505" t="s">
        <v>1094</v>
      </c>
      <c r="C85" s="519" t="s">
        <v>1125</v>
      </c>
      <c r="D85" s="505">
        <v>113</v>
      </c>
      <c r="E85" s="518">
        <f t="shared" si="7"/>
        <v>8.7620672275423562E-4</v>
      </c>
      <c r="F85" s="517">
        <f t="shared" si="8"/>
        <v>114</v>
      </c>
      <c r="G85" s="517">
        <f t="shared" si="9"/>
        <v>117</v>
      </c>
      <c r="H85" s="517">
        <f t="shared" si="10"/>
        <v>119</v>
      </c>
      <c r="I85" s="517">
        <f t="shared" si="11"/>
        <v>121</v>
      </c>
      <c r="J85" s="507"/>
    </row>
    <row r="86" spans="1:11" ht="17.100000000000001" customHeight="1">
      <c r="A86" s="585"/>
      <c r="B86" s="505" t="s">
        <v>1094</v>
      </c>
      <c r="C86" s="519" t="s">
        <v>1126</v>
      </c>
      <c r="D86" s="505">
        <v>90</v>
      </c>
      <c r="E86" s="518">
        <f t="shared" si="7"/>
        <v>6.9786376148567439E-4</v>
      </c>
      <c r="F86" s="517">
        <f t="shared" si="8"/>
        <v>91</v>
      </c>
      <c r="G86" s="517">
        <f t="shared" si="9"/>
        <v>93</v>
      </c>
      <c r="H86" s="517">
        <f t="shared" si="10"/>
        <v>95</v>
      </c>
      <c r="I86" s="517">
        <f t="shared" si="11"/>
        <v>97</v>
      </c>
      <c r="J86" s="507"/>
    </row>
    <row r="87" spans="1:11" ht="17.100000000000001" customHeight="1">
      <c r="A87" s="585"/>
      <c r="B87" s="505" t="s">
        <v>1094</v>
      </c>
      <c r="C87" s="519" t="s">
        <v>1127</v>
      </c>
      <c r="D87" s="505">
        <v>152</v>
      </c>
      <c r="E87" s="518">
        <f t="shared" si="7"/>
        <v>1.1786143527313612E-3</v>
      </c>
      <c r="F87" s="517">
        <f t="shared" si="8"/>
        <v>154</v>
      </c>
      <c r="G87" s="517">
        <f t="shared" si="9"/>
        <v>157</v>
      </c>
      <c r="H87" s="517">
        <f t="shared" si="10"/>
        <v>161</v>
      </c>
      <c r="I87" s="517">
        <f t="shared" si="11"/>
        <v>163</v>
      </c>
      <c r="J87" s="507"/>
    </row>
    <row r="88" spans="1:11" ht="17.100000000000001" customHeight="1">
      <c r="A88" s="585"/>
      <c r="B88" s="505" t="s">
        <v>1094</v>
      </c>
      <c r="C88" s="519" t="s">
        <v>1128</v>
      </c>
      <c r="D88" s="505">
        <v>119</v>
      </c>
      <c r="E88" s="518">
        <f t="shared" si="7"/>
        <v>9.2273097351994724E-4</v>
      </c>
      <c r="F88" s="517">
        <f t="shared" si="8"/>
        <v>120</v>
      </c>
      <c r="G88" s="517">
        <f t="shared" si="9"/>
        <v>123</v>
      </c>
      <c r="H88" s="517">
        <f t="shared" si="10"/>
        <v>126</v>
      </c>
      <c r="I88" s="517">
        <f t="shared" si="11"/>
        <v>128</v>
      </c>
      <c r="J88" s="507"/>
    </row>
    <row r="89" spans="1:11" ht="17.100000000000001" customHeight="1">
      <c r="A89" s="585"/>
      <c r="B89" s="505" t="s">
        <v>1129</v>
      </c>
      <c r="C89" s="519" t="s">
        <v>1130</v>
      </c>
      <c r="D89" s="505">
        <v>196</v>
      </c>
      <c r="E89" s="518">
        <f t="shared" si="7"/>
        <v>1.5197921916799131E-3</v>
      </c>
      <c r="F89" s="517">
        <f t="shared" si="8"/>
        <v>198</v>
      </c>
      <c r="G89" s="517">
        <f t="shared" si="9"/>
        <v>202</v>
      </c>
      <c r="H89" s="517">
        <f t="shared" si="10"/>
        <v>207</v>
      </c>
      <c r="I89" s="517">
        <f t="shared" si="11"/>
        <v>211</v>
      </c>
      <c r="J89" s="507"/>
    </row>
    <row r="90" spans="1:11" ht="17.100000000000001" customHeight="1">
      <c r="A90" s="585"/>
      <c r="B90" s="505" t="s">
        <v>610</v>
      </c>
      <c r="C90" s="519" t="s">
        <v>1131</v>
      </c>
      <c r="D90" s="505">
        <v>103</v>
      </c>
      <c r="E90" s="518">
        <f t="shared" si="7"/>
        <v>7.9866630481138291E-4</v>
      </c>
      <c r="F90" s="517">
        <f t="shared" si="8"/>
        <v>104</v>
      </c>
      <c r="G90" s="517">
        <f t="shared" si="9"/>
        <v>106</v>
      </c>
      <c r="H90" s="517">
        <f t="shared" si="10"/>
        <v>109</v>
      </c>
      <c r="I90" s="517">
        <f t="shared" si="11"/>
        <v>111</v>
      </c>
      <c r="J90" s="507"/>
    </row>
    <row r="91" spans="1:11" ht="17.100000000000001" customHeight="1">
      <c r="A91" s="585"/>
      <c r="B91" s="505" t="s">
        <v>610</v>
      </c>
      <c r="C91" s="519" t="s">
        <v>1132</v>
      </c>
      <c r="D91" s="505">
        <v>85</v>
      </c>
      <c r="E91" s="518">
        <f t="shared" si="7"/>
        <v>6.5909355251424803E-4</v>
      </c>
      <c r="F91" s="517">
        <f t="shared" si="8"/>
        <v>86</v>
      </c>
      <c r="G91" s="517">
        <f t="shared" si="9"/>
        <v>88</v>
      </c>
      <c r="H91" s="517">
        <f t="shared" si="10"/>
        <v>90</v>
      </c>
      <c r="I91" s="517">
        <f t="shared" si="11"/>
        <v>91</v>
      </c>
      <c r="J91" s="507"/>
    </row>
    <row r="92" spans="1:11" ht="17.100000000000001" customHeight="1">
      <c r="A92" s="585" t="s">
        <v>1133</v>
      </c>
      <c r="B92" s="584" t="s">
        <v>1103</v>
      </c>
      <c r="C92" s="584"/>
      <c r="D92" s="526">
        <f t="shared" ref="D92:I92" si="12">SUM(D93:D130)</f>
        <v>11241</v>
      </c>
      <c r="E92" s="527">
        <f t="shared" si="12"/>
        <v>8.7163183809560729E-2</v>
      </c>
      <c r="F92" s="526">
        <f t="shared" si="12"/>
        <v>11371</v>
      </c>
      <c r="G92" s="526">
        <f t="shared" si="12"/>
        <v>11609</v>
      </c>
      <c r="H92" s="526">
        <f t="shared" si="12"/>
        <v>11873</v>
      </c>
      <c r="I92" s="526">
        <f t="shared" si="12"/>
        <v>12078</v>
      </c>
      <c r="J92" s="528"/>
      <c r="K92" s="524">
        <f>D92/$D$3</f>
        <v>8.7163183809560729E-2</v>
      </c>
    </row>
    <row r="93" spans="1:11" ht="17.100000000000001" customHeight="1">
      <c r="A93" s="585"/>
      <c r="B93" s="505" t="s">
        <v>1134</v>
      </c>
      <c r="C93" s="519" t="s">
        <v>679</v>
      </c>
      <c r="D93" s="505">
        <v>512</v>
      </c>
      <c r="E93" s="518">
        <f>D93/$D$3</f>
        <v>3.9700693986740587E-3</v>
      </c>
      <c r="F93" s="517">
        <f>ROUND($F$3*E93,0)</f>
        <v>518</v>
      </c>
      <c r="G93" s="517">
        <f>ROUND($G$3*E93,0)</f>
        <v>529</v>
      </c>
      <c r="H93" s="517">
        <f>ROUND($H$3*E93,0)</f>
        <v>541</v>
      </c>
      <c r="I93" s="517">
        <f>ROUND($I$3*E93,0)</f>
        <v>550</v>
      </c>
      <c r="J93" s="507"/>
    </row>
    <row r="94" spans="1:11" ht="17.100000000000001" customHeight="1">
      <c r="A94" s="585"/>
      <c r="B94" s="505" t="s">
        <v>609</v>
      </c>
      <c r="C94" s="519" t="s">
        <v>680</v>
      </c>
      <c r="D94" s="505">
        <v>321</v>
      </c>
      <c r="E94" s="518">
        <f t="shared" ref="E94:E130" si="13">D94/$D$3</f>
        <v>2.4890474159655722E-3</v>
      </c>
      <c r="F94" s="517">
        <f t="shared" ref="F94:F130" si="14">ROUND($F$3*E94,0)</f>
        <v>325</v>
      </c>
      <c r="G94" s="517">
        <f t="shared" ref="G94:G130" si="15">ROUND($G$3*E94,0)</f>
        <v>332</v>
      </c>
      <c r="H94" s="517">
        <f t="shared" ref="H94:H130" si="16">ROUND($H$3*E94,0)</f>
        <v>339</v>
      </c>
      <c r="I94" s="517">
        <f t="shared" ref="I94:I130" si="17">ROUND($I$3*E94,0)</f>
        <v>345</v>
      </c>
      <c r="J94" s="507"/>
    </row>
    <row r="95" spans="1:11" ht="17.100000000000001" customHeight="1">
      <c r="A95" s="585"/>
      <c r="B95" s="505" t="s">
        <v>609</v>
      </c>
      <c r="C95" s="519" t="s">
        <v>681</v>
      </c>
      <c r="D95" s="505">
        <v>301</v>
      </c>
      <c r="E95" s="518">
        <f t="shared" si="13"/>
        <v>2.3339665800798668E-3</v>
      </c>
      <c r="F95" s="517">
        <f t="shared" si="14"/>
        <v>305</v>
      </c>
      <c r="G95" s="517">
        <f t="shared" si="15"/>
        <v>311</v>
      </c>
      <c r="H95" s="517">
        <f t="shared" si="16"/>
        <v>318</v>
      </c>
      <c r="I95" s="517">
        <f t="shared" si="17"/>
        <v>323</v>
      </c>
      <c r="J95" s="507"/>
    </row>
    <row r="96" spans="1:11" ht="17.100000000000001" customHeight="1">
      <c r="A96" s="585"/>
      <c r="B96" s="505" t="s">
        <v>609</v>
      </c>
      <c r="C96" s="519" t="s">
        <v>682</v>
      </c>
      <c r="D96" s="505">
        <v>210</v>
      </c>
      <c r="E96" s="518">
        <f t="shared" si="13"/>
        <v>1.6283487767999069E-3</v>
      </c>
      <c r="F96" s="517">
        <f t="shared" si="14"/>
        <v>212</v>
      </c>
      <c r="G96" s="517">
        <f t="shared" si="15"/>
        <v>217</v>
      </c>
      <c r="H96" s="517">
        <f t="shared" si="16"/>
        <v>222</v>
      </c>
      <c r="I96" s="517">
        <f t="shared" si="17"/>
        <v>226</v>
      </c>
      <c r="J96" s="507"/>
    </row>
    <row r="97" spans="1:10" ht="17.100000000000001" customHeight="1">
      <c r="A97" s="585"/>
      <c r="B97" s="505" t="s">
        <v>609</v>
      </c>
      <c r="C97" s="519" t="s">
        <v>683</v>
      </c>
      <c r="D97" s="505">
        <v>266</v>
      </c>
      <c r="E97" s="518">
        <f t="shared" si="13"/>
        <v>2.0625751172798821E-3</v>
      </c>
      <c r="F97" s="517">
        <f t="shared" si="14"/>
        <v>269</v>
      </c>
      <c r="G97" s="517">
        <f t="shared" si="15"/>
        <v>275</v>
      </c>
      <c r="H97" s="517">
        <f t="shared" si="16"/>
        <v>281</v>
      </c>
      <c r="I97" s="517">
        <f t="shared" si="17"/>
        <v>286</v>
      </c>
      <c r="J97" s="507"/>
    </row>
    <row r="98" spans="1:10" ht="17.100000000000001" customHeight="1">
      <c r="A98" s="585"/>
      <c r="B98" s="505" t="s">
        <v>609</v>
      </c>
      <c r="C98" s="519" t="s">
        <v>684</v>
      </c>
      <c r="D98" s="505">
        <v>521</v>
      </c>
      <c r="E98" s="518">
        <f t="shared" si="13"/>
        <v>4.0398557748226264E-3</v>
      </c>
      <c r="F98" s="517">
        <f t="shared" si="14"/>
        <v>527</v>
      </c>
      <c r="G98" s="517">
        <f t="shared" si="15"/>
        <v>538</v>
      </c>
      <c r="H98" s="517">
        <f t="shared" si="16"/>
        <v>550</v>
      </c>
      <c r="I98" s="517">
        <f t="shared" si="17"/>
        <v>560</v>
      </c>
      <c r="J98" s="507"/>
    </row>
    <row r="99" spans="1:10" ht="17.100000000000001" customHeight="1">
      <c r="A99" s="585"/>
      <c r="B99" s="505" t="s">
        <v>609</v>
      </c>
      <c r="C99" s="519" t="s">
        <v>685</v>
      </c>
      <c r="D99" s="505">
        <v>373</v>
      </c>
      <c r="E99" s="518">
        <f t="shared" si="13"/>
        <v>2.8922575892684063E-3</v>
      </c>
      <c r="F99" s="517">
        <f t="shared" si="14"/>
        <v>377</v>
      </c>
      <c r="G99" s="517">
        <f t="shared" si="15"/>
        <v>385</v>
      </c>
      <c r="H99" s="517">
        <f t="shared" si="16"/>
        <v>394</v>
      </c>
      <c r="I99" s="517">
        <f t="shared" si="17"/>
        <v>401</v>
      </c>
      <c r="J99" s="507"/>
    </row>
    <row r="100" spans="1:10" ht="17.100000000000001" customHeight="1">
      <c r="A100" s="585"/>
      <c r="B100" s="505" t="s">
        <v>609</v>
      </c>
      <c r="C100" s="519" t="s">
        <v>686</v>
      </c>
      <c r="D100" s="505">
        <v>198</v>
      </c>
      <c r="E100" s="518">
        <f t="shared" si="13"/>
        <v>1.5353002752684836E-3</v>
      </c>
      <c r="F100" s="517">
        <f t="shared" si="14"/>
        <v>200</v>
      </c>
      <c r="G100" s="517">
        <f t="shared" si="15"/>
        <v>205</v>
      </c>
      <c r="H100" s="517">
        <f t="shared" si="16"/>
        <v>209</v>
      </c>
      <c r="I100" s="517">
        <f t="shared" si="17"/>
        <v>213</v>
      </c>
      <c r="J100" s="507"/>
    </row>
    <row r="101" spans="1:10" ht="17.100000000000001" customHeight="1">
      <c r="A101" s="585"/>
      <c r="B101" s="505" t="s">
        <v>609</v>
      </c>
      <c r="C101" s="519" t="s">
        <v>687</v>
      </c>
      <c r="D101" s="505">
        <v>202</v>
      </c>
      <c r="E101" s="518">
        <f t="shared" si="13"/>
        <v>1.5663164424456247E-3</v>
      </c>
      <c r="F101" s="517">
        <f t="shared" si="14"/>
        <v>204</v>
      </c>
      <c r="G101" s="517">
        <f t="shared" si="15"/>
        <v>209</v>
      </c>
      <c r="H101" s="517">
        <f t="shared" si="16"/>
        <v>213</v>
      </c>
      <c r="I101" s="517">
        <f t="shared" si="17"/>
        <v>217</v>
      </c>
      <c r="J101" s="507"/>
    </row>
    <row r="102" spans="1:10" ht="17.100000000000001" customHeight="1">
      <c r="A102" s="585"/>
      <c r="B102" s="505" t="s">
        <v>609</v>
      </c>
      <c r="C102" s="519" t="s">
        <v>688</v>
      </c>
      <c r="D102" s="505">
        <v>244</v>
      </c>
      <c r="E102" s="518">
        <f t="shared" si="13"/>
        <v>1.8919861978056061E-3</v>
      </c>
      <c r="F102" s="517">
        <f t="shared" si="14"/>
        <v>247</v>
      </c>
      <c r="G102" s="517">
        <f t="shared" si="15"/>
        <v>252</v>
      </c>
      <c r="H102" s="517">
        <f t="shared" si="16"/>
        <v>258</v>
      </c>
      <c r="I102" s="517">
        <f t="shared" si="17"/>
        <v>262</v>
      </c>
      <c r="J102" s="507"/>
    </row>
    <row r="103" spans="1:10" ht="17.100000000000001" customHeight="1">
      <c r="A103" s="585"/>
      <c r="B103" s="505" t="s">
        <v>609</v>
      </c>
      <c r="C103" s="519" t="s">
        <v>689</v>
      </c>
      <c r="D103" s="505">
        <v>810</v>
      </c>
      <c r="E103" s="518">
        <f t="shared" si="13"/>
        <v>6.2807738533710699E-3</v>
      </c>
      <c r="F103" s="517">
        <f t="shared" si="14"/>
        <v>819</v>
      </c>
      <c r="G103" s="517">
        <f t="shared" si="15"/>
        <v>837</v>
      </c>
      <c r="H103" s="517">
        <f t="shared" si="16"/>
        <v>856</v>
      </c>
      <c r="I103" s="517">
        <f t="shared" si="17"/>
        <v>870</v>
      </c>
      <c r="J103" s="507"/>
    </row>
    <row r="104" spans="1:10" ht="17.100000000000001" customHeight="1">
      <c r="A104" s="585"/>
      <c r="B104" s="505" t="s">
        <v>609</v>
      </c>
      <c r="C104" s="519" t="s">
        <v>690</v>
      </c>
      <c r="D104" s="505">
        <v>346</v>
      </c>
      <c r="E104" s="518">
        <f t="shared" si="13"/>
        <v>2.6828984608227037E-3</v>
      </c>
      <c r="F104" s="517">
        <f t="shared" si="14"/>
        <v>350</v>
      </c>
      <c r="G104" s="517">
        <f t="shared" si="15"/>
        <v>357</v>
      </c>
      <c r="H104" s="517">
        <f t="shared" si="16"/>
        <v>365</v>
      </c>
      <c r="I104" s="517">
        <f t="shared" si="17"/>
        <v>372</v>
      </c>
      <c r="J104" s="507"/>
    </row>
    <row r="105" spans="1:10" ht="17.100000000000001" customHeight="1">
      <c r="A105" s="585"/>
      <c r="B105" s="505" t="s">
        <v>609</v>
      </c>
      <c r="C105" s="519" t="s">
        <v>691</v>
      </c>
      <c r="D105" s="505">
        <v>928</v>
      </c>
      <c r="E105" s="518">
        <f t="shared" si="13"/>
        <v>7.1957507850967314E-3</v>
      </c>
      <c r="F105" s="517">
        <f t="shared" si="14"/>
        <v>939</v>
      </c>
      <c r="G105" s="517">
        <f t="shared" si="15"/>
        <v>958</v>
      </c>
      <c r="H105" s="517">
        <f t="shared" si="16"/>
        <v>980</v>
      </c>
      <c r="I105" s="517">
        <f t="shared" si="17"/>
        <v>997</v>
      </c>
      <c r="J105" s="507"/>
    </row>
    <row r="106" spans="1:10" ht="17.100000000000001" customHeight="1">
      <c r="A106" s="585"/>
      <c r="B106" s="505" t="s">
        <v>609</v>
      </c>
      <c r="C106" s="519" t="s">
        <v>692</v>
      </c>
      <c r="D106" s="505">
        <v>257</v>
      </c>
      <c r="E106" s="518">
        <f t="shared" si="13"/>
        <v>1.9927887411313149E-3</v>
      </c>
      <c r="F106" s="517">
        <f t="shared" si="14"/>
        <v>260</v>
      </c>
      <c r="G106" s="517">
        <f t="shared" si="15"/>
        <v>265</v>
      </c>
      <c r="H106" s="517">
        <f t="shared" si="16"/>
        <v>271</v>
      </c>
      <c r="I106" s="517">
        <f t="shared" si="17"/>
        <v>276</v>
      </c>
      <c r="J106" s="507"/>
    </row>
    <row r="107" spans="1:10" ht="17.100000000000001" customHeight="1">
      <c r="A107" s="585"/>
      <c r="B107" s="505" t="s">
        <v>609</v>
      </c>
      <c r="C107" s="519" t="s">
        <v>693</v>
      </c>
      <c r="D107" s="505">
        <v>151</v>
      </c>
      <c r="E107" s="518">
        <f t="shared" si="13"/>
        <v>1.1708603109370759E-3</v>
      </c>
      <c r="F107" s="517">
        <f t="shared" si="14"/>
        <v>153</v>
      </c>
      <c r="G107" s="517">
        <f t="shared" si="15"/>
        <v>156</v>
      </c>
      <c r="H107" s="517">
        <f t="shared" si="16"/>
        <v>159</v>
      </c>
      <c r="I107" s="517">
        <f t="shared" si="17"/>
        <v>162</v>
      </c>
      <c r="J107" s="507"/>
    </row>
    <row r="108" spans="1:10" ht="17.100000000000001" customHeight="1">
      <c r="A108" s="585"/>
      <c r="B108" s="505" t="s">
        <v>609</v>
      </c>
      <c r="C108" s="519" t="s">
        <v>694</v>
      </c>
      <c r="D108" s="505">
        <v>236</v>
      </c>
      <c r="E108" s="518">
        <f t="shared" si="13"/>
        <v>1.8299538634513239E-3</v>
      </c>
      <c r="F108" s="517">
        <f t="shared" si="14"/>
        <v>239</v>
      </c>
      <c r="G108" s="517">
        <f t="shared" si="15"/>
        <v>244</v>
      </c>
      <c r="H108" s="517">
        <f t="shared" si="16"/>
        <v>249</v>
      </c>
      <c r="I108" s="517">
        <f t="shared" si="17"/>
        <v>254</v>
      </c>
      <c r="J108" s="507"/>
    </row>
    <row r="109" spans="1:10" ht="17.100000000000001" customHeight="1">
      <c r="A109" s="585"/>
      <c r="B109" s="505" t="s">
        <v>609</v>
      </c>
      <c r="C109" s="519" t="s">
        <v>695</v>
      </c>
      <c r="D109" s="505">
        <v>525</v>
      </c>
      <c r="E109" s="518">
        <f t="shared" si="13"/>
        <v>4.0708719419997675E-3</v>
      </c>
      <c r="F109" s="517">
        <f t="shared" si="14"/>
        <v>531</v>
      </c>
      <c r="G109" s="517">
        <f t="shared" si="15"/>
        <v>542</v>
      </c>
      <c r="H109" s="517">
        <f t="shared" si="16"/>
        <v>555</v>
      </c>
      <c r="I109" s="517">
        <f t="shared" si="17"/>
        <v>564</v>
      </c>
      <c r="J109" s="507"/>
    </row>
    <row r="110" spans="1:10" ht="17.100000000000001" customHeight="1">
      <c r="A110" s="585"/>
      <c r="B110" s="505" t="s">
        <v>609</v>
      </c>
      <c r="C110" s="519" t="s">
        <v>696</v>
      </c>
      <c r="D110" s="505">
        <v>673</v>
      </c>
      <c r="E110" s="518">
        <f t="shared" si="13"/>
        <v>5.2184701275539876E-3</v>
      </c>
      <c r="F110" s="517">
        <f t="shared" si="14"/>
        <v>681</v>
      </c>
      <c r="G110" s="517">
        <f t="shared" si="15"/>
        <v>695</v>
      </c>
      <c r="H110" s="517">
        <f t="shared" si="16"/>
        <v>711</v>
      </c>
      <c r="I110" s="517">
        <f t="shared" si="17"/>
        <v>723</v>
      </c>
      <c r="J110" s="507"/>
    </row>
    <row r="111" spans="1:10" ht="17.100000000000001" customHeight="1">
      <c r="A111" s="585"/>
      <c r="B111" s="505" t="s">
        <v>609</v>
      </c>
      <c r="C111" s="519" t="s">
        <v>697</v>
      </c>
      <c r="D111" s="505">
        <v>191</v>
      </c>
      <c r="E111" s="518">
        <f t="shared" si="13"/>
        <v>1.4810219827084868E-3</v>
      </c>
      <c r="F111" s="517">
        <f t="shared" si="14"/>
        <v>193</v>
      </c>
      <c r="G111" s="517">
        <f t="shared" si="15"/>
        <v>197</v>
      </c>
      <c r="H111" s="517">
        <f t="shared" si="16"/>
        <v>202</v>
      </c>
      <c r="I111" s="517">
        <f t="shared" si="17"/>
        <v>205</v>
      </c>
      <c r="J111" s="507"/>
    </row>
    <row r="112" spans="1:10" ht="17.100000000000001" customHeight="1">
      <c r="A112" s="585"/>
      <c r="B112" s="505" t="s">
        <v>609</v>
      </c>
      <c r="C112" s="519" t="s">
        <v>698</v>
      </c>
      <c r="D112" s="505">
        <v>364</v>
      </c>
      <c r="E112" s="518">
        <f t="shared" si="13"/>
        <v>2.8224712131198386E-3</v>
      </c>
      <c r="F112" s="517">
        <f t="shared" si="14"/>
        <v>368</v>
      </c>
      <c r="G112" s="517">
        <f t="shared" si="15"/>
        <v>376</v>
      </c>
      <c r="H112" s="517">
        <f t="shared" si="16"/>
        <v>384</v>
      </c>
      <c r="I112" s="517">
        <f t="shared" si="17"/>
        <v>391</v>
      </c>
      <c r="J112" s="507"/>
    </row>
    <row r="113" spans="1:10" ht="17.100000000000001" customHeight="1">
      <c r="A113" s="585"/>
      <c r="B113" s="505" t="s">
        <v>609</v>
      </c>
      <c r="C113" s="519" t="s">
        <v>699</v>
      </c>
      <c r="D113" s="505">
        <v>223</v>
      </c>
      <c r="E113" s="518">
        <f t="shared" si="13"/>
        <v>1.7291513201256154E-3</v>
      </c>
      <c r="F113" s="517">
        <f t="shared" si="14"/>
        <v>226</v>
      </c>
      <c r="G113" s="517">
        <f t="shared" si="15"/>
        <v>230</v>
      </c>
      <c r="H113" s="517">
        <f t="shared" si="16"/>
        <v>236</v>
      </c>
      <c r="I113" s="517">
        <f t="shared" si="17"/>
        <v>240</v>
      </c>
      <c r="J113" s="507"/>
    </row>
    <row r="114" spans="1:10" ht="17.100000000000001" customHeight="1">
      <c r="A114" s="585"/>
      <c r="B114" s="505" t="s">
        <v>609</v>
      </c>
      <c r="C114" s="519" t="s">
        <v>700</v>
      </c>
      <c r="D114" s="505">
        <v>305</v>
      </c>
      <c r="E114" s="518">
        <f t="shared" si="13"/>
        <v>2.3649827472570079E-3</v>
      </c>
      <c r="F114" s="517">
        <f t="shared" si="14"/>
        <v>309</v>
      </c>
      <c r="G114" s="517">
        <f t="shared" si="15"/>
        <v>315</v>
      </c>
      <c r="H114" s="517">
        <f t="shared" si="16"/>
        <v>322</v>
      </c>
      <c r="I114" s="517">
        <f t="shared" si="17"/>
        <v>328</v>
      </c>
      <c r="J114" s="507"/>
    </row>
    <row r="115" spans="1:10" ht="17.100000000000001" customHeight="1">
      <c r="A115" s="585"/>
      <c r="B115" s="505" t="s">
        <v>609</v>
      </c>
      <c r="C115" s="519" t="s">
        <v>701</v>
      </c>
      <c r="D115" s="505">
        <v>416</v>
      </c>
      <c r="E115" s="518">
        <f t="shared" si="13"/>
        <v>3.2256813864226727E-3</v>
      </c>
      <c r="F115" s="517">
        <f t="shared" si="14"/>
        <v>421</v>
      </c>
      <c r="G115" s="517">
        <f t="shared" si="15"/>
        <v>430</v>
      </c>
      <c r="H115" s="517">
        <f t="shared" si="16"/>
        <v>439</v>
      </c>
      <c r="I115" s="517">
        <f t="shared" si="17"/>
        <v>447</v>
      </c>
      <c r="J115" s="507"/>
    </row>
    <row r="116" spans="1:10" ht="17.100000000000001" customHeight="1">
      <c r="A116" s="585"/>
      <c r="B116" s="505" t="s">
        <v>609</v>
      </c>
      <c r="C116" s="519" t="s">
        <v>702</v>
      </c>
      <c r="D116" s="505">
        <v>246</v>
      </c>
      <c r="E116" s="518">
        <f t="shared" si="13"/>
        <v>1.9074942813941767E-3</v>
      </c>
      <c r="F116" s="517">
        <f t="shared" si="14"/>
        <v>249</v>
      </c>
      <c r="G116" s="517">
        <f t="shared" si="15"/>
        <v>254</v>
      </c>
      <c r="H116" s="517">
        <f t="shared" si="16"/>
        <v>260</v>
      </c>
      <c r="I116" s="517">
        <f t="shared" si="17"/>
        <v>264</v>
      </c>
      <c r="J116" s="507"/>
    </row>
    <row r="117" spans="1:10" ht="17.100000000000001" customHeight="1">
      <c r="A117" s="585"/>
      <c r="B117" s="505" t="s">
        <v>609</v>
      </c>
      <c r="C117" s="519" t="s">
        <v>703</v>
      </c>
      <c r="D117" s="505">
        <v>597</v>
      </c>
      <c r="E117" s="518">
        <f t="shared" si="13"/>
        <v>4.629162951188307E-3</v>
      </c>
      <c r="F117" s="517">
        <f t="shared" si="14"/>
        <v>604</v>
      </c>
      <c r="G117" s="517">
        <f t="shared" si="15"/>
        <v>617</v>
      </c>
      <c r="H117" s="517">
        <f t="shared" si="16"/>
        <v>631</v>
      </c>
      <c r="I117" s="517">
        <f t="shared" si="17"/>
        <v>641</v>
      </c>
      <c r="J117" s="507"/>
    </row>
    <row r="118" spans="1:10" ht="17.100000000000001" customHeight="1">
      <c r="A118" s="585"/>
      <c r="B118" s="505" t="s">
        <v>609</v>
      </c>
      <c r="C118" s="519" t="s">
        <v>704</v>
      </c>
      <c r="D118" s="505">
        <v>779</v>
      </c>
      <c r="E118" s="518">
        <f t="shared" si="13"/>
        <v>6.0403985577482259E-3</v>
      </c>
      <c r="F118" s="517">
        <f t="shared" si="14"/>
        <v>788</v>
      </c>
      <c r="G118" s="517">
        <f t="shared" si="15"/>
        <v>805</v>
      </c>
      <c r="H118" s="517">
        <f t="shared" si="16"/>
        <v>823</v>
      </c>
      <c r="I118" s="517">
        <f t="shared" si="17"/>
        <v>837</v>
      </c>
      <c r="J118" s="507"/>
    </row>
    <row r="119" spans="1:10" ht="17.100000000000001" customHeight="1">
      <c r="A119" s="585"/>
      <c r="B119" s="505" t="s">
        <v>609</v>
      </c>
      <c r="C119" s="519" t="s">
        <v>705</v>
      </c>
      <c r="D119" s="505">
        <v>197</v>
      </c>
      <c r="E119" s="518">
        <f t="shared" si="13"/>
        <v>1.5275462334741984E-3</v>
      </c>
      <c r="F119" s="517">
        <f t="shared" si="14"/>
        <v>199</v>
      </c>
      <c r="G119" s="517">
        <f t="shared" si="15"/>
        <v>203</v>
      </c>
      <c r="H119" s="517">
        <f t="shared" si="16"/>
        <v>208</v>
      </c>
      <c r="I119" s="517">
        <f t="shared" si="17"/>
        <v>212</v>
      </c>
      <c r="J119" s="507"/>
    </row>
    <row r="120" spans="1:10" ht="17.100000000000001" customHeight="1">
      <c r="A120" s="585"/>
      <c r="B120" s="505" t="s">
        <v>609</v>
      </c>
      <c r="C120" s="519" t="s">
        <v>706</v>
      </c>
      <c r="D120" s="505">
        <v>183</v>
      </c>
      <c r="E120" s="518">
        <f t="shared" si="13"/>
        <v>1.4189896483542046E-3</v>
      </c>
      <c r="F120" s="517">
        <f t="shared" si="14"/>
        <v>185</v>
      </c>
      <c r="G120" s="517">
        <f t="shared" si="15"/>
        <v>189</v>
      </c>
      <c r="H120" s="517">
        <f t="shared" si="16"/>
        <v>193</v>
      </c>
      <c r="I120" s="517">
        <f t="shared" si="17"/>
        <v>197</v>
      </c>
      <c r="J120" s="507"/>
    </row>
    <row r="121" spans="1:10" ht="17.100000000000001" customHeight="1">
      <c r="A121" s="585"/>
      <c r="B121" s="505" t="s">
        <v>1135</v>
      </c>
      <c r="C121" s="505" t="s">
        <v>1136</v>
      </c>
      <c r="D121" s="505">
        <v>70</v>
      </c>
      <c r="E121" s="518">
        <f t="shared" si="13"/>
        <v>5.4278292559996897E-4</v>
      </c>
      <c r="F121" s="517">
        <f t="shared" si="14"/>
        <v>71</v>
      </c>
      <c r="G121" s="517">
        <f t="shared" si="15"/>
        <v>72</v>
      </c>
      <c r="H121" s="517">
        <f t="shared" si="16"/>
        <v>74</v>
      </c>
      <c r="I121" s="517">
        <f t="shared" si="17"/>
        <v>75</v>
      </c>
      <c r="J121" s="507"/>
    </row>
    <row r="122" spans="1:10" ht="17.100000000000001" customHeight="1">
      <c r="A122" s="585"/>
      <c r="B122" s="505" t="s">
        <v>1095</v>
      </c>
      <c r="C122" s="505" t="s">
        <v>1137</v>
      </c>
      <c r="D122" s="505">
        <v>75</v>
      </c>
      <c r="E122" s="518">
        <f t="shared" si="13"/>
        <v>5.8155313457139532E-4</v>
      </c>
      <c r="F122" s="517">
        <f t="shared" si="14"/>
        <v>76</v>
      </c>
      <c r="G122" s="517">
        <f t="shared" si="15"/>
        <v>77</v>
      </c>
      <c r="H122" s="517">
        <f t="shared" si="16"/>
        <v>79</v>
      </c>
      <c r="I122" s="517">
        <f t="shared" si="17"/>
        <v>81</v>
      </c>
      <c r="J122" s="507"/>
    </row>
    <row r="123" spans="1:10" ht="17.100000000000001" customHeight="1">
      <c r="A123" s="585"/>
      <c r="B123" s="505" t="s">
        <v>1095</v>
      </c>
      <c r="C123" s="505" t="s">
        <v>1138</v>
      </c>
      <c r="D123" s="505">
        <v>6</v>
      </c>
      <c r="E123" s="518">
        <f t="shared" si="13"/>
        <v>4.6524250765711626E-5</v>
      </c>
      <c r="F123" s="517">
        <f t="shared" si="14"/>
        <v>6</v>
      </c>
      <c r="G123" s="517">
        <f t="shared" si="15"/>
        <v>6</v>
      </c>
      <c r="H123" s="517">
        <f t="shared" si="16"/>
        <v>6</v>
      </c>
      <c r="I123" s="517">
        <f t="shared" si="17"/>
        <v>6</v>
      </c>
      <c r="J123" s="507"/>
    </row>
    <row r="124" spans="1:10" ht="17.100000000000001" customHeight="1">
      <c r="A124" s="585"/>
      <c r="B124" s="505" t="s">
        <v>1095</v>
      </c>
      <c r="C124" s="505" t="s">
        <v>1139</v>
      </c>
      <c r="D124" s="505">
        <v>120</v>
      </c>
      <c r="E124" s="518">
        <f t="shared" si="13"/>
        <v>9.3048501531423251E-4</v>
      </c>
      <c r="F124" s="517">
        <f t="shared" si="14"/>
        <v>121</v>
      </c>
      <c r="G124" s="517">
        <f t="shared" si="15"/>
        <v>124</v>
      </c>
      <c r="H124" s="517">
        <f t="shared" si="16"/>
        <v>127</v>
      </c>
      <c r="I124" s="517">
        <f t="shared" si="17"/>
        <v>129</v>
      </c>
      <c r="J124" s="507"/>
    </row>
    <row r="125" spans="1:10" ht="17.100000000000001" customHeight="1">
      <c r="A125" s="585"/>
      <c r="B125" s="505" t="s">
        <v>1095</v>
      </c>
      <c r="C125" s="505" t="s">
        <v>1140</v>
      </c>
      <c r="D125" s="505">
        <v>35</v>
      </c>
      <c r="E125" s="518">
        <f t="shared" si="13"/>
        <v>2.7139146279998448E-4</v>
      </c>
      <c r="F125" s="517">
        <f t="shared" si="14"/>
        <v>35</v>
      </c>
      <c r="G125" s="517">
        <f t="shared" si="15"/>
        <v>36</v>
      </c>
      <c r="H125" s="517">
        <f t="shared" si="16"/>
        <v>37</v>
      </c>
      <c r="I125" s="517">
        <f t="shared" si="17"/>
        <v>38</v>
      </c>
      <c r="J125" s="507"/>
    </row>
    <row r="126" spans="1:10" ht="17.100000000000001" customHeight="1">
      <c r="A126" s="585"/>
      <c r="B126" s="505" t="s">
        <v>1095</v>
      </c>
      <c r="C126" s="505" t="s">
        <v>1141</v>
      </c>
      <c r="D126" s="505">
        <v>40</v>
      </c>
      <c r="E126" s="518">
        <f t="shared" si="13"/>
        <v>3.1016167177141084E-4</v>
      </c>
      <c r="F126" s="517">
        <f t="shared" si="14"/>
        <v>40</v>
      </c>
      <c r="G126" s="517">
        <f t="shared" si="15"/>
        <v>41</v>
      </c>
      <c r="H126" s="517">
        <f t="shared" si="16"/>
        <v>42</v>
      </c>
      <c r="I126" s="517">
        <f t="shared" si="17"/>
        <v>43</v>
      </c>
      <c r="J126" s="507"/>
    </row>
    <row r="127" spans="1:10" ht="17.100000000000001" customHeight="1">
      <c r="A127" s="585"/>
      <c r="B127" s="505" t="s">
        <v>1095</v>
      </c>
      <c r="C127" s="505" t="s">
        <v>1142</v>
      </c>
      <c r="D127" s="505">
        <v>47</v>
      </c>
      <c r="E127" s="518">
        <f t="shared" si="13"/>
        <v>3.6443996433140773E-4</v>
      </c>
      <c r="F127" s="517">
        <f t="shared" si="14"/>
        <v>48</v>
      </c>
      <c r="G127" s="517">
        <f t="shared" si="15"/>
        <v>49</v>
      </c>
      <c r="H127" s="517">
        <f t="shared" si="16"/>
        <v>50</v>
      </c>
      <c r="I127" s="517">
        <f t="shared" si="17"/>
        <v>50</v>
      </c>
      <c r="J127" s="507"/>
    </row>
    <row r="128" spans="1:10" ht="17.100000000000001" customHeight="1">
      <c r="A128" s="585"/>
      <c r="B128" s="505" t="s">
        <v>1095</v>
      </c>
      <c r="C128" s="505" t="s">
        <v>1143</v>
      </c>
      <c r="D128" s="505">
        <v>11</v>
      </c>
      <c r="E128" s="518">
        <f t="shared" si="13"/>
        <v>8.529445973713798E-5</v>
      </c>
      <c r="F128" s="517">
        <f t="shared" si="14"/>
        <v>11</v>
      </c>
      <c r="G128" s="517">
        <f t="shared" si="15"/>
        <v>11</v>
      </c>
      <c r="H128" s="517">
        <f t="shared" si="16"/>
        <v>12</v>
      </c>
      <c r="I128" s="517">
        <f t="shared" si="17"/>
        <v>12</v>
      </c>
      <c r="J128" s="507"/>
    </row>
    <row r="129" spans="1:11" ht="17.100000000000001" customHeight="1">
      <c r="A129" s="585"/>
      <c r="B129" s="505" t="s">
        <v>1095</v>
      </c>
      <c r="C129" s="505" t="s">
        <v>1144</v>
      </c>
      <c r="D129" s="505">
        <v>70</v>
      </c>
      <c r="E129" s="518">
        <f t="shared" si="13"/>
        <v>5.4278292559996897E-4</v>
      </c>
      <c r="F129" s="517">
        <f t="shared" si="14"/>
        <v>71</v>
      </c>
      <c r="G129" s="517">
        <f t="shared" si="15"/>
        <v>72</v>
      </c>
      <c r="H129" s="517">
        <f t="shared" si="16"/>
        <v>74</v>
      </c>
      <c r="I129" s="517">
        <f t="shared" si="17"/>
        <v>75</v>
      </c>
      <c r="J129" s="507"/>
    </row>
    <row r="130" spans="1:11" ht="17.100000000000001" customHeight="1">
      <c r="A130" s="585"/>
      <c r="B130" s="505" t="s">
        <v>1079</v>
      </c>
      <c r="C130" s="505" t="s">
        <v>1145</v>
      </c>
      <c r="D130" s="505">
        <v>192</v>
      </c>
      <c r="E130" s="518">
        <f t="shared" si="13"/>
        <v>1.488776024502772E-3</v>
      </c>
      <c r="F130" s="517">
        <f t="shared" si="14"/>
        <v>194</v>
      </c>
      <c r="G130" s="517">
        <f t="shared" si="15"/>
        <v>198</v>
      </c>
      <c r="H130" s="517">
        <f t="shared" si="16"/>
        <v>203</v>
      </c>
      <c r="I130" s="517">
        <f t="shared" si="17"/>
        <v>206</v>
      </c>
      <c r="J130" s="507"/>
    </row>
    <row r="131" spans="1:11" ht="17.100000000000001" customHeight="1">
      <c r="A131" s="585" t="s">
        <v>1146</v>
      </c>
      <c r="B131" s="584" t="s">
        <v>1147</v>
      </c>
      <c r="C131" s="584"/>
      <c r="D131" s="526">
        <f t="shared" ref="D131:I131" si="18">SUM(D132:D235)</f>
        <v>24786</v>
      </c>
      <c r="E131" s="527">
        <f t="shared" si="18"/>
        <v>0.19219167991315472</v>
      </c>
      <c r="F131" s="526">
        <f t="shared" si="18"/>
        <v>25076</v>
      </c>
      <c r="G131" s="526">
        <f t="shared" si="18"/>
        <v>25599</v>
      </c>
      <c r="H131" s="526">
        <f t="shared" si="18"/>
        <v>26178</v>
      </c>
      <c r="I131" s="526">
        <f t="shared" si="18"/>
        <v>26627</v>
      </c>
      <c r="J131" s="528"/>
      <c r="K131" s="524">
        <f>D131/$D$3</f>
        <v>0.19219167991315472</v>
      </c>
    </row>
    <row r="132" spans="1:11" ht="17.100000000000001" customHeight="1">
      <c r="A132" s="585"/>
      <c r="B132" s="505" t="s">
        <v>1078</v>
      </c>
      <c r="C132" s="505" t="s">
        <v>707</v>
      </c>
      <c r="D132" s="505">
        <v>747</v>
      </c>
      <c r="E132" s="518">
        <f t="shared" ref="E132:E195" si="19">D132/$D$3</f>
        <v>5.7922692203310972E-3</v>
      </c>
      <c r="F132" s="517">
        <f t="shared" ref="F132:F187" si="20">ROUND($F$3*E132,0)</f>
        <v>756</v>
      </c>
      <c r="G132" s="517">
        <f t="shared" ref="G132:G187" si="21">ROUND($G$3*E132,0)</f>
        <v>772</v>
      </c>
      <c r="H132" s="517">
        <f t="shared" ref="H132:H187" si="22">ROUND($H$3*E132,0)</f>
        <v>789</v>
      </c>
      <c r="I132" s="517">
        <f t="shared" ref="I132:I187" si="23">ROUND($I$3*E132,0)</f>
        <v>803</v>
      </c>
      <c r="J132" s="507"/>
    </row>
    <row r="133" spans="1:11" ht="17.100000000000001" customHeight="1">
      <c r="A133" s="585"/>
      <c r="B133" s="505" t="s">
        <v>610</v>
      </c>
      <c r="C133" s="505" t="s">
        <v>708</v>
      </c>
      <c r="D133" s="505">
        <v>370</v>
      </c>
      <c r="E133" s="518">
        <f t="shared" si="19"/>
        <v>2.8689954638855503E-3</v>
      </c>
      <c r="F133" s="517">
        <f t="shared" si="20"/>
        <v>374</v>
      </c>
      <c r="G133" s="517">
        <f t="shared" si="21"/>
        <v>382</v>
      </c>
      <c r="H133" s="517">
        <f t="shared" si="22"/>
        <v>391</v>
      </c>
      <c r="I133" s="517">
        <f t="shared" si="23"/>
        <v>398</v>
      </c>
      <c r="J133" s="507"/>
    </row>
    <row r="134" spans="1:11" ht="17.100000000000001" customHeight="1">
      <c r="A134" s="585"/>
      <c r="B134" s="505" t="s">
        <v>610</v>
      </c>
      <c r="C134" s="505" t="s">
        <v>709</v>
      </c>
      <c r="D134" s="505">
        <v>339</v>
      </c>
      <c r="E134" s="518">
        <f t="shared" si="19"/>
        <v>2.6286201682627071E-3</v>
      </c>
      <c r="F134" s="517">
        <f t="shared" si="20"/>
        <v>343</v>
      </c>
      <c r="G134" s="517">
        <f t="shared" si="21"/>
        <v>350</v>
      </c>
      <c r="H134" s="517">
        <f t="shared" si="22"/>
        <v>358</v>
      </c>
      <c r="I134" s="517">
        <f t="shared" si="23"/>
        <v>364</v>
      </c>
      <c r="J134" s="507"/>
    </row>
    <row r="135" spans="1:11" ht="17.100000000000001" customHeight="1">
      <c r="A135" s="585"/>
      <c r="B135" s="505" t="s">
        <v>610</v>
      </c>
      <c r="C135" s="505" t="s">
        <v>710</v>
      </c>
      <c r="D135" s="505">
        <v>243</v>
      </c>
      <c r="E135" s="518">
        <f t="shared" si="19"/>
        <v>1.8842321560113208E-3</v>
      </c>
      <c r="F135" s="517">
        <f t="shared" si="20"/>
        <v>246</v>
      </c>
      <c r="G135" s="517">
        <f t="shared" si="21"/>
        <v>251</v>
      </c>
      <c r="H135" s="517">
        <f t="shared" si="22"/>
        <v>257</v>
      </c>
      <c r="I135" s="517">
        <f t="shared" si="23"/>
        <v>261</v>
      </c>
      <c r="J135" s="507"/>
    </row>
    <row r="136" spans="1:11" ht="17.100000000000001" customHeight="1">
      <c r="A136" s="585"/>
      <c r="B136" s="505" t="s">
        <v>610</v>
      </c>
      <c r="C136" s="505" t="s">
        <v>711</v>
      </c>
      <c r="D136" s="505">
        <v>117</v>
      </c>
      <c r="E136" s="518">
        <f t="shared" si="19"/>
        <v>9.072228899313767E-4</v>
      </c>
      <c r="F136" s="517">
        <f t="shared" si="20"/>
        <v>118</v>
      </c>
      <c r="G136" s="517">
        <f t="shared" si="21"/>
        <v>121</v>
      </c>
      <c r="H136" s="517">
        <f t="shared" si="22"/>
        <v>124</v>
      </c>
      <c r="I136" s="517">
        <f t="shared" si="23"/>
        <v>126</v>
      </c>
      <c r="J136" s="507"/>
    </row>
    <row r="137" spans="1:11" ht="17.100000000000001" customHeight="1">
      <c r="A137" s="585"/>
      <c r="B137" s="505" t="s">
        <v>610</v>
      </c>
      <c r="C137" s="505" t="s">
        <v>712</v>
      </c>
      <c r="D137" s="505">
        <v>153</v>
      </c>
      <c r="E137" s="518">
        <f t="shared" si="19"/>
        <v>1.1863683945256465E-3</v>
      </c>
      <c r="F137" s="517">
        <f t="shared" si="20"/>
        <v>155</v>
      </c>
      <c r="G137" s="517">
        <f t="shared" si="21"/>
        <v>158</v>
      </c>
      <c r="H137" s="517">
        <f t="shared" si="22"/>
        <v>162</v>
      </c>
      <c r="I137" s="517">
        <f t="shared" si="23"/>
        <v>164</v>
      </c>
      <c r="J137" s="507"/>
    </row>
    <row r="138" spans="1:11" ht="17.100000000000001" customHeight="1">
      <c r="A138" s="585"/>
      <c r="B138" s="505" t="s">
        <v>610</v>
      </c>
      <c r="C138" s="505" t="s">
        <v>713</v>
      </c>
      <c r="D138" s="505">
        <v>374</v>
      </c>
      <c r="E138" s="518">
        <f t="shared" si="19"/>
        <v>2.9000116310626913E-3</v>
      </c>
      <c r="F138" s="517">
        <f t="shared" si="20"/>
        <v>378</v>
      </c>
      <c r="G138" s="517">
        <f t="shared" si="21"/>
        <v>386</v>
      </c>
      <c r="H138" s="517">
        <f t="shared" si="22"/>
        <v>395</v>
      </c>
      <c r="I138" s="517">
        <f t="shared" si="23"/>
        <v>402</v>
      </c>
      <c r="J138" s="507"/>
    </row>
    <row r="139" spans="1:11" ht="17.100000000000001" customHeight="1">
      <c r="A139" s="585"/>
      <c r="B139" s="505" t="s">
        <v>610</v>
      </c>
      <c r="C139" s="505" t="s">
        <v>714</v>
      </c>
      <c r="D139" s="505">
        <v>309</v>
      </c>
      <c r="E139" s="518">
        <f t="shared" si="19"/>
        <v>2.3959989144341489E-3</v>
      </c>
      <c r="F139" s="517">
        <f t="shared" si="20"/>
        <v>313</v>
      </c>
      <c r="G139" s="517">
        <f t="shared" si="21"/>
        <v>319</v>
      </c>
      <c r="H139" s="517">
        <f t="shared" si="22"/>
        <v>326</v>
      </c>
      <c r="I139" s="517">
        <f t="shared" si="23"/>
        <v>332</v>
      </c>
      <c r="J139" s="507"/>
    </row>
    <row r="140" spans="1:11" ht="17.100000000000001" customHeight="1">
      <c r="A140" s="585"/>
      <c r="B140" s="505" t="s">
        <v>610</v>
      </c>
      <c r="C140" s="505" t="s">
        <v>715</v>
      </c>
      <c r="D140" s="505">
        <v>234</v>
      </c>
      <c r="E140" s="518">
        <f t="shared" si="19"/>
        <v>1.8144457798627534E-3</v>
      </c>
      <c r="F140" s="517">
        <f t="shared" si="20"/>
        <v>237</v>
      </c>
      <c r="G140" s="517">
        <f t="shared" si="21"/>
        <v>242</v>
      </c>
      <c r="H140" s="517">
        <f t="shared" si="22"/>
        <v>247</v>
      </c>
      <c r="I140" s="517">
        <f t="shared" si="23"/>
        <v>251</v>
      </c>
      <c r="J140" s="507"/>
    </row>
    <row r="141" spans="1:11" ht="17.100000000000001" customHeight="1">
      <c r="A141" s="585"/>
      <c r="B141" s="505" t="s">
        <v>610</v>
      </c>
      <c r="C141" s="505" t="s">
        <v>716</v>
      </c>
      <c r="D141" s="505">
        <v>154</v>
      </c>
      <c r="E141" s="518">
        <f t="shared" si="19"/>
        <v>1.1941224363199317E-3</v>
      </c>
      <c r="F141" s="517">
        <f t="shared" si="20"/>
        <v>156</v>
      </c>
      <c r="G141" s="517">
        <f t="shared" si="21"/>
        <v>159</v>
      </c>
      <c r="H141" s="517">
        <f t="shared" si="22"/>
        <v>163</v>
      </c>
      <c r="I141" s="517">
        <f t="shared" si="23"/>
        <v>165</v>
      </c>
      <c r="J141" s="507"/>
    </row>
    <row r="142" spans="1:11" ht="17.100000000000001" customHeight="1">
      <c r="A142" s="585"/>
      <c r="B142" s="505" t="s">
        <v>610</v>
      </c>
      <c r="C142" s="505" t="s">
        <v>717</v>
      </c>
      <c r="D142" s="505">
        <v>168</v>
      </c>
      <c r="E142" s="518">
        <f t="shared" si="19"/>
        <v>1.3026790214399255E-3</v>
      </c>
      <c r="F142" s="517">
        <f t="shared" si="20"/>
        <v>170</v>
      </c>
      <c r="G142" s="517">
        <f t="shared" si="21"/>
        <v>174</v>
      </c>
      <c r="H142" s="517">
        <f t="shared" si="22"/>
        <v>177</v>
      </c>
      <c r="I142" s="517">
        <f t="shared" si="23"/>
        <v>181</v>
      </c>
      <c r="J142" s="507"/>
    </row>
    <row r="143" spans="1:11" ht="17.100000000000001" customHeight="1">
      <c r="A143" s="585"/>
      <c r="B143" s="505" t="s">
        <v>610</v>
      </c>
      <c r="C143" s="505" t="s">
        <v>718</v>
      </c>
      <c r="D143" s="505">
        <v>333</v>
      </c>
      <c r="E143" s="518">
        <f t="shared" si="19"/>
        <v>2.5820959174969954E-3</v>
      </c>
      <c r="F143" s="517">
        <f t="shared" si="20"/>
        <v>337</v>
      </c>
      <c r="G143" s="517">
        <f t="shared" si="21"/>
        <v>344</v>
      </c>
      <c r="H143" s="517">
        <f t="shared" si="22"/>
        <v>352</v>
      </c>
      <c r="I143" s="517">
        <f t="shared" si="23"/>
        <v>358</v>
      </c>
      <c r="J143" s="507"/>
    </row>
    <row r="144" spans="1:11" ht="17.100000000000001" customHeight="1">
      <c r="A144" s="585"/>
      <c r="B144" s="505" t="s">
        <v>610</v>
      </c>
      <c r="C144" s="505" t="s">
        <v>719</v>
      </c>
      <c r="D144" s="505">
        <v>598</v>
      </c>
      <c r="E144" s="518">
        <f t="shared" si="19"/>
        <v>4.6369169929825925E-3</v>
      </c>
      <c r="F144" s="517">
        <f t="shared" si="20"/>
        <v>605</v>
      </c>
      <c r="G144" s="517">
        <f t="shared" si="21"/>
        <v>618</v>
      </c>
      <c r="H144" s="517">
        <f t="shared" si="22"/>
        <v>632</v>
      </c>
      <c r="I144" s="517">
        <f t="shared" si="23"/>
        <v>642</v>
      </c>
      <c r="J144" s="507"/>
    </row>
    <row r="145" spans="1:10" ht="17.100000000000001" customHeight="1">
      <c r="A145" s="585"/>
      <c r="B145" s="505" t="s">
        <v>610</v>
      </c>
      <c r="C145" s="505" t="s">
        <v>720</v>
      </c>
      <c r="D145" s="505">
        <v>186</v>
      </c>
      <c r="E145" s="518">
        <f t="shared" si="19"/>
        <v>1.4422517737370604E-3</v>
      </c>
      <c r="F145" s="517">
        <f t="shared" si="20"/>
        <v>188</v>
      </c>
      <c r="G145" s="517">
        <f t="shared" si="21"/>
        <v>192</v>
      </c>
      <c r="H145" s="517">
        <f t="shared" si="22"/>
        <v>196</v>
      </c>
      <c r="I145" s="517">
        <f t="shared" si="23"/>
        <v>200</v>
      </c>
      <c r="J145" s="507"/>
    </row>
    <row r="146" spans="1:10" ht="17.100000000000001" customHeight="1">
      <c r="A146" s="585"/>
      <c r="B146" s="505" t="s">
        <v>610</v>
      </c>
      <c r="C146" s="505" t="s">
        <v>721</v>
      </c>
      <c r="D146" s="505">
        <v>101</v>
      </c>
      <c r="E146" s="518">
        <f t="shared" si="19"/>
        <v>7.8315822122281237E-4</v>
      </c>
      <c r="F146" s="517">
        <f t="shared" si="20"/>
        <v>102</v>
      </c>
      <c r="G146" s="517">
        <f t="shared" si="21"/>
        <v>104</v>
      </c>
      <c r="H146" s="517">
        <f t="shared" si="22"/>
        <v>107</v>
      </c>
      <c r="I146" s="517">
        <f t="shared" si="23"/>
        <v>109</v>
      </c>
      <c r="J146" s="507"/>
    </row>
    <row r="147" spans="1:10" ht="17.100000000000001" customHeight="1">
      <c r="A147" s="585"/>
      <c r="B147" s="505" t="s">
        <v>610</v>
      </c>
      <c r="C147" s="505" t="s">
        <v>722</v>
      </c>
      <c r="D147" s="505">
        <v>172</v>
      </c>
      <c r="E147" s="518">
        <f t="shared" si="19"/>
        <v>1.3336951886170666E-3</v>
      </c>
      <c r="F147" s="517">
        <f t="shared" si="20"/>
        <v>174</v>
      </c>
      <c r="G147" s="517">
        <f t="shared" si="21"/>
        <v>178</v>
      </c>
      <c r="H147" s="517">
        <f t="shared" si="22"/>
        <v>182</v>
      </c>
      <c r="I147" s="517">
        <f t="shared" si="23"/>
        <v>185</v>
      </c>
      <c r="J147" s="507"/>
    </row>
    <row r="148" spans="1:10" ht="17.100000000000001" customHeight="1">
      <c r="A148" s="585"/>
      <c r="B148" s="505" t="s">
        <v>610</v>
      </c>
      <c r="C148" s="505" t="s">
        <v>723</v>
      </c>
      <c r="D148" s="505">
        <v>706</v>
      </c>
      <c r="E148" s="518">
        <f t="shared" si="19"/>
        <v>5.4743535067654017E-3</v>
      </c>
      <c r="F148" s="517">
        <f t="shared" si="20"/>
        <v>714</v>
      </c>
      <c r="G148" s="517">
        <f t="shared" si="21"/>
        <v>729</v>
      </c>
      <c r="H148" s="517">
        <f t="shared" si="22"/>
        <v>746</v>
      </c>
      <c r="I148" s="517">
        <f t="shared" si="23"/>
        <v>759</v>
      </c>
      <c r="J148" s="507"/>
    </row>
    <row r="149" spans="1:10" ht="17.100000000000001" customHeight="1">
      <c r="A149" s="585"/>
      <c r="B149" s="505" t="s">
        <v>610</v>
      </c>
      <c r="C149" s="505" t="s">
        <v>724</v>
      </c>
      <c r="D149" s="505">
        <v>216</v>
      </c>
      <c r="E149" s="518">
        <f t="shared" si="19"/>
        <v>1.6748730275656185E-3</v>
      </c>
      <c r="F149" s="517">
        <f t="shared" si="20"/>
        <v>219</v>
      </c>
      <c r="G149" s="517">
        <f t="shared" si="21"/>
        <v>223</v>
      </c>
      <c r="H149" s="517">
        <f t="shared" si="22"/>
        <v>228</v>
      </c>
      <c r="I149" s="517">
        <f t="shared" si="23"/>
        <v>232</v>
      </c>
      <c r="J149" s="507"/>
    </row>
    <row r="150" spans="1:10" ht="17.100000000000001" customHeight="1">
      <c r="A150" s="585"/>
      <c r="B150" s="505" t="s">
        <v>610</v>
      </c>
      <c r="C150" s="505" t="s">
        <v>725</v>
      </c>
      <c r="D150" s="505">
        <v>1109</v>
      </c>
      <c r="E150" s="518">
        <f t="shared" si="19"/>
        <v>8.5992323498623666E-3</v>
      </c>
      <c r="F150" s="517">
        <f t="shared" si="20"/>
        <v>1122</v>
      </c>
      <c r="G150" s="517">
        <f t="shared" si="21"/>
        <v>1145</v>
      </c>
      <c r="H150" s="517">
        <f t="shared" si="22"/>
        <v>1171</v>
      </c>
      <c r="I150" s="517">
        <f t="shared" si="23"/>
        <v>1192</v>
      </c>
      <c r="J150" s="507"/>
    </row>
    <row r="151" spans="1:10" ht="17.100000000000001" customHeight="1">
      <c r="A151" s="585"/>
      <c r="B151" s="505" t="s">
        <v>610</v>
      </c>
      <c r="C151" s="505" t="s">
        <v>726</v>
      </c>
      <c r="D151" s="505">
        <v>189</v>
      </c>
      <c r="E151" s="518">
        <f t="shared" si="19"/>
        <v>1.4655138991199162E-3</v>
      </c>
      <c r="F151" s="517">
        <f t="shared" si="20"/>
        <v>191</v>
      </c>
      <c r="G151" s="517">
        <f t="shared" si="21"/>
        <v>195</v>
      </c>
      <c r="H151" s="517">
        <f t="shared" si="22"/>
        <v>200</v>
      </c>
      <c r="I151" s="517">
        <f t="shared" si="23"/>
        <v>203</v>
      </c>
      <c r="J151" s="507"/>
    </row>
    <row r="152" spans="1:10" ht="17.100000000000001" customHeight="1">
      <c r="A152" s="585"/>
      <c r="B152" s="505" t="s">
        <v>610</v>
      </c>
      <c r="C152" s="505" t="s">
        <v>727</v>
      </c>
      <c r="D152" s="505">
        <v>72</v>
      </c>
      <c r="E152" s="518">
        <f t="shared" si="19"/>
        <v>5.5829100918853951E-4</v>
      </c>
      <c r="F152" s="517">
        <f t="shared" si="20"/>
        <v>73</v>
      </c>
      <c r="G152" s="517">
        <f t="shared" si="21"/>
        <v>74</v>
      </c>
      <c r="H152" s="517">
        <f t="shared" si="22"/>
        <v>76</v>
      </c>
      <c r="I152" s="517">
        <f t="shared" si="23"/>
        <v>77</v>
      </c>
      <c r="J152" s="507"/>
    </row>
    <row r="153" spans="1:10" ht="17.100000000000001" customHeight="1">
      <c r="A153" s="585"/>
      <c r="B153" s="505" t="s">
        <v>610</v>
      </c>
      <c r="C153" s="505" t="s">
        <v>728</v>
      </c>
      <c r="D153" s="505">
        <v>335</v>
      </c>
      <c r="E153" s="518">
        <f t="shared" si="19"/>
        <v>2.597604001085566E-3</v>
      </c>
      <c r="F153" s="517">
        <f t="shared" si="20"/>
        <v>339</v>
      </c>
      <c r="G153" s="517">
        <f t="shared" si="21"/>
        <v>346</v>
      </c>
      <c r="H153" s="517">
        <f t="shared" si="22"/>
        <v>354</v>
      </c>
      <c r="I153" s="517">
        <f t="shared" si="23"/>
        <v>360</v>
      </c>
      <c r="J153" s="507"/>
    </row>
    <row r="154" spans="1:10" ht="17.100000000000001" customHeight="1">
      <c r="A154" s="585"/>
      <c r="B154" s="505" t="s">
        <v>610</v>
      </c>
      <c r="C154" s="505" t="s">
        <v>729</v>
      </c>
      <c r="D154" s="505">
        <v>249</v>
      </c>
      <c r="E154" s="518">
        <f t="shared" si="19"/>
        <v>1.9307564067770325E-3</v>
      </c>
      <c r="F154" s="517">
        <f t="shared" si="20"/>
        <v>252</v>
      </c>
      <c r="G154" s="517">
        <f t="shared" si="21"/>
        <v>257</v>
      </c>
      <c r="H154" s="517">
        <f t="shared" si="22"/>
        <v>263</v>
      </c>
      <c r="I154" s="517">
        <f t="shared" si="23"/>
        <v>268</v>
      </c>
      <c r="J154" s="507"/>
    </row>
    <row r="155" spans="1:10" ht="17.100000000000001" customHeight="1">
      <c r="A155" s="585"/>
      <c r="B155" s="505" t="s">
        <v>610</v>
      </c>
      <c r="C155" s="505" t="s">
        <v>730</v>
      </c>
      <c r="D155" s="505">
        <v>108</v>
      </c>
      <c r="E155" s="518">
        <f t="shared" si="19"/>
        <v>8.3743651378280926E-4</v>
      </c>
      <c r="F155" s="517">
        <f t="shared" si="20"/>
        <v>109</v>
      </c>
      <c r="G155" s="517">
        <f t="shared" si="21"/>
        <v>112</v>
      </c>
      <c r="H155" s="517">
        <f t="shared" si="22"/>
        <v>114</v>
      </c>
      <c r="I155" s="517">
        <f t="shared" si="23"/>
        <v>116</v>
      </c>
      <c r="J155" s="507"/>
    </row>
    <row r="156" spans="1:10" ht="17.100000000000001" customHeight="1">
      <c r="A156" s="585"/>
      <c r="B156" s="505" t="s">
        <v>610</v>
      </c>
      <c r="C156" s="505" t="s">
        <v>731</v>
      </c>
      <c r="D156" s="505">
        <v>251</v>
      </c>
      <c r="E156" s="518">
        <f t="shared" si="19"/>
        <v>1.946264490365603E-3</v>
      </c>
      <c r="F156" s="517">
        <f t="shared" si="20"/>
        <v>254</v>
      </c>
      <c r="G156" s="517">
        <f t="shared" si="21"/>
        <v>259</v>
      </c>
      <c r="H156" s="517">
        <f t="shared" si="22"/>
        <v>265</v>
      </c>
      <c r="I156" s="517">
        <f t="shared" si="23"/>
        <v>270</v>
      </c>
      <c r="J156" s="507"/>
    </row>
    <row r="157" spans="1:10" ht="17.100000000000001" customHeight="1">
      <c r="A157" s="585"/>
      <c r="B157" s="505" t="s">
        <v>610</v>
      </c>
      <c r="C157" s="505" t="s">
        <v>732</v>
      </c>
      <c r="D157" s="505">
        <v>157</v>
      </c>
      <c r="E157" s="518">
        <f t="shared" si="19"/>
        <v>1.2173845617027875E-3</v>
      </c>
      <c r="F157" s="517">
        <f t="shared" si="20"/>
        <v>159</v>
      </c>
      <c r="G157" s="517">
        <f t="shared" si="21"/>
        <v>162</v>
      </c>
      <c r="H157" s="517">
        <f t="shared" si="22"/>
        <v>166</v>
      </c>
      <c r="I157" s="517">
        <f t="shared" si="23"/>
        <v>169</v>
      </c>
      <c r="J157" s="507"/>
    </row>
    <row r="158" spans="1:10" ht="17.100000000000001" customHeight="1">
      <c r="A158" s="585"/>
      <c r="B158" s="505" t="s">
        <v>610</v>
      </c>
      <c r="C158" s="505" t="s">
        <v>733</v>
      </c>
      <c r="D158" s="505">
        <v>146</v>
      </c>
      <c r="E158" s="518">
        <f t="shared" si="19"/>
        <v>1.1320901019656496E-3</v>
      </c>
      <c r="F158" s="517">
        <f t="shared" si="20"/>
        <v>148</v>
      </c>
      <c r="G158" s="517">
        <f t="shared" si="21"/>
        <v>151</v>
      </c>
      <c r="H158" s="517">
        <f t="shared" si="22"/>
        <v>154</v>
      </c>
      <c r="I158" s="517">
        <f t="shared" si="23"/>
        <v>157</v>
      </c>
      <c r="J158" s="507"/>
    </row>
    <row r="159" spans="1:10" ht="17.100000000000001" customHeight="1">
      <c r="A159" s="585"/>
      <c r="B159" s="505" t="s">
        <v>610</v>
      </c>
      <c r="C159" s="505" t="s">
        <v>734</v>
      </c>
      <c r="D159" s="505">
        <v>106</v>
      </c>
      <c r="E159" s="518">
        <f t="shared" si="19"/>
        <v>8.2192843019423872E-4</v>
      </c>
      <c r="F159" s="517">
        <f t="shared" si="20"/>
        <v>107</v>
      </c>
      <c r="G159" s="517">
        <f t="shared" si="21"/>
        <v>109</v>
      </c>
      <c r="H159" s="517">
        <f t="shared" si="22"/>
        <v>112</v>
      </c>
      <c r="I159" s="517">
        <f t="shared" si="23"/>
        <v>114</v>
      </c>
      <c r="J159" s="507"/>
    </row>
    <row r="160" spans="1:10" ht="17.100000000000001" customHeight="1">
      <c r="A160" s="585"/>
      <c r="B160" s="505" t="s">
        <v>610</v>
      </c>
      <c r="C160" s="505" t="s">
        <v>735</v>
      </c>
      <c r="D160" s="505">
        <v>81</v>
      </c>
      <c r="E160" s="518">
        <f t="shared" si="19"/>
        <v>6.2807738533710695E-4</v>
      </c>
      <c r="F160" s="517">
        <f t="shared" si="20"/>
        <v>82</v>
      </c>
      <c r="G160" s="517">
        <f t="shared" si="21"/>
        <v>84</v>
      </c>
      <c r="H160" s="517">
        <f t="shared" si="22"/>
        <v>86</v>
      </c>
      <c r="I160" s="517">
        <f t="shared" si="23"/>
        <v>87</v>
      </c>
      <c r="J160" s="507"/>
    </row>
    <row r="161" spans="1:10" ht="17.100000000000001" customHeight="1">
      <c r="A161" s="585"/>
      <c r="B161" s="505" t="s">
        <v>1065</v>
      </c>
      <c r="C161" s="505" t="s">
        <v>736</v>
      </c>
      <c r="D161" s="505">
        <v>60</v>
      </c>
      <c r="E161" s="518">
        <f t="shared" si="19"/>
        <v>4.6524250765711626E-4</v>
      </c>
      <c r="F161" s="517">
        <f t="shared" si="20"/>
        <v>61</v>
      </c>
      <c r="G161" s="517">
        <f t="shared" si="21"/>
        <v>62</v>
      </c>
      <c r="H161" s="517">
        <f t="shared" si="22"/>
        <v>63</v>
      </c>
      <c r="I161" s="517">
        <f t="shared" si="23"/>
        <v>64</v>
      </c>
      <c r="J161" s="507"/>
    </row>
    <row r="162" spans="1:10" ht="17.100000000000001" customHeight="1">
      <c r="A162" s="585"/>
      <c r="B162" s="505" t="s">
        <v>1065</v>
      </c>
      <c r="C162" s="505" t="s">
        <v>737</v>
      </c>
      <c r="D162" s="505">
        <v>55</v>
      </c>
      <c r="E162" s="518">
        <f t="shared" si="19"/>
        <v>4.264722986856899E-4</v>
      </c>
      <c r="F162" s="517">
        <f t="shared" si="20"/>
        <v>56</v>
      </c>
      <c r="G162" s="517">
        <f t="shared" si="21"/>
        <v>57</v>
      </c>
      <c r="H162" s="517">
        <f t="shared" si="22"/>
        <v>58</v>
      </c>
      <c r="I162" s="517">
        <f t="shared" si="23"/>
        <v>59</v>
      </c>
      <c r="J162" s="507"/>
    </row>
    <row r="163" spans="1:10" ht="17.100000000000001" customHeight="1">
      <c r="A163" s="585"/>
      <c r="B163" s="505" t="s">
        <v>1065</v>
      </c>
      <c r="C163" s="505" t="s">
        <v>738</v>
      </c>
      <c r="D163" s="505">
        <v>127</v>
      </c>
      <c r="E163" s="518">
        <f t="shared" si="19"/>
        <v>9.8476330787422941E-4</v>
      </c>
      <c r="F163" s="517">
        <f t="shared" si="20"/>
        <v>128</v>
      </c>
      <c r="G163" s="517">
        <f t="shared" si="21"/>
        <v>131</v>
      </c>
      <c r="H163" s="517">
        <f t="shared" si="22"/>
        <v>134</v>
      </c>
      <c r="I163" s="517">
        <f t="shared" si="23"/>
        <v>136</v>
      </c>
      <c r="J163" s="507"/>
    </row>
    <row r="164" spans="1:10" ht="17.100000000000001" customHeight="1">
      <c r="A164" s="585"/>
      <c r="B164" s="505" t="s">
        <v>1065</v>
      </c>
      <c r="C164" s="505" t="s">
        <v>739</v>
      </c>
      <c r="D164" s="505">
        <v>138</v>
      </c>
      <c r="E164" s="518">
        <f t="shared" si="19"/>
        <v>1.0700577676113674E-3</v>
      </c>
      <c r="F164" s="517">
        <f t="shared" si="20"/>
        <v>140</v>
      </c>
      <c r="G164" s="517">
        <f t="shared" si="21"/>
        <v>143</v>
      </c>
      <c r="H164" s="517">
        <f t="shared" si="22"/>
        <v>146</v>
      </c>
      <c r="I164" s="517">
        <f t="shared" si="23"/>
        <v>148</v>
      </c>
      <c r="J164" s="507"/>
    </row>
    <row r="165" spans="1:10" ht="17.100000000000001" customHeight="1">
      <c r="A165" s="585"/>
      <c r="B165" s="505" t="s">
        <v>1065</v>
      </c>
      <c r="C165" s="505" t="s">
        <v>740</v>
      </c>
      <c r="D165" s="505">
        <v>73</v>
      </c>
      <c r="E165" s="518">
        <f t="shared" si="19"/>
        <v>5.6604505098282478E-4</v>
      </c>
      <c r="F165" s="517">
        <f t="shared" si="20"/>
        <v>74</v>
      </c>
      <c r="G165" s="517">
        <f t="shared" si="21"/>
        <v>75</v>
      </c>
      <c r="H165" s="517">
        <f t="shared" si="22"/>
        <v>77</v>
      </c>
      <c r="I165" s="517">
        <f t="shared" si="23"/>
        <v>78</v>
      </c>
      <c r="J165" s="507"/>
    </row>
    <row r="166" spans="1:10" ht="17.100000000000001" customHeight="1">
      <c r="A166" s="585"/>
      <c r="B166" s="505" t="s">
        <v>1065</v>
      </c>
      <c r="C166" s="505" t="s">
        <v>741</v>
      </c>
      <c r="D166" s="505">
        <v>72</v>
      </c>
      <c r="E166" s="518">
        <f t="shared" si="19"/>
        <v>5.5829100918853951E-4</v>
      </c>
      <c r="F166" s="517">
        <f t="shared" si="20"/>
        <v>73</v>
      </c>
      <c r="G166" s="517">
        <f t="shared" si="21"/>
        <v>74</v>
      </c>
      <c r="H166" s="517">
        <f t="shared" si="22"/>
        <v>76</v>
      </c>
      <c r="I166" s="517">
        <f t="shared" si="23"/>
        <v>77</v>
      </c>
      <c r="J166" s="507"/>
    </row>
    <row r="167" spans="1:10" ht="17.100000000000001" customHeight="1">
      <c r="A167" s="585"/>
      <c r="B167" s="505" t="s">
        <v>1065</v>
      </c>
      <c r="C167" s="505" t="s">
        <v>742</v>
      </c>
      <c r="D167" s="505">
        <v>179</v>
      </c>
      <c r="E167" s="518">
        <f t="shared" si="19"/>
        <v>1.3879734811770635E-3</v>
      </c>
      <c r="F167" s="517">
        <f t="shared" si="20"/>
        <v>181</v>
      </c>
      <c r="G167" s="517">
        <f t="shared" si="21"/>
        <v>185</v>
      </c>
      <c r="H167" s="517">
        <f t="shared" si="22"/>
        <v>189</v>
      </c>
      <c r="I167" s="517">
        <f t="shared" si="23"/>
        <v>192</v>
      </c>
      <c r="J167" s="507"/>
    </row>
    <row r="168" spans="1:10" ht="17.100000000000001" customHeight="1">
      <c r="A168" s="585"/>
      <c r="B168" s="505" t="s">
        <v>1065</v>
      </c>
      <c r="C168" s="505" t="s">
        <v>743</v>
      </c>
      <c r="D168" s="505">
        <v>173</v>
      </c>
      <c r="E168" s="518">
        <f t="shared" si="19"/>
        <v>1.3414492304113519E-3</v>
      </c>
      <c r="F168" s="517">
        <f t="shared" si="20"/>
        <v>175</v>
      </c>
      <c r="G168" s="517">
        <f t="shared" si="21"/>
        <v>179</v>
      </c>
      <c r="H168" s="517">
        <f t="shared" si="22"/>
        <v>183</v>
      </c>
      <c r="I168" s="517">
        <f t="shared" si="23"/>
        <v>186</v>
      </c>
      <c r="J168" s="507"/>
    </row>
    <row r="169" spans="1:10" ht="17.100000000000001" customHeight="1">
      <c r="A169" s="585"/>
      <c r="B169" s="505" t="s">
        <v>1065</v>
      </c>
      <c r="C169" s="505" t="s">
        <v>744</v>
      </c>
      <c r="D169" s="505">
        <v>145</v>
      </c>
      <c r="E169" s="518">
        <f t="shared" si="19"/>
        <v>1.1243360601713643E-3</v>
      </c>
      <c r="F169" s="517">
        <f t="shared" si="20"/>
        <v>147</v>
      </c>
      <c r="G169" s="517">
        <f t="shared" si="21"/>
        <v>150</v>
      </c>
      <c r="H169" s="517">
        <f t="shared" si="22"/>
        <v>153</v>
      </c>
      <c r="I169" s="517">
        <f t="shared" si="23"/>
        <v>156</v>
      </c>
      <c r="J169" s="507"/>
    </row>
    <row r="170" spans="1:10" ht="17.100000000000001" customHeight="1">
      <c r="A170" s="585"/>
      <c r="B170" s="505" t="s">
        <v>1065</v>
      </c>
      <c r="C170" s="505" t="s">
        <v>745</v>
      </c>
      <c r="D170" s="505">
        <v>289</v>
      </c>
      <c r="E170" s="518">
        <f t="shared" si="19"/>
        <v>2.2409180785484435E-3</v>
      </c>
      <c r="F170" s="517">
        <f t="shared" si="20"/>
        <v>292</v>
      </c>
      <c r="G170" s="517">
        <f t="shared" si="21"/>
        <v>298</v>
      </c>
      <c r="H170" s="517">
        <f t="shared" si="22"/>
        <v>305</v>
      </c>
      <c r="I170" s="517">
        <f t="shared" si="23"/>
        <v>311</v>
      </c>
      <c r="J170" s="507"/>
    </row>
    <row r="171" spans="1:10" ht="17.100000000000001" customHeight="1">
      <c r="A171" s="585"/>
      <c r="B171" s="505" t="s">
        <v>1065</v>
      </c>
      <c r="C171" s="505" t="s">
        <v>746</v>
      </c>
      <c r="D171" s="505">
        <v>122</v>
      </c>
      <c r="E171" s="518">
        <f t="shared" si="19"/>
        <v>9.4599309890280306E-4</v>
      </c>
      <c r="F171" s="517">
        <f t="shared" si="20"/>
        <v>123</v>
      </c>
      <c r="G171" s="517">
        <f t="shared" si="21"/>
        <v>126</v>
      </c>
      <c r="H171" s="517">
        <f t="shared" si="22"/>
        <v>129</v>
      </c>
      <c r="I171" s="517">
        <f t="shared" si="23"/>
        <v>131</v>
      </c>
      <c r="J171" s="507"/>
    </row>
    <row r="172" spans="1:10" ht="17.100000000000001" customHeight="1">
      <c r="A172" s="585"/>
      <c r="B172" s="505" t="s">
        <v>1065</v>
      </c>
      <c r="C172" s="505" t="s">
        <v>747</v>
      </c>
      <c r="D172" s="505">
        <v>637</v>
      </c>
      <c r="E172" s="518">
        <f t="shared" si="19"/>
        <v>4.9393246229597178E-3</v>
      </c>
      <c r="F172" s="517">
        <f t="shared" si="20"/>
        <v>644</v>
      </c>
      <c r="G172" s="517">
        <f t="shared" si="21"/>
        <v>658</v>
      </c>
      <c r="H172" s="517">
        <f t="shared" si="22"/>
        <v>673</v>
      </c>
      <c r="I172" s="517">
        <f t="shared" si="23"/>
        <v>684</v>
      </c>
      <c r="J172" s="507"/>
    </row>
    <row r="173" spans="1:10" ht="17.100000000000001" customHeight="1">
      <c r="A173" s="585"/>
      <c r="B173" s="505" t="s">
        <v>1065</v>
      </c>
      <c r="C173" s="505" t="s">
        <v>748</v>
      </c>
      <c r="D173" s="505">
        <v>475</v>
      </c>
      <c r="E173" s="518">
        <f t="shared" si="19"/>
        <v>3.6831698522855039E-3</v>
      </c>
      <c r="F173" s="517">
        <f t="shared" si="20"/>
        <v>481</v>
      </c>
      <c r="G173" s="517">
        <f t="shared" si="21"/>
        <v>491</v>
      </c>
      <c r="H173" s="517">
        <f t="shared" si="22"/>
        <v>502</v>
      </c>
      <c r="I173" s="517">
        <f t="shared" si="23"/>
        <v>510</v>
      </c>
      <c r="J173" s="507"/>
    </row>
    <row r="174" spans="1:10" ht="17.100000000000001" customHeight="1">
      <c r="A174" s="585"/>
      <c r="B174" s="505" t="s">
        <v>1065</v>
      </c>
      <c r="C174" s="505" t="s">
        <v>749</v>
      </c>
      <c r="D174" s="505">
        <v>149</v>
      </c>
      <c r="E174" s="518">
        <f t="shared" si="19"/>
        <v>1.1553522273485054E-3</v>
      </c>
      <c r="F174" s="517">
        <f t="shared" si="20"/>
        <v>151</v>
      </c>
      <c r="G174" s="517">
        <f t="shared" si="21"/>
        <v>154</v>
      </c>
      <c r="H174" s="517">
        <f t="shared" si="22"/>
        <v>157</v>
      </c>
      <c r="I174" s="517">
        <f t="shared" si="23"/>
        <v>160</v>
      </c>
      <c r="J174" s="507"/>
    </row>
    <row r="175" spans="1:10" ht="17.100000000000001" customHeight="1">
      <c r="A175" s="585"/>
      <c r="B175" s="505" t="s">
        <v>1065</v>
      </c>
      <c r="C175" s="505" t="s">
        <v>750</v>
      </c>
      <c r="D175" s="505">
        <v>264</v>
      </c>
      <c r="E175" s="518">
        <f t="shared" si="19"/>
        <v>2.0470670336913115E-3</v>
      </c>
      <c r="F175" s="517">
        <f t="shared" si="20"/>
        <v>267</v>
      </c>
      <c r="G175" s="517">
        <f t="shared" si="21"/>
        <v>273</v>
      </c>
      <c r="H175" s="517">
        <f t="shared" si="22"/>
        <v>279</v>
      </c>
      <c r="I175" s="517">
        <f t="shared" si="23"/>
        <v>284</v>
      </c>
      <c r="J175" s="507"/>
    </row>
    <row r="176" spans="1:10" ht="17.100000000000001" customHeight="1">
      <c r="A176" s="585"/>
      <c r="B176" s="505" t="s">
        <v>1065</v>
      </c>
      <c r="C176" s="505" t="s">
        <v>751</v>
      </c>
      <c r="D176" s="505">
        <v>216</v>
      </c>
      <c r="E176" s="518">
        <f t="shared" si="19"/>
        <v>1.6748730275656185E-3</v>
      </c>
      <c r="F176" s="517">
        <f t="shared" si="20"/>
        <v>219</v>
      </c>
      <c r="G176" s="517">
        <f t="shared" si="21"/>
        <v>223</v>
      </c>
      <c r="H176" s="517">
        <f t="shared" si="22"/>
        <v>228</v>
      </c>
      <c r="I176" s="517">
        <f t="shared" si="23"/>
        <v>232</v>
      </c>
      <c r="J176" s="507"/>
    </row>
    <row r="177" spans="1:10" ht="17.100000000000001" customHeight="1">
      <c r="A177" s="585"/>
      <c r="B177" s="505" t="s">
        <v>1065</v>
      </c>
      <c r="C177" s="505" t="s">
        <v>752</v>
      </c>
      <c r="D177" s="505">
        <v>160</v>
      </c>
      <c r="E177" s="518">
        <f t="shared" si="19"/>
        <v>1.2406466870856434E-3</v>
      </c>
      <c r="F177" s="517">
        <f t="shared" si="20"/>
        <v>162</v>
      </c>
      <c r="G177" s="517">
        <f t="shared" si="21"/>
        <v>165</v>
      </c>
      <c r="H177" s="517">
        <f t="shared" si="22"/>
        <v>169</v>
      </c>
      <c r="I177" s="517">
        <f t="shared" si="23"/>
        <v>172</v>
      </c>
      <c r="J177" s="507"/>
    </row>
    <row r="178" spans="1:10" ht="17.100000000000001" customHeight="1">
      <c r="A178" s="585"/>
      <c r="B178" s="505" t="s">
        <v>1065</v>
      </c>
      <c r="C178" s="505" t="s">
        <v>753</v>
      </c>
      <c r="D178" s="505">
        <v>808</v>
      </c>
      <c r="E178" s="518">
        <f t="shared" si="19"/>
        <v>6.2652657697824989E-3</v>
      </c>
      <c r="F178" s="517">
        <f t="shared" si="20"/>
        <v>817</v>
      </c>
      <c r="G178" s="517">
        <f t="shared" si="21"/>
        <v>835</v>
      </c>
      <c r="H178" s="517">
        <f t="shared" si="22"/>
        <v>853</v>
      </c>
      <c r="I178" s="517">
        <f t="shared" si="23"/>
        <v>868</v>
      </c>
      <c r="J178" s="507"/>
    </row>
    <row r="179" spans="1:10" ht="17.100000000000001" customHeight="1">
      <c r="A179" s="585"/>
      <c r="B179" s="505" t="s">
        <v>1065</v>
      </c>
      <c r="C179" s="505" t="s">
        <v>754</v>
      </c>
      <c r="D179" s="505">
        <v>994</v>
      </c>
      <c r="E179" s="518">
        <f t="shared" si="19"/>
        <v>7.7075175435195598E-3</v>
      </c>
      <c r="F179" s="517">
        <f t="shared" si="20"/>
        <v>1006</v>
      </c>
      <c r="G179" s="517">
        <f t="shared" si="21"/>
        <v>1027</v>
      </c>
      <c r="H179" s="517">
        <f t="shared" si="22"/>
        <v>1050</v>
      </c>
      <c r="I179" s="517">
        <f t="shared" si="23"/>
        <v>1068</v>
      </c>
      <c r="J179" s="507"/>
    </row>
    <row r="180" spans="1:10" ht="17.100000000000001" customHeight="1">
      <c r="A180" s="585"/>
      <c r="B180" s="505" t="s">
        <v>1065</v>
      </c>
      <c r="C180" s="505" t="s">
        <v>755</v>
      </c>
      <c r="D180" s="505">
        <v>1765</v>
      </c>
      <c r="E180" s="518">
        <f t="shared" si="19"/>
        <v>1.3685883766913504E-2</v>
      </c>
      <c r="F180" s="517">
        <f t="shared" si="20"/>
        <v>1786</v>
      </c>
      <c r="G180" s="517">
        <f t="shared" si="21"/>
        <v>1823</v>
      </c>
      <c r="H180" s="517">
        <f t="shared" si="22"/>
        <v>1864</v>
      </c>
      <c r="I180" s="517">
        <f t="shared" si="23"/>
        <v>1896</v>
      </c>
      <c r="J180" s="507"/>
    </row>
    <row r="181" spans="1:10" ht="17.100000000000001" customHeight="1">
      <c r="A181" s="585"/>
      <c r="B181" s="505" t="s">
        <v>1065</v>
      </c>
      <c r="C181" s="505" t="s">
        <v>756</v>
      </c>
      <c r="D181" s="505">
        <v>147</v>
      </c>
      <c r="E181" s="518">
        <f t="shared" si="19"/>
        <v>1.1398441437599348E-3</v>
      </c>
      <c r="F181" s="517">
        <f t="shared" si="20"/>
        <v>149</v>
      </c>
      <c r="G181" s="517">
        <f t="shared" si="21"/>
        <v>152</v>
      </c>
      <c r="H181" s="517">
        <f t="shared" si="22"/>
        <v>155</v>
      </c>
      <c r="I181" s="517">
        <f t="shared" si="23"/>
        <v>158</v>
      </c>
      <c r="J181" s="507"/>
    </row>
    <row r="182" spans="1:10" ht="17.100000000000001" customHeight="1">
      <c r="A182" s="585"/>
      <c r="B182" s="505" t="s">
        <v>1065</v>
      </c>
      <c r="C182" s="505" t="s">
        <v>757</v>
      </c>
      <c r="D182" s="505">
        <v>103</v>
      </c>
      <c r="E182" s="518">
        <f t="shared" si="19"/>
        <v>7.9866630481138291E-4</v>
      </c>
      <c r="F182" s="517">
        <f t="shared" si="20"/>
        <v>104</v>
      </c>
      <c r="G182" s="517">
        <f t="shared" si="21"/>
        <v>106</v>
      </c>
      <c r="H182" s="517">
        <f t="shared" si="22"/>
        <v>109</v>
      </c>
      <c r="I182" s="517">
        <f t="shared" si="23"/>
        <v>111</v>
      </c>
      <c r="J182" s="507"/>
    </row>
    <row r="183" spans="1:10" ht="17.100000000000001" customHeight="1">
      <c r="A183" s="585"/>
      <c r="B183" s="505" t="s">
        <v>1065</v>
      </c>
      <c r="C183" s="505" t="s">
        <v>758</v>
      </c>
      <c r="D183" s="505">
        <v>199</v>
      </c>
      <c r="E183" s="518">
        <f t="shared" si="19"/>
        <v>1.5430543170627689E-3</v>
      </c>
      <c r="F183" s="517">
        <f t="shared" si="20"/>
        <v>201</v>
      </c>
      <c r="G183" s="517">
        <f t="shared" si="21"/>
        <v>206</v>
      </c>
      <c r="H183" s="517">
        <f t="shared" si="22"/>
        <v>210</v>
      </c>
      <c r="I183" s="517">
        <f t="shared" si="23"/>
        <v>214</v>
      </c>
      <c r="J183" s="507"/>
    </row>
    <row r="184" spans="1:10" ht="17.100000000000001" customHeight="1">
      <c r="A184" s="585"/>
      <c r="B184" s="505" t="s">
        <v>1065</v>
      </c>
      <c r="C184" s="505" t="s">
        <v>759</v>
      </c>
      <c r="D184" s="505">
        <v>153</v>
      </c>
      <c r="E184" s="518">
        <f t="shared" si="19"/>
        <v>1.1863683945256465E-3</v>
      </c>
      <c r="F184" s="517">
        <f t="shared" si="20"/>
        <v>155</v>
      </c>
      <c r="G184" s="517">
        <f t="shared" si="21"/>
        <v>158</v>
      </c>
      <c r="H184" s="517">
        <f t="shared" si="22"/>
        <v>162</v>
      </c>
      <c r="I184" s="517">
        <f t="shared" si="23"/>
        <v>164</v>
      </c>
      <c r="J184" s="507"/>
    </row>
    <row r="185" spans="1:10" ht="17.100000000000001" customHeight="1">
      <c r="A185" s="585"/>
      <c r="B185" s="505" t="s">
        <v>1065</v>
      </c>
      <c r="C185" s="505" t="s">
        <v>760</v>
      </c>
      <c r="D185" s="505">
        <v>67</v>
      </c>
      <c r="E185" s="518">
        <f t="shared" si="19"/>
        <v>5.1952080021711315E-4</v>
      </c>
      <c r="F185" s="517">
        <f t="shared" si="20"/>
        <v>68</v>
      </c>
      <c r="G185" s="517">
        <f t="shared" si="21"/>
        <v>69</v>
      </c>
      <c r="H185" s="517">
        <f t="shared" si="22"/>
        <v>71</v>
      </c>
      <c r="I185" s="517">
        <f t="shared" si="23"/>
        <v>72</v>
      </c>
      <c r="J185" s="507"/>
    </row>
    <row r="186" spans="1:10" ht="17.100000000000001" customHeight="1">
      <c r="A186" s="585"/>
      <c r="B186" s="505" t="s">
        <v>1065</v>
      </c>
      <c r="C186" s="505" t="s">
        <v>761</v>
      </c>
      <c r="D186" s="505">
        <v>65</v>
      </c>
      <c r="E186" s="518">
        <f t="shared" si="19"/>
        <v>5.0401271662854261E-4</v>
      </c>
      <c r="F186" s="517">
        <f t="shared" si="20"/>
        <v>66</v>
      </c>
      <c r="G186" s="517">
        <f t="shared" si="21"/>
        <v>67</v>
      </c>
      <c r="H186" s="517">
        <f t="shared" si="22"/>
        <v>69</v>
      </c>
      <c r="I186" s="517">
        <f t="shared" si="23"/>
        <v>70</v>
      </c>
      <c r="J186" s="507"/>
    </row>
    <row r="187" spans="1:10" ht="17.100000000000001" customHeight="1">
      <c r="A187" s="585"/>
      <c r="B187" s="505" t="s">
        <v>1148</v>
      </c>
      <c r="C187" s="505" t="s">
        <v>762</v>
      </c>
      <c r="D187" s="505">
        <v>228</v>
      </c>
      <c r="E187" s="518">
        <f t="shared" si="19"/>
        <v>1.7679215290970418E-3</v>
      </c>
      <c r="F187" s="517">
        <f t="shared" si="20"/>
        <v>231</v>
      </c>
      <c r="G187" s="517">
        <f t="shared" si="21"/>
        <v>235</v>
      </c>
      <c r="H187" s="517">
        <f t="shared" si="22"/>
        <v>241</v>
      </c>
      <c r="I187" s="517">
        <f t="shared" si="23"/>
        <v>245</v>
      </c>
      <c r="J187" s="507"/>
    </row>
    <row r="188" spans="1:10" ht="17.100000000000001" customHeight="1">
      <c r="A188" s="585"/>
      <c r="B188" s="505" t="s">
        <v>1094</v>
      </c>
      <c r="C188" s="505" t="s">
        <v>763</v>
      </c>
      <c r="D188" s="505">
        <v>190</v>
      </c>
      <c r="E188" s="518">
        <f t="shared" si="19"/>
        <v>1.4732679409142015E-3</v>
      </c>
      <c r="F188" s="517">
        <f t="shared" ref="F188:F235" si="24">ROUND($F$3*E188,0)</f>
        <v>192</v>
      </c>
      <c r="G188" s="517">
        <f t="shared" ref="G188:G235" si="25">ROUND($G$3*E188,0)</f>
        <v>196</v>
      </c>
      <c r="H188" s="517">
        <f t="shared" ref="H188:H235" si="26">ROUND($H$3*E188,0)</f>
        <v>201</v>
      </c>
      <c r="I188" s="517">
        <f t="shared" ref="I188:I235" si="27">ROUND($I$3*E188,0)</f>
        <v>204</v>
      </c>
      <c r="J188" s="507"/>
    </row>
    <row r="189" spans="1:10" ht="17.100000000000001" customHeight="1">
      <c r="A189" s="585"/>
      <c r="B189" s="505" t="s">
        <v>1094</v>
      </c>
      <c r="C189" s="505" t="s">
        <v>764</v>
      </c>
      <c r="D189" s="505">
        <v>109</v>
      </c>
      <c r="E189" s="518">
        <f t="shared" si="19"/>
        <v>8.4519055557709453E-4</v>
      </c>
      <c r="F189" s="517">
        <f t="shared" si="24"/>
        <v>110</v>
      </c>
      <c r="G189" s="517">
        <f t="shared" si="25"/>
        <v>113</v>
      </c>
      <c r="H189" s="517">
        <f t="shared" si="26"/>
        <v>115</v>
      </c>
      <c r="I189" s="517">
        <f t="shared" si="27"/>
        <v>117</v>
      </c>
      <c r="J189" s="507"/>
    </row>
    <row r="190" spans="1:10" ht="17.100000000000001" customHeight="1">
      <c r="A190" s="585"/>
      <c r="B190" s="505" t="s">
        <v>1094</v>
      </c>
      <c r="C190" s="505" t="s">
        <v>765</v>
      </c>
      <c r="D190" s="505">
        <v>271</v>
      </c>
      <c r="E190" s="518">
        <f t="shared" si="19"/>
        <v>2.1013453262513086E-3</v>
      </c>
      <c r="F190" s="517">
        <f t="shared" si="24"/>
        <v>274</v>
      </c>
      <c r="G190" s="517">
        <f t="shared" si="25"/>
        <v>280</v>
      </c>
      <c r="H190" s="517">
        <f t="shared" si="26"/>
        <v>286</v>
      </c>
      <c r="I190" s="517">
        <f t="shared" si="27"/>
        <v>291</v>
      </c>
      <c r="J190" s="507"/>
    </row>
    <row r="191" spans="1:10" ht="17.100000000000001" customHeight="1">
      <c r="A191" s="585"/>
      <c r="B191" s="505" t="s">
        <v>1094</v>
      </c>
      <c r="C191" s="505" t="s">
        <v>766</v>
      </c>
      <c r="D191" s="505">
        <v>71</v>
      </c>
      <c r="E191" s="518">
        <f t="shared" si="19"/>
        <v>5.5053696739425424E-4</v>
      </c>
      <c r="F191" s="517">
        <f t="shared" si="24"/>
        <v>72</v>
      </c>
      <c r="G191" s="517">
        <f t="shared" si="25"/>
        <v>73</v>
      </c>
      <c r="H191" s="517">
        <f t="shared" si="26"/>
        <v>75</v>
      </c>
      <c r="I191" s="517">
        <f t="shared" si="27"/>
        <v>76</v>
      </c>
      <c r="J191" s="507"/>
    </row>
    <row r="192" spans="1:10" ht="17.100000000000001" customHeight="1">
      <c r="A192" s="585"/>
      <c r="B192" s="505" t="s">
        <v>1094</v>
      </c>
      <c r="C192" s="505" t="s">
        <v>767</v>
      </c>
      <c r="D192" s="505">
        <v>62</v>
      </c>
      <c r="E192" s="518">
        <f t="shared" si="19"/>
        <v>4.807505912456868E-4</v>
      </c>
      <c r="F192" s="517">
        <f t="shared" si="24"/>
        <v>63</v>
      </c>
      <c r="G192" s="517">
        <f t="shared" si="25"/>
        <v>64</v>
      </c>
      <c r="H192" s="517">
        <f t="shared" si="26"/>
        <v>65</v>
      </c>
      <c r="I192" s="517">
        <f t="shared" si="27"/>
        <v>67</v>
      </c>
      <c r="J192" s="507"/>
    </row>
    <row r="193" spans="1:10" ht="17.100000000000001" customHeight="1">
      <c r="A193" s="585"/>
      <c r="B193" s="505" t="s">
        <v>1094</v>
      </c>
      <c r="C193" s="505" t="s">
        <v>768</v>
      </c>
      <c r="D193" s="505">
        <v>144</v>
      </c>
      <c r="E193" s="518">
        <f t="shared" si="19"/>
        <v>1.116582018377079E-3</v>
      </c>
      <c r="F193" s="517">
        <f t="shared" si="24"/>
        <v>146</v>
      </c>
      <c r="G193" s="517">
        <f t="shared" si="25"/>
        <v>149</v>
      </c>
      <c r="H193" s="517">
        <f t="shared" si="26"/>
        <v>152</v>
      </c>
      <c r="I193" s="517">
        <f t="shared" si="27"/>
        <v>155</v>
      </c>
      <c r="J193" s="507"/>
    </row>
    <row r="194" spans="1:10" ht="17.100000000000001" customHeight="1">
      <c r="A194" s="585"/>
      <c r="B194" s="505" t="s">
        <v>1094</v>
      </c>
      <c r="C194" s="505" t="s">
        <v>769</v>
      </c>
      <c r="D194" s="505">
        <v>90</v>
      </c>
      <c r="E194" s="518">
        <f t="shared" si="19"/>
        <v>6.9786376148567439E-4</v>
      </c>
      <c r="F194" s="517">
        <f t="shared" si="24"/>
        <v>91</v>
      </c>
      <c r="G194" s="517">
        <f t="shared" si="25"/>
        <v>93</v>
      </c>
      <c r="H194" s="517">
        <f t="shared" si="26"/>
        <v>95</v>
      </c>
      <c r="I194" s="517">
        <f t="shared" si="27"/>
        <v>97</v>
      </c>
      <c r="J194" s="507"/>
    </row>
    <row r="195" spans="1:10" ht="17.100000000000001" customHeight="1">
      <c r="A195" s="585"/>
      <c r="B195" s="505" t="s">
        <v>1094</v>
      </c>
      <c r="C195" s="505" t="s">
        <v>770</v>
      </c>
      <c r="D195" s="505">
        <v>132</v>
      </c>
      <c r="E195" s="518">
        <f t="shared" si="19"/>
        <v>1.0235335168456558E-3</v>
      </c>
      <c r="F195" s="517">
        <f t="shared" si="24"/>
        <v>134</v>
      </c>
      <c r="G195" s="517">
        <f t="shared" si="25"/>
        <v>136</v>
      </c>
      <c r="H195" s="517">
        <f t="shared" si="26"/>
        <v>139</v>
      </c>
      <c r="I195" s="517">
        <f t="shared" si="27"/>
        <v>142</v>
      </c>
      <c r="J195" s="507"/>
    </row>
    <row r="196" spans="1:10" ht="17.100000000000001" customHeight="1">
      <c r="A196" s="585"/>
      <c r="B196" s="505" t="s">
        <v>1094</v>
      </c>
      <c r="C196" s="505" t="s">
        <v>771</v>
      </c>
      <c r="D196" s="505">
        <v>114</v>
      </c>
      <c r="E196" s="518">
        <f t="shared" ref="E196:E235" si="28">D196/$D$3</f>
        <v>8.8396076454852089E-4</v>
      </c>
      <c r="F196" s="517">
        <f t="shared" si="24"/>
        <v>115</v>
      </c>
      <c r="G196" s="517">
        <f t="shared" si="25"/>
        <v>118</v>
      </c>
      <c r="H196" s="517">
        <f t="shared" si="26"/>
        <v>120</v>
      </c>
      <c r="I196" s="517">
        <f t="shared" si="27"/>
        <v>122</v>
      </c>
      <c r="J196" s="507"/>
    </row>
    <row r="197" spans="1:10" ht="17.100000000000001" customHeight="1">
      <c r="A197" s="585"/>
      <c r="B197" s="505" t="s">
        <v>1094</v>
      </c>
      <c r="C197" s="505" t="s">
        <v>772</v>
      </c>
      <c r="D197" s="505">
        <v>119</v>
      </c>
      <c r="E197" s="518">
        <f t="shared" si="28"/>
        <v>9.2273097351994724E-4</v>
      </c>
      <c r="F197" s="517">
        <f t="shared" si="24"/>
        <v>120</v>
      </c>
      <c r="G197" s="517">
        <f t="shared" si="25"/>
        <v>123</v>
      </c>
      <c r="H197" s="517">
        <f t="shared" si="26"/>
        <v>126</v>
      </c>
      <c r="I197" s="517">
        <f t="shared" si="27"/>
        <v>128</v>
      </c>
      <c r="J197" s="507"/>
    </row>
    <row r="198" spans="1:10" ht="17.100000000000001" customHeight="1">
      <c r="A198" s="585"/>
      <c r="B198" s="505" t="s">
        <v>1094</v>
      </c>
      <c r="C198" s="505" t="s">
        <v>773</v>
      </c>
      <c r="D198" s="505">
        <v>153</v>
      </c>
      <c r="E198" s="518">
        <f t="shared" si="28"/>
        <v>1.1863683945256465E-3</v>
      </c>
      <c r="F198" s="517">
        <f t="shared" si="24"/>
        <v>155</v>
      </c>
      <c r="G198" s="517">
        <f t="shared" si="25"/>
        <v>158</v>
      </c>
      <c r="H198" s="517">
        <f t="shared" si="26"/>
        <v>162</v>
      </c>
      <c r="I198" s="517">
        <f t="shared" si="27"/>
        <v>164</v>
      </c>
      <c r="J198" s="507"/>
    </row>
    <row r="199" spans="1:10" ht="17.100000000000001" customHeight="1">
      <c r="A199" s="585"/>
      <c r="B199" s="505" t="s">
        <v>1066</v>
      </c>
      <c r="C199" s="505" t="s">
        <v>774</v>
      </c>
      <c r="D199" s="505">
        <v>72</v>
      </c>
      <c r="E199" s="518">
        <f t="shared" si="28"/>
        <v>5.5829100918853951E-4</v>
      </c>
      <c r="F199" s="517">
        <f t="shared" si="24"/>
        <v>73</v>
      </c>
      <c r="G199" s="517">
        <f t="shared" si="25"/>
        <v>74</v>
      </c>
      <c r="H199" s="517">
        <f t="shared" si="26"/>
        <v>76</v>
      </c>
      <c r="I199" s="517">
        <f t="shared" si="27"/>
        <v>77</v>
      </c>
      <c r="J199" s="507"/>
    </row>
    <row r="200" spans="1:10" ht="17.100000000000001" customHeight="1">
      <c r="A200" s="585"/>
      <c r="B200" s="505" t="s">
        <v>1066</v>
      </c>
      <c r="C200" s="505" t="s">
        <v>775</v>
      </c>
      <c r="D200" s="505">
        <v>171</v>
      </c>
      <c r="E200" s="518">
        <f t="shared" si="28"/>
        <v>1.3259411468227813E-3</v>
      </c>
      <c r="F200" s="517">
        <f t="shared" si="24"/>
        <v>173</v>
      </c>
      <c r="G200" s="517">
        <f t="shared" si="25"/>
        <v>177</v>
      </c>
      <c r="H200" s="517">
        <f t="shared" si="26"/>
        <v>181</v>
      </c>
      <c r="I200" s="517">
        <f t="shared" si="27"/>
        <v>184</v>
      </c>
      <c r="J200" s="507"/>
    </row>
    <row r="201" spans="1:10" ht="17.100000000000001" customHeight="1">
      <c r="A201" s="585"/>
      <c r="B201" s="505" t="s">
        <v>1066</v>
      </c>
      <c r="C201" s="505" t="s">
        <v>776</v>
      </c>
      <c r="D201" s="505">
        <v>338</v>
      </c>
      <c r="E201" s="518">
        <f t="shared" si="28"/>
        <v>2.6208661264684216E-3</v>
      </c>
      <c r="F201" s="517">
        <f t="shared" si="24"/>
        <v>342</v>
      </c>
      <c r="G201" s="517">
        <f t="shared" si="25"/>
        <v>349</v>
      </c>
      <c r="H201" s="517">
        <f t="shared" si="26"/>
        <v>357</v>
      </c>
      <c r="I201" s="517">
        <f t="shared" si="27"/>
        <v>363</v>
      </c>
      <c r="J201" s="507"/>
    </row>
    <row r="202" spans="1:10" ht="17.100000000000001" customHeight="1">
      <c r="A202" s="585"/>
      <c r="B202" s="505" t="s">
        <v>1066</v>
      </c>
      <c r="C202" s="505" t="s">
        <v>777</v>
      </c>
      <c r="D202" s="505">
        <v>133</v>
      </c>
      <c r="E202" s="518">
        <f t="shared" si="28"/>
        <v>1.031287558639941E-3</v>
      </c>
      <c r="F202" s="517">
        <f t="shared" si="24"/>
        <v>135</v>
      </c>
      <c r="G202" s="517">
        <f t="shared" si="25"/>
        <v>137</v>
      </c>
      <c r="H202" s="517">
        <f t="shared" si="26"/>
        <v>140</v>
      </c>
      <c r="I202" s="517">
        <f t="shared" si="27"/>
        <v>143</v>
      </c>
      <c r="J202" s="507"/>
    </row>
    <row r="203" spans="1:10" ht="17.100000000000001" customHeight="1">
      <c r="A203" s="585"/>
      <c r="B203" s="505" t="s">
        <v>1066</v>
      </c>
      <c r="C203" s="505" t="s">
        <v>778</v>
      </c>
      <c r="D203" s="505">
        <v>1310</v>
      </c>
      <c r="E203" s="518">
        <f t="shared" si="28"/>
        <v>1.0157794750513705E-2</v>
      </c>
      <c r="F203" s="517">
        <f t="shared" si="24"/>
        <v>1325</v>
      </c>
      <c r="G203" s="517">
        <f t="shared" si="25"/>
        <v>1353</v>
      </c>
      <c r="H203" s="517">
        <f t="shared" si="26"/>
        <v>1384</v>
      </c>
      <c r="I203" s="517">
        <f t="shared" si="27"/>
        <v>1407</v>
      </c>
      <c r="J203" s="507"/>
    </row>
    <row r="204" spans="1:10" ht="17.100000000000001" customHeight="1">
      <c r="A204" s="585"/>
      <c r="B204" s="505" t="s">
        <v>1066</v>
      </c>
      <c r="C204" s="505" t="s">
        <v>779</v>
      </c>
      <c r="D204" s="505">
        <v>282</v>
      </c>
      <c r="E204" s="518">
        <f t="shared" si="28"/>
        <v>2.1866397859884464E-3</v>
      </c>
      <c r="F204" s="517">
        <f t="shared" si="24"/>
        <v>285</v>
      </c>
      <c r="G204" s="517">
        <f t="shared" si="25"/>
        <v>291</v>
      </c>
      <c r="H204" s="517">
        <f t="shared" si="26"/>
        <v>298</v>
      </c>
      <c r="I204" s="517">
        <f t="shared" si="27"/>
        <v>303</v>
      </c>
      <c r="J204" s="507"/>
    </row>
    <row r="205" spans="1:10" ht="17.100000000000001" customHeight="1">
      <c r="A205" s="585"/>
      <c r="B205" s="505" t="s">
        <v>1066</v>
      </c>
      <c r="C205" s="505" t="s">
        <v>780</v>
      </c>
      <c r="D205" s="505">
        <v>112</v>
      </c>
      <c r="E205" s="518">
        <f t="shared" si="28"/>
        <v>8.6845268095995035E-4</v>
      </c>
      <c r="F205" s="517">
        <f t="shared" si="24"/>
        <v>113</v>
      </c>
      <c r="G205" s="517">
        <f t="shared" si="25"/>
        <v>116</v>
      </c>
      <c r="H205" s="517">
        <f t="shared" si="26"/>
        <v>118</v>
      </c>
      <c r="I205" s="517">
        <f t="shared" si="27"/>
        <v>120</v>
      </c>
      <c r="J205" s="507"/>
    </row>
    <row r="206" spans="1:10" ht="17.100000000000001" customHeight="1">
      <c r="A206" s="585"/>
      <c r="B206" s="505" t="s">
        <v>1066</v>
      </c>
      <c r="C206" s="505" t="s">
        <v>781</v>
      </c>
      <c r="D206" s="505">
        <v>162</v>
      </c>
      <c r="E206" s="518">
        <f t="shared" si="28"/>
        <v>1.2561547706742139E-3</v>
      </c>
      <c r="F206" s="517">
        <f t="shared" si="24"/>
        <v>164</v>
      </c>
      <c r="G206" s="517">
        <f t="shared" si="25"/>
        <v>167</v>
      </c>
      <c r="H206" s="517">
        <f t="shared" si="26"/>
        <v>171</v>
      </c>
      <c r="I206" s="517">
        <f t="shared" si="27"/>
        <v>174</v>
      </c>
      <c r="J206" s="507"/>
    </row>
    <row r="207" spans="1:10" ht="17.100000000000001" customHeight="1">
      <c r="A207" s="585"/>
      <c r="B207" s="505" t="s">
        <v>1066</v>
      </c>
      <c r="C207" s="505" t="s">
        <v>782</v>
      </c>
      <c r="D207" s="505">
        <v>270</v>
      </c>
      <c r="E207" s="518">
        <f t="shared" si="28"/>
        <v>2.0935912844570232E-3</v>
      </c>
      <c r="F207" s="517">
        <f t="shared" si="24"/>
        <v>273</v>
      </c>
      <c r="G207" s="517">
        <f t="shared" si="25"/>
        <v>279</v>
      </c>
      <c r="H207" s="517">
        <f t="shared" si="26"/>
        <v>285</v>
      </c>
      <c r="I207" s="517">
        <f t="shared" si="27"/>
        <v>290</v>
      </c>
      <c r="J207" s="507"/>
    </row>
    <row r="208" spans="1:10" ht="17.100000000000001" customHeight="1">
      <c r="A208" s="585"/>
      <c r="B208" s="529" t="s">
        <v>1149</v>
      </c>
      <c r="C208" s="505" t="s">
        <v>783</v>
      </c>
      <c r="D208" s="505">
        <v>199</v>
      </c>
      <c r="E208" s="518">
        <f t="shared" si="28"/>
        <v>1.5430543170627689E-3</v>
      </c>
      <c r="F208" s="517">
        <f t="shared" si="24"/>
        <v>201</v>
      </c>
      <c r="G208" s="517">
        <f t="shared" si="25"/>
        <v>206</v>
      </c>
      <c r="H208" s="517">
        <f t="shared" si="26"/>
        <v>210</v>
      </c>
      <c r="I208" s="517">
        <f t="shared" si="27"/>
        <v>214</v>
      </c>
      <c r="J208" s="507"/>
    </row>
    <row r="209" spans="1:10" ht="17.100000000000001" customHeight="1">
      <c r="A209" s="585"/>
      <c r="B209" s="529" t="s">
        <v>1093</v>
      </c>
      <c r="C209" s="505" t="s">
        <v>784</v>
      </c>
      <c r="D209" s="505">
        <v>395</v>
      </c>
      <c r="E209" s="518">
        <f t="shared" si="28"/>
        <v>3.0628465087426822E-3</v>
      </c>
      <c r="F209" s="517">
        <f t="shared" si="24"/>
        <v>400</v>
      </c>
      <c r="G209" s="517">
        <f t="shared" si="25"/>
        <v>408</v>
      </c>
      <c r="H209" s="517">
        <f t="shared" si="26"/>
        <v>417</v>
      </c>
      <c r="I209" s="517">
        <f t="shared" si="27"/>
        <v>424</v>
      </c>
      <c r="J209" s="507"/>
    </row>
    <row r="210" spans="1:10" ht="17.100000000000001" customHeight="1">
      <c r="A210" s="585"/>
      <c r="B210" s="529" t="s">
        <v>1093</v>
      </c>
      <c r="C210" s="505" t="s">
        <v>785</v>
      </c>
      <c r="D210" s="505">
        <v>250</v>
      </c>
      <c r="E210" s="518">
        <f t="shared" si="28"/>
        <v>1.9385104485713177E-3</v>
      </c>
      <c r="F210" s="517">
        <f t="shared" si="24"/>
        <v>253</v>
      </c>
      <c r="G210" s="517">
        <f t="shared" si="25"/>
        <v>258</v>
      </c>
      <c r="H210" s="517">
        <f t="shared" si="26"/>
        <v>264</v>
      </c>
      <c r="I210" s="517">
        <f t="shared" si="27"/>
        <v>269</v>
      </c>
      <c r="J210" s="507"/>
    </row>
    <row r="211" spans="1:10" ht="17.100000000000001" customHeight="1">
      <c r="A211" s="585"/>
      <c r="B211" s="529" t="s">
        <v>1093</v>
      </c>
      <c r="C211" s="505" t="s">
        <v>786</v>
      </c>
      <c r="D211" s="505">
        <v>115</v>
      </c>
      <c r="E211" s="518">
        <f t="shared" si="28"/>
        <v>8.9171480634280616E-4</v>
      </c>
      <c r="F211" s="517">
        <f t="shared" si="24"/>
        <v>116</v>
      </c>
      <c r="G211" s="517">
        <f t="shared" si="25"/>
        <v>119</v>
      </c>
      <c r="H211" s="517">
        <f t="shared" si="26"/>
        <v>121</v>
      </c>
      <c r="I211" s="517">
        <f t="shared" si="27"/>
        <v>124</v>
      </c>
      <c r="J211" s="507"/>
    </row>
    <row r="212" spans="1:10" ht="17.100000000000001" customHeight="1">
      <c r="A212" s="585"/>
      <c r="B212" s="529" t="s">
        <v>1093</v>
      </c>
      <c r="C212" s="505" t="s">
        <v>787</v>
      </c>
      <c r="D212" s="505">
        <v>114</v>
      </c>
      <c r="E212" s="518">
        <f t="shared" si="28"/>
        <v>8.8396076454852089E-4</v>
      </c>
      <c r="F212" s="517">
        <f t="shared" si="24"/>
        <v>115</v>
      </c>
      <c r="G212" s="517">
        <f t="shared" si="25"/>
        <v>118</v>
      </c>
      <c r="H212" s="517">
        <f t="shared" si="26"/>
        <v>120</v>
      </c>
      <c r="I212" s="517">
        <f t="shared" si="27"/>
        <v>122</v>
      </c>
      <c r="J212" s="507"/>
    </row>
    <row r="213" spans="1:10" ht="17.100000000000001" customHeight="1">
      <c r="A213" s="585"/>
      <c r="B213" s="529" t="s">
        <v>1093</v>
      </c>
      <c r="C213" s="505" t="s">
        <v>788</v>
      </c>
      <c r="D213" s="505">
        <v>64</v>
      </c>
      <c r="E213" s="518">
        <f t="shared" si="28"/>
        <v>4.9625867483425734E-4</v>
      </c>
      <c r="F213" s="517">
        <f t="shared" si="24"/>
        <v>65</v>
      </c>
      <c r="G213" s="517">
        <f t="shared" si="25"/>
        <v>66</v>
      </c>
      <c r="H213" s="517">
        <f t="shared" si="26"/>
        <v>68</v>
      </c>
      <c r="I213" s="517">
        <f t="shared" si="27"/>
        <v>69</v>
      </c>
      <c r="J213" s="507"/>
    </row>
    <row r="214" spans="1:10" ht="17.100000000000001" customHeight="1">
      <c r="A214" s="585"/>
      <c r="B214" s="529" t="s">
        <v>1093</v>
      </c>
      <c r="C214" s="505" t="s">
        <v>789</v>
      </c>
      <c r="D214" s="505">
        <v>138</v>
      </c>
      <c r="E214" s="518">
        <f t="shared" si="28"/>
        <v>1.0700577676113674E-3</v>
      </c>
      <c r="F214" s="517">
        <f t="shared" si="24"/>
        <v>140</v>
      </c>
      <c r="G214" s="517">
        <f t="shared" si="25"/>
        <v>143</v>
      </c>
      <c r="H214" s="517">
        <f t="shared" si="26"/>
        <v>146</v>
      </c>
      <c r="I214" s="517">
        <f t="shared" si="27"/>
        <v>148</v>
      </c>
      <c r="J214" s="507"/>
    </row>
    <row r="215" spans="1:10" ht="17.100000000000001" customHeight="1">
      <c r="A215" s="585"/>
      <c r="B215" s="529" t="s">
        <v>1093</v>
      </c>
      <c r="C215" s="505" t="s">
        <v>790</v>
      </c>
      <c r="D215" s="505">
        <v>42</v>
      </c>
      <c r="E215" s="518">
        <f t="shared" si="28"/>
        <v>3.2566975535998138E-4</v>
      </c>
      <c r="F215" s="517">
        <f t="shared" si="24"/>
        <v>42</v>
      </c>
      <c r="G215" s="517">
        <f t="shared" si="25"/>
        <v>43</v>
      </c>
      <c r="H215" s="517">
        <f t="shared" si="26"/>
        <v>44</v>
      </c>
      <c r="I215" s="517">
        <f t="shared" si="27"/>
        <v>45</v>
      </c>
      <c r="J215" s="507"/>
    </row>
    <row r="216" spans="1:10" ht="17.100000000000001" customHeight="1">
      <c r="A216" s="585"/>
      <c r="B216" s="529" t="s">
        <v>1093</v>
      </c>
      <c r="C216" s="505" t="s">
        <v>791</v>
      </c>
      <c r="D216" s="505">
        <v>191</v>
      </c>
      <c r="E216" s="518">
        <f t="shared" si="28"/>
        <v>1.4810219827084868E-3</v>
      </c>
      <c r="F216" s="517">
        <f t="shared" si="24"/>
        <v>193</v>
      </c>
      <c r="G216" s="517">
        <f t="shared" si="25"/>
        <v>197</v>
      </c>
      <c r="H216" s="517">
        <f t="shared" si="26"/>
        <v>202</v>
      </c>
      <c r="I216" s="517">
        <f t="shared" si="27"/>
        <v>205</v>
      </c>
      <c r="J216" s="507"/>
    </row>
    <row r="217" spans="1:10" ht="17.100000000000001" customHeight="1">
      <c r="A217" s="585"/>
      <c r="B217" s="529" t="s">
        <v>1093</v>
      </c>
      <c r="C217" s="505" t="s">
        <v>792</v>
      </c>
      <c r="D217" s="505">
        <v>180</v>
      </c>
      <c r="E217" s="518">
        <f t="shared" si="28"/>
        <v>1.3957275229713488E-3</v>
      </c>
      <c r="F217" s="517">
        <f t="shared" si="24"/>
        <v>182</v>
      </c>
      <c r="G217" s="517">
        <f t="shared" si="25"/>
        <v>186</v>
      </c>
      <c r="H217" s="517">
        <f t="shared" si="26"/>
        <v>190</v>
      </c>
      <c r="I217" s="517">
        <f t="shared" si="27"/>
        <v>193</v>
      </c>
      <c r="J217" s="507"/>
    </row>
    <row r="218" spans="1:10" ht="17.100000000000001" customHeight="1">
      <c r="A218" s="585"/>
      <c r="B218" s="529" t="s">
        <v>1093</v>
      </c>
      <c r="C218" s="505" t="s">
        <v>793</v>
      </c>
      <c r="D218" s="505">
        <v>87</v>
      </c>
      <c r="E218" s="518">
        <f t="shared" si="28"/>
        <v>6.7460163610281857E-4</v>
      </c>
      <c r="F218" s="517">
        <f t="shared" si="24"/>
        <v>88</v>
      </c>
      <c r="G218" s="517">
        <f t="shared" si="25"/>
        <v>90</v>
      </c>
      <c r="H218" s="517">
        <f t="shared" si="26"/>
        <v>92</v>
      </c>
      <c r="I218" s="517">
        <f t="shared" si="27"/>
        <v>93</v>
      </c>
      <c r="J218" s="507"/>
    </row>
    <row r="219" spans="1:10" ht="17.100000000000001" customHeight="1">
      <c r="A219" s="585"/>
      <c r="B219" s="529" t="s">
        <v>1093</v>
      </c>
      <c r="C219" s="505" t="s">
        <v>794</v>
      </c>
      <c r="D219" s="505">
        <v>122</v>
      </c>
      <c r="E219" s="518">
        <f t="shared" si="28"/>
        <v>9.4599309890280306E-4</v>
      </c>
      <c r="F219" s="517">
        <f t="shared" si="24"/>
        <v>123</v>
      </c>
      <c r="G219" s="517">
        <f t="shared" si="25"/>
        <v>126</v>
      </c>
      <c r="H219" s="517">
        <f t="shared" si="26"/>
        <v>129</v>
      </c>
      <c r="I219" s="517">
        <f t="shared" si="27"/>
        <v>131</v>
      </c>
      <c r="J219" s="507"/>
    </row>
    <row r="220" spans="1:10" ht="17.100000000000001" customHeight="1">
      <c r="A220" s="585"/>
      <c r="B220" s="529" t="s">
        <v>1093</v>
      </c>
      <c r="C220" s="505" t="s">
        <v>795</v>
      </c>
      <c r="D220" s="505">
        <v>44</v>
      </c>
      <c r="E220" s="518">
        <f t="shared" si="28"/>
        <v>3.4117783894855192E-4</v>
      </c>
      <c r="F220" s="517">
        <f t="shared" si="24"/>
        <v>45</v>
      </c>
      <c r="G220" s="517">
        <f t="shared" si="25"/>
        <v>45</v>
      </c>
      <c r="H220" s="517">
        <f t="shared" si="26"/>
        <v>46</v>
      </c>
      <c r="I220" s="517">
        <f t="shared" si="27"/>
        <v>47</v>
      </c>
      <c r="J220" s="507"/>
    </row>
    <row r="221" spans="1:10" ht="17.100000000000001" customHeight="1">
      <c r="A221" s="585"/>
      <c r="B221" s="529" t="s">
        <v>1093</v>
      </c>
      <c r="C221" s="505" t="s">
        <v>796</v>
      </c>
      <c r="D221" s="505">
        <v>157</v>
      </c>
      <c r="E221" s="518">
        <f t="shared" si="28"/>
        <v>1.2173845617027875E-3</v>
      </c>
      <c r="F221" s="517">
        <f t="shared" si="24"/>
        <v>159</v>
      </c>
      <c r="G221" s="517">
        <f t="shared" si="25"/>
        <v>162</v>
      </c>
      <c r="H221" s="517">
        <f t="shared" si="26"/>
        <v>166</v>
      </c>
      <c r="I221" s="517">
        <f t="shared" si="27"/>
        <v>169</v>
      </c>
      <c r="J221" s="507"/>
    </row>
    <row r="222" spans="1:10" ht="17.100000000000001" customHeight="1">
      <c r="A222" s="585"/>
      <c r="B222" s="529" t="s">
        <v>1093</v>
      </c>
      <c r="C222" s="505" t="s">
        <v>797</v>
      </c>
      <c r="D222" s="505">
        <v>198</v>
      </c>
      <c r="E222" s="518">
        <f t="shared" si="28"/>
        <v>1.5353002752684836E-3</v>
      </c>
      <c r="F222" s="517">
        <f t="shared" si="24"/>
        <v>200</v>
      </c>
      <c r="G222" s="517">
        <f t="shared" si="25"/>
        <v>205</v>
      </c>
      <c r="H222" s="517">
        <f t="shared" si="26"/>
        <v>209</v>
      </c>
      <c r="I222" s="517">
        <f t="shared" si="27"/>
        <v>213</v>
      </c>
      <c r="J222" s="507"/>
    </row>
    <row r="223" spans="1:10" ht="17.100000000000001" customHeight="1">
      <c r="A223" s="585"/>
      <c r="B223" s="529" t="s">
        <v>1093</v>
      </c>
      <c r="C223" s="505" t="s">
        <v>798</v>
      </c>
      <c r="D223" s="505">
        <v>163</v>
      </c>
      <c r="E223" s="518">
        <f t="shared" si="28"/>
        <v>1.2639088124684992E-3</v>
      </c>
      <c r="F223" s="517">
        <f t="shared" si="24"/>
        <v>165</v>
      </c>
      <c r="G223" s="517">
        <f t="shared" si="25"/>
        <v>168</v>
      </c>
      <c r="H223" s="517">
        <f t="shared" si="26"/>
        <v>172</v>
      </c>
      <c r="I223" s="517">
        <f t="shared" si="27"/>
        <v>175</v>
      </c>
      <c r="J223" s="507"/>
    </row>
    <row r="224" spans="1:10" ht="17.100000000000001" customHeight="1">
      <c r="A224" s="585"/>
      <c r="B224" s="529" t="s">
        <v>1093</v>
      </c>
      <c r="C224" s="505" t="s">
        <v>799</v>
      </c>
      <c r="D224" s="505">
        <v>99</v>
      </c>
      <c r="E224" s="518">
        <f t="shared" si="28"/>
        <v>7.6765013763424182E-4</v>
      </c>
      <c r="F224" s="517">
        <f t="shared" si="24"/>
        <v>100</v>
      </c>
      <c r="G224" s="517">
        <f t="shared" si="25"/>
        <v>102</v>
      </c>
      <c r="H224" s="517">
        <f t="shared" si="26"/>
        <v>105</v>
      </c>
      <c r="I224" s="517">
        <f t="shared" si="27"/>
        <v>106</v>
      </c>
      <c r="J224" s="507"/>
    </row>
    <row r="225" spans="1:11" ht="17.100000000000001" customHeight="1">
      <c r="A225" s="585"/>
      <c r="B225" s="529" t="s">
        <v>1093</v>
      </c>
      <c r="C225" s="505" t="s">
        <v>800</v>
      </c>
      <c r="D225" s="505">
        <v>160</v>
      </c>
      <c r="E225" s="518">
        <f t="shared" si="28"/>
        <v>1.2406466870856434E-3</v>
      </c>
      <c r="F225" s="517">
        <f t="shared" si="24"/>
        <v>162</v>
      </c>
      <c r="G225" s="517">
        <f t="shared" si="25"/>
        <v>165</v>
      </c>
      <c r="H225" s="517">
        <f t="shared" si="26"/>
        <v>169</v>
      </c>
      <c r="I225" s="517">
        <f t="shared" si="27"/>
        <v>172</v>
      </c>
      <c r="J225" s="507"/>
    </row>
    <row r="226" spans="1:11" ht="17.100000000000001" customHeight="1">
      <c r="A226" s="585"/>
      <c r="B226" s="529" t="s">
        <v>1093</v>
      </c>
      <c r="C226" s="505" t="s">
        <v>801</v>
      </c>
      <c r="D226" s="505">
        <v>119</v>
      </c>
      <c r="E226" s="518">
        <f t="shared" si="28"/>
        <v>9.2273097351994724E-4</v>
      </c>
      <c r="F226" s="517">
        <f t="shared" si="24"/>
        <v>120</v>
      </c>
      <c r="G226" s="517">
        <f t="shared" si="25"/>
        <v>123</v>
      </c>
      <c r="H226" s="517">
        <f t="shared" si="26"/>
        <v>126</v>
      </c>
      <c r="I226" s="517">
        <f t="shared" si="27"/>
        <v>128</v>
      </c>
      <c r="J226" s="507"/>
    </row>
    <row r="227" spans="1:11" ht="17.100000000000001" customHeight="1">
      <c r="A227" s="585"/>
      <c r="B227" s="529" t="s">
        <v>1093</v>
      </c>
      <c r="C227" s="505" t="s">
        <v>802</v>
      </c>
      <c r="D227" s="505">
        <v>123</v>
      </c>
      <c r="E227" s="518">
        <f t="shared" si="28"/>
        <v>9.5374714069708833E-4</v>
      </c>
      <c r="F227" s="517">
        <f t="shared" si="24"/>
        <v>124</v>
      </c>
      <c r="G227" s="517">
        <f t="shared" si="25"/>
        <v>127</v>
      </c>
      <c r="H227" s="517">
        <f t="shared" si="26"/>
        <v>130</v>
      </c>
      <c r="I227" s="517">
        <f t="shared" si="27"/>
        <v>132</v>
      </c>
      <c r="J227" s="507"/>
    </row>
    <row r="228" spans="1:11" ht="17.100000000000001" customHeight="1">
      <c r="A228" s="585"/>
      <c r="B228" s="529" t="s">
        <v>1093</v>
      </c>
      <c r="C228" s="505" t="s">
        <v>803</v>
      </c>
      <c r="D228" s="505">
        <v>165</v>
      </c>
      <c r="E228" s="518">
        <f t="shared" si="28"/>
        <v>1.2794168960570697E-3</v>
      </c>
      <c r="F228" s="517">
        <f t="shared" si="24"/>
        <v>167</v>
      </c>
      <c r="G228" s="517">
        <f t="shared" si="25"/>
        <v>170</v>
      </c>
      <c r="H228" s="517">
        <f t="shared" si="26"/>
        <v>174</v>
      </c>
      <c r="I228" s="517">
        <f t="shared" si="27"/>
        <v>177</v>
      </c>
      <c r="J228" s="507"/>
    </row>
    <row r="229" spans="1:11" ht="17.100000000000001" customHeight="1">
      <c r="A229" s="585"/>
      <c r="B229" s="529" t="s">
        <v>1093</v>
      </c>
      <c r="C229" s="505" t="s">
        <v>804</v>
      </c>
      <c r="D229" s="505">
        <v>247</v>
      </c>
      <c r="E229" s="518">
        <f t="shared" si="28"/>
        <v>1.9152483231884619E-3</v>
      </c>
      <c r="F229" s="517">
        <f t="shared" si="24"/>
        <v>250</v>
      </c>
      <c r="G229" s="517">
        <f t="shared" si="25"/>
        <v>255</v>
      </c>
      <c r="H229" s="517">
        <f t="shared" si="26"/>
        <v>261</v>
      </c>
      <c r="I229" s="517">
        <f t="shared" si="27"/>
        <v>265</v>
      </c>
      <c r="J229" s="507"/>
    </row>
    <row r="230" spans="1:11" ht="17.100000000000001" customHeight="1">
      <c r="A230" s="585"/>
      <c r="B230" s="529" t="s">
        <v>1093</v>
      </c>
      <c r="C230" s="505" t="s">
        <v>805</v>
      </c>
      <c r="D230" s="505">
        <v>96</v>
      </c>
      <c r="E230" s="518">
        <f t="shared" si="28"/>
        <v>7.4438801225138601E-4</v>
      </c>
      <c r="F230" s="517">
        <f t="shared" si="24"/>
        <v>97</v>
      </c>
      <c r="G230" s="517">
        <f t="shared" si="25"/>
        <v>99</v>
      </c>
      <c r="H230" s="517">
        <f t="shared" si="26"/>
        <v>101</v>
      </c>
      <c r="I230" s="517">
        <f t="shared" si="27"/>
        <v>103</v>
      </c>
      <c r="J230" s="507"/>
    </row>
    <row r="231" spans="1:11" ht="17.100000000000001" customHeight="1">
      <c r="A231" s="585"/>
      <c r="B231" s="529" t="s">
        <v>1093</v>
      </c>
      <c r="C231" s="505" t="s">
        <v>806</v>
      </c>
      <c r="D231" s="505">
        <v>220</v>
      </c>
      <c r="E231" s="518">
        <f t="shared" si="28"/>
        <v>1.7058891947427596E-3</v>
      </c>
      <c r="F231" s="517">
        <f t="shared" si="24"/>
        <v>223</v>
      </c>
      <c r="G231" s="517">
        <f t="shared" si="25"/>
        <v>227</v>
      </c>
      <c r="H231" s="517">
        <f t="shared" si="26"/>
        <v>232</v>
      </c>
      <c r="I231" s="517">
        <f t="shared" si="27"/>
        <v>236</v>
      </c>
      <c r="J231" s="507"/>
    </row>
    <row r="232" spans="1:11" ht="17.100000000000001" customHeight="1">
      <c r="A232" s="585"/>
      <c r="B232" s="529" t="s">
        <v>1093</v>
      </c>
      <c r="C232" s="505" t="s">
        <v>807</v>
      </c>
      <c r="D232" s="505">
        <v>112</v>
      </c>
      <c r="E232" s="518">
        <f t="shared" si="28"/>
        <v>8.6845268095995035E-4</v>
      </c>
      <c r="F232" s="517">
        <f t="shared" si="24"/>
        <v>113</v>
      </c>
      <c r="G232" s="517">
        <f t="shared" si="25"/>
        <v>116</v>
      </c>
      <c r="H232" s="517">
        <f t="shared" si="26"/>
        <v>118</v>
      </c>
      <c r="I232" s="517">
        <f t="shared" si="27"/>
        <v>120</v>
      </c>
      <c r="J232" s="507"/>
    </row>
    <row r="233" spans="1:11" ht="17.100000000000001" customHeight="1">
      <c r="A233" s="585"/>
      <c r="B233" s="529" t="s">
        <v>1093</v>
      </c>
      <c r="C233" s="505" t="s">
        <v>808</v>
      </c>
      <c r="D233" s="505">
        <v>186</v>
      </c>
      <c r="E233" s="518">
        <f t="shared" si="28"/>
        <v>1.4422517737370604E-3</v>
      </c>
      <c r="F233" s="517">
        <f t="shared" si="24"/>
        <v>188</v>
      </c>
      <c r="G233" s="517">
        <f t="shared" si="25"/>
        <v>192</v>
      </c>
      <c r="H233" s="517">
        <f t="shared" si="26"/>
        <v>196</v>
      </c>
      <c r="I233" s="517">
        <f t="shared" si="27"/>
        <v>200</v>
      </c>
      <c r="J233" s="507"/>
    </row>
    <row r="234" spans="1:11" ht="17.100000000000001" customHeight="1">
      <c r="A234" s="585"/>
      <c r="B234" s="529" t="s">
        <v>1093</v>
      </c>
      <c r="C234" s="505" t="s">
        <v>809</v>
      </c>
      <c r="D234" s="505">
        <v>186</v>
      </c>
      <c r="E234" s="518">
        <f t="shared" si="28"/>
        <v>1.4422517737370604E-3</v>
      </c>
      <c r="F234" s="517">
        <f t="shared" si="24"/>
        <v>188</v>
      </c>
      <c r="G234" s="517">
        <f t="shared" si="25"/>
        <v>192</v>
      </c>
      <c r="H234" s="517">
        <f t="shared" si="26"/>
        <v>196</v>
      </c>
      <c r="I234" s="517">
        <f t="shared" si="27"/>
        <v>200</v>
      </c>
      <c r="J234" s="507"/>
    </row>
    <row r="235" spans="1:11" ht="17.100000000000001" customHeight="1">
      <c r="A235" s="585"/>
      <c r="B235" s="529" t="s">
        <v>1093</v>
      </c>
      <c r="C235" s="505" t="s">
        <v>810</v>
      </c>
      <c r="D235" s="505">
        <v>123</v>
      </c>
      <c r="E235" s="518">
        <f t="shared" si="28"/>
        <v>9.5374714069708833E-4</v>
      </c>
      <c r="F235" s="517">
        <f t="shared" si="24"/>
        <v>124</v>
      </c>
      <c r="G235" s="517">
        <f t="shared" si="25"/>
        <v>127</v>
      </c>
      <c r="H235" s="517">
        <f t="shared" si="26"/>
        <v>130</v>
      </c>
      <c r="I235" s="517">
        <f t="shared" si="27"/>
        <v>132</v>
      </c>
      <c r="J235" s="507"/>
    </row>
    <row r="236" spans="1:11" ht="17.100000000000001" customHeight="1">
      <c r="A236" s="585" t="s">
        <v>1150</v>
      </c>
      <c r="B236" s="584" t="s">
        <v>1151</v>
      </c>
      <c r="C236" s="584"/>
      <c r="D236" s="526">
        <f t="shared" ref="D236:I236" si="29">SUM(D237:D374)</f>
        <v>20951</v>
      </c>
      <c r="E236" s="527">
        <f t="shared" si="29"/>
        <v>0.16245492963207073</v>
      </c>
      <c r="F236" s="526">
        <f t="shared" si="29"/>
        <v>21199</v>
      </c>
      <c r="G236" s="526">
        <f t="shared" si="29"/>
        <v>21634</v>
      </c>
      <c r="H236" s="526">
        <f t="shared" si="29"/>
        <v>22125</v>
      </c>
      <c r="I236" s="526">
        <f t="shared" si="29"/>
        <v>22512</v>
      </c>
      <c r="J236" s="528"/>
      <c r="K236" s="524">
        <f>D236/$D$3</f>
        <v>0.16245492963207073</v>
      </c>
    </row>
    <row r="237" spans="1:11" ht="17.100000000000001" customHeight="1">
      <c r="A237" s="585"/>
      <c r="B237" s="505" t="s">
        <v>1152</v>
      </c>
      <c r="C237" s="505" t="s">
        <v>811</v>
      </c>
      <c r="D237" s="505">
        <v>285</v>
      </c>
      <c r="E237" s="518">
        <f t="shared" ref="E237:E300" si="30">D237/$D$3</f>
        <v>2.2099019113713024E-3</v>
      </c>
      <c r="F237" s="517">
        <f t="shared" ref="F237:F251" si="31">ROUND($F$3*E237,0)</f>
        <v>288</v>
      </c>
      <c r="G237" s="517">
        <f t="shared" ref="G237:G251" si="32">ROUND($G$3*E237,0)</f>
        <v>294</v>
      </c>
      <c r="H237" s="517">
        <f t="shared" ref="H237:H251" si="33">ROUND($H$3*E237,0)</f>
        <v>301</v>
      </c>
      <c r="I237" s="517">
        <f t="shared" ref="I237:I251" si="34">ROUND($I$3*E237,0)</f>
        <v>306</v>
      </c>
      <c r="J237" s="507"/>
    </row>
    <row r="238" spans="1:11" ht="17.100000000000001" customHeight="1">
      <c r="A238" s="585"/>
      <c r="B238" s="505" t="s">
        <v>1090</v>
      </c>
      <c r="C238" s="505" t="s">
        <v>812</v>
      </c>
      <c r="D238" s="505">
        <v>162</v>
      </c>
      <c r="E238" s="518">
        <f t="shared" si="30"/>
        <v>1.2561547706742139E-3</v>
      </c>
      <c r="F238" s="517">
        <f t="shared" si="31"/>
        <v>164</v>
      </c>
      <c r="G238" s="517">
        <f t="shared" si="32"/>
        <v>167</v>
      </c>
      <c r="H238" s="517">
        <f t="shared" si="33"/>
        <v>171</v>
      </c>
      <c r="I238" s="517">
        <f t="shared" si="34"/>
        <v>174</v>
      </c>
      <c r="J238" s="507"/>
    </row>
    <row r="239" spans="1:11" ht="17.100000000000001" customHeight="1">
      <c r="A239" s="585"/>
      <c r="B239" s="505" t="s">
        <v>1090</v>
      </c>
      <c r="C239" s="505" t="s">
        <v>813</v>
      </c>
      <c r="D239" s="505">
        <v>214</v>
      </c>
      <c r="E239" s="518">
        <f t="shared" si="30"/>
        <v>1.659364943977048E-3</v>
      </c>
      <c r="F239" s="517">
        <f t="shared" si="31"/>
        <v>216</v>
      </c>
      <c r="G239" s="517">
        <f t="shared" si="32"/>
        <v>221</v>
      </c>
      <c r="H239" s="517">
        <f t="shared" si="33"/>
        <v>226</v>
      </c>
      <c r="I239" s="517">
        <f t="shared" si="34"/>
        <v>230</v>
      </c>
      <c r="J239" s="507"/>
    </row>
    <row r="240" spans="1:11" ht="17.100000000000001" customHeight="1">
      <c r="A240" s="585"/>
      <c r="B240" s="505" t="s">
        <v>1090</v>
      </c>
      <c r="C240" s="505" t="s">
        <v>814</v>
      </c>
      <c r="D240" s="505">
        <v>217</v>
      </c>
      <c r="E240" s="518">
        <f t="shared" si="30"/>
        <v>1.6826270693599038E-3</v>
      </c>
      <c r="F240" s="517">
        <f t="shared" si="31"/>
        <v>220</v>
      </c>
      <c r="G240" s="517">
        <f t="shared" si="32"/>
        <v>224</v>
      </c>
      <c r="H240" s="517">
        <f t="shared" si="33"/>
        <v>229</v>
      </c>
      <c r="I240" s="517">
        <f t="shared" si="34"/>
        <v>233</v>
      </c>
      <c r="J240" s="507"/>
    </row>
    <row r="241" spans="1:10" ht="17.100000000000001" customHeight="1">
      <c r="A241" s="585"/>
      <c r="B241" s="505" t="s">
        <v>1090</v>
      </c>
      <c r="C241" s="505" t="s">
        <v>815</v>
      </c>
      <c r="D241" s="505">
        <v>292</v>
      </c>
      <c r="E241" s="518">
        <f t="shared" si="30"/>
        <v>2.2641802039312991E-3</v>
      </c>
      <c r="F241" s="517">
        <f t="shared" si="31"/>
        <v>295</v>
      </c>
      <c r="G241" s="517">
        <f t="shared" si="32"/>
        <v>302</v>
      </c>
      <c r="H241" s="517">
        <f t="shared" si="33"/>
        <v>308</v>
      </c>
      <c r="I241" s="517">
        <f t="shared" si="34"/>
        <v>314</v>
      </c>
      <c r="J241" s="507"/>
    </row>
    <row r="242" spans="1:10" ht="17.100000000000001" customHeight="1">
      <c r="A242" s="585"/>
      <c r="B242" s="505" t="s">
        <v>1090</v>
      </c>
      <c r="C242" s="505" t="s">
        <v>816</v>
      </c>
      <c r="D242" s="505">
        <v>152</v>
      </c>
      <c r="E242" s="518">
        <f t="shared" si="30"/>
        <v>1.1786143527313612E-3</v>
      </c>
      <c r="F242" s="517">
        <f t="shared" si="31"/>
        <v>154</v>
      </c>
      <c r="G242" s="517">
        <f t="shared" si="32"/>
        <v>157</v>
      </c>
      <c r="H242" s="517">
        <f t="shared" si="33"/>
        <v>161</v>
      </c>
      <c r="I242" s="517">
        <f t="shared" si="34"/>
        <v>163</v>
      </c>
      <c r="J242" s="507"/>
    </row>
    <row r="243" spans="1:10" ht="17.100000000000001" customHeight="1">
      <c r="A243" s="585"/>
      <c r="B243" s="505" t="s">
        <v>1090</v>
      </c>
      <c r="C243" s="505" t="s">
        <v>817</v>
      </c>
      <c r="D243" s="505">
        <v>404</v>
      </c>
      <c r="E243" s="518">
        <f t="shared" si="30"/>
        <v>3.1326328848912495E-3</v>
      </c>
      <c r="F243" s="517">
        <f t="shared" si="31"/>
        <v>409</v>
      </c>
      <c r="G243" s="517">
        <f t="shared" si="32"/>
        <v>417</v>
      </c>
      <c r="H243" s="517">
        <f t="shared" si="33"/>
        <v>427</v>
      </c>
      <c r="I243" s="517">
        <f t="shared" si="34"/>
        <v>434</v>
      </c>
      <c r="J243" s="507"/>
    </row>
    <row r="244" spans="1:10" ht="17.100000000000001" customHeight="1">
      <c r="A244" s="585"/>
      <c r="B244" s="505" t="s">
        <v>1090</v>
      </c>
      <c r="C244" s="505" t="s">
        <v>818</v>
      </c>
      <c r="D244" s="505">
        <v>373</v>
      </c>
      <c r="E244" s="518">
        <f t="shared" si="30"/>
        <v>2.8922575892684063E-3</v>
      </c>
      <c r="F244" s="517">
        <f t="shared" si="31"/>
        <v>377</v>
      </c>
      <c r="G244" s="517">
        <f t="shared" si="32"/>
        <v>385</v>
      </c>
      <c r="H244" s="517">
        <f t="shared" si="33"/>
        <v>394</v>
      </c>
      <c r="I244" s="517">
        <f t="shared" si="34"/>
        <v>401</v>
      </c>
      <c r="J244" s="507"/>
    </row>
    <row r="245" spans="1:10" ht="17.100000000000001" customHeight="1">
      <c r="A245" s="585"/>
      <c r="B245" s="505" t="s">
        <v>1090</v>
      </c>
      <c r="C245" s="505" t="s">
        <v>819</v>
      </c>
      <c r="D245" s="505">
        <v>194</v>
      </c>
      <c r="E245" s="518">
        <f t="shared" si="30"/>
        <v>1.5042841080913426E-3</v>
      </c>
      <c r="F245" s="517">
        <f t="shared" si="31"/>
        <v>196</v>
      </c>
      <c r="G245" s="517">
        <f t="shared" si="32"/>
        <v>200</v>
      </c>
      <c r="H245" s="517">
        <f t="shared" si="33"/>
        <v>205</v>
      </c>
      <c r="I245" s="517">
        <f t="shared" si="34"/>
        <v>208</v>
      </c>
      <c r="J245" s="507"/>
    </row>
    <row r="246" spans="1:10" ht="17.100000000000001" customHeight="1">
      <c r="A246" s="585"/>
      <c r="B246" s="505" t="s">
        <v>1090</v>
      </c>
      <c r="C246" s="505" t="s">
        <v>820</v>
      </c>
      <c r="D246" s="505">
        <v>123</v>
      </c>
      <c r="E246" s="518">
        <f t="shared" si="30"/>
        <v>9.5374714069708833E-4</v>
      </c>
      <c r="F246" s="517">
        <f t="shared" si="31"/>
        <v>124</v>
      </c>
      <c r="G246" s="517">
        <f t="shared" si="32"/>
        <v>127</v>
      </c>
      <c r="H246" s="517">
        <f t="shared" si="33"/>
        <v>130</v>
      </c>
      <c r="I246" s="517">
        <f t="shared" si="34"/>
        <v>132</v>
      </c>
      <c r="J246" s="507"/>
    </row>
    <row r="247" spans="1:10" ht="17.100000000000001" customHeight="1">
      <c r="A247" s="585"/>
      <c r="B247" s="505" t="s">
        <v>1090</v>
      </c>
      <c r="C247" s="505" t="s">
        <v>821</v>
      </c>
      <c r="D247" s="505">
        <v>318</v>
      </c>
      <c r="E247" s="518">
        <f t="shared" si="30"/>
        <v>2.4657852905827162E-3</v>
      </c>
      <c r="F247" s="517">
        <f t="shared" si="31"/>
        <v>322</v>
      </c>
      <c r="G247" s="517">
        <f t="shared" si="32"/>
        <v>328</v>
      </c>
      <c r="H247" s="517">
        <f t="shared" si="33"/>
        <v>336</v>
      </c>
      <c r="I247" s="517">
        <f t="shared" si="34"/>
        <v>342</v>
      </c>
      <c r="J247" s="507"/>
    </row>
    <row r="248" spans="1:10" ht="17.100000000000001" customHeight="1">
      <c r="A248" s="585"/>
      <c r="B248" s="505" t="s">
        <v>1090</v>
      </c>
      <c r="C248" s="505" t="s">
        <v>822</v>
      </c>
      <c r="D248" s="505">
        <v>148</v>
      </c>
      <c r="E248" s="518">
        <f t="shared" si="30"/>
        <v>1.1475981855542201E-3</v>
      </c>
      <c r="F248" s="517">
        <f t="shared" si="31"/>
        <v>150</v>
      </c>
      <c r="G248" s="517">
        <f t="shared" si="32"/>
        <v>153</v>
      </c>
      <c r="H248" s="517">
        <f t="shared" si="33"/>
        <v>156</v>
      </c>
      <c r="I248" s="517">
        <f t="shared" si="34"/>
        <v>159</v>
      </c>
      <c r="J248" s="507"/>
    </row>
    <row r="249" spans="1:10" ht="17.100000000000001" customHeight="1">
      <c r="A249" s="585"/>
      <c r="B249" s="505" t="s">
        <v>1090</v>
      </c>
      <c r="C249" s="505" t="s">
        <v>823</v>
      </c>
      <c r="D249" s="505">
        <v>197</v>
      </c>
      <c r="E249" s="518">
        <f t="shared" si="30"/>
        <v>1.5275462334741984E-3</v>
      </c>
      <c r="F249" s="517">
        <f t="shared" si="31"/>
        <v>199</v>
      </c>
      <c r="G249" s="517">
        <f t="shared" si="32"/>
        <v>203</v>
      </c>
      <c r="H249" s="517">
        <f t="shared" si="33"/>
        <v>208</v>
      </c>
      <c r="I249" s="517">
        <f t="shared" si="34"/>
        <v>212</v>
      </c>
      <c r="J249" s="507"/>
    </row>
    <row r="250" spans="1:10" ht="17.100000000000001" customHeight="1">
      <c r="A250" s="585"/>
      <c r="B250" s="505" t="s">
        <v>1090</v>
      </c>
      <c r="C250" s="505" t="s">
        <v>824</v>
      </c>
      <c r="D250" s="505">
        <v>160</v>
      </c>
      <c r="E250" s="518">
        <f t="shared" si="30"/>
        <v>1.2406466870856434E-3</v>
      </c>
      <c r="F250" s="517">
        <f t="shared" si="31"/>
        <v>162</v>
      </c>
      <c r="G250" s="517">
        <f t="shared" si="32"/>
        <v>165</v>
      </c>
      <c r="H250" s="517">
        <f t="shared" si="33"/>
        <v>169</v>
      </c>
      <c r="I250" s="517">
        <f t="shared" si="34"/>
        <v>172</v>
      </c>
      <c r="J250" s="507"/>
    </row>
    <row r="251" spans="1:10" ht="17.100000000000001" customHeight="1">
      <c r="A251" s="585"/>
      <c r="B251" s="505" t="s">
        <v>1090</v>
      </c>
      <c r="C251" s="505" t="s">
        <v>825</v>
      </c>
      <c r="D251" s="505">
        <v>72</v>
      </c>
      <c r="E251" s="518">
        <f t="shared" si="30"/>
        <v>5.5829100918853951E-4</v>
      </c>
      <c r="F251" s="517">
        <f t="shared" si="31"/>
        <v>73</v>
      </c>
      <c r="G251" s="517">
        <f t="shared" si="32"/>
        <v>74</v>
      </c>
      <c r="H251" s="517">
        <f t="shared" si="33"/>
        <v>76</v>
      </c>
      <c r="I251" s="517">
        <f t="shared" si="34"/>
        <v>77</v>
      </c>
      <c r="J251" s="507"/>
    </row>
    <row r="252" spans="1:10" ht="17.100000000000001" customHeight="1">
      <c r="A252" s="585"/>
      <c r="B252" s="505" t="s">
        <v>1090</v>
      </c>
      <c r="C252" s="505" t="s">
        <v>826</v>
      </c>
      <c r="D252" s="505">
        <v>501</v>
      </c>
      <c r="E252" s="518">
        <f t="shared" si="30"/>
        <v>3.884774938936921E-3</v>
      </c>
      <c r="F252" s="517">
        <f t="shared" ref="F252:F315" si="35">ROUND($F$3*E252,0)</f>
        <v>507</v>
      </c>
      <c r="G252" s="517">
        <f t="shared" ref="G252:G315" si="36">ROUND($G$3*E252,0)</f>
        <v>517</v>
      </c>
      <c r="H252" s="517">
        <f t="shared" ref="H252:H315" si="37">ROUND($H$3*E252,0)</f>
        <v>529</v>
      </c>
      <c r="I252" s="517">
        <f t="shared" ref="I252:I315" si="38">ROUND($I$3*E252,0)</f>
        <v>538</v>
      </c>
      <c r="J252" s="507"/>
    </row>
    <row r="253" spans="1:10" ht="17.100000000000001" customHeight="1">
      <c r="A253" s="585"/>
      <c r="B253" s="505" t="s">
        <v>1090</v>
      </c>
      <c r="C253" s="505" t="s">
        <v>827</v>
      </c>
      <c r="D253" s="505">
        <v>100</v>
      </c>
      <c r="E253" s="518">
        <f t="shared" si="30"/>
        <v>7.7540417942852709E-4</v>
      </c>
      <c r="F253" s="517">
        <f t="shared" si="35"/>
        <v>101</v>
      </c>
      <c r="G253" s="517">
        <f t="shared" si="36"/>
        <v>103</v>
      </c>
      <c r="H253" s="517">
        <f t="shared" si="37"/>
        <v>106</v>
      </c>
      <c r="I253" s="517">
        <f t="shared" si="38"/>
        <v>107</v>
      </c>
      <c r="J253" s="507"/>
    </row>
    <row r="254" spans="1:10" ht="17.100000000000001" customHeight="1">
      <c r="A254" s="585"/>
      <c r="B254" s="505" t="s">
        <v>1090</v>
      </c>
      <c r="C254" s="505" t="s">
        <v>828</v>
      </c>
      <c r="D254" s="505">
        <v>117</v>
      </c>
      <c r="E254" s="518">
        <f t="shared" si="30"/>
        <v>9.072228899313767E-4</v>
      </c>
      <c r="F254" s="517">
        <f t="shared" si="35"/>
        <v>118</v>
      </c>
      <c r="G254" s="517">
        <f t="shared" si="36"/>
        <v>121</v>
      </c>
      <c r="H254" s="517">
        <f t="shared" si="37"/>
        <v>124</v>
      </c>
      <c r="I254" s="517">
        <f t="shared" si="38"/>
        <v>126</v>
      </c>
      <c r="J254" s="507"/>
    </row>
    <row r="255" spans="1:10" ht="17.100000000000001" customHeight="1">
      <c r="A255" s="585"/>
      <c r="B255" s="505" t="s">
        <v>1090</v>
      </c>
      <c r="C255" s="505" t="s">
        <v>829</v>
      </c>
      <c r="D255" s="505">
        <v>172</v>
      </c>
      <c r="E255" s="518">
        <f t="shared" si="30"/>
        <v>1.3336951886170666E-3</v>
      </c>
      <c r="F255" s="517">
        <f t="shared" si="35"/>
        <v>174</v>
      </c>
      <c r="G255" s="517">
        <f t="shared" si="36"/>
        <v>178</v>
      </c>
      <c r="H255" s="517">
        <f t="shared" si="37"/>
        <v>182</v>
      </c>
      <c r="I255" s="517">
        <f t="shared" si="38"/>
        <v>185</v>
      </c>
      <c r="J255" s="507"/>
    </row>
    <row r="256" spans="1:10" ht="17.100000000000001" customHeight="1">
      <c r="A256" s="585"/>
      <c r="B256" s="505" t="s">
        <v>1090</v>
      </c>
      <c r="C256" s="505" t="s">
        <v>830</v>
      </c>
      <c r="D256" s="505">
        <v>92</v>
      </c>
      <c r="E256" s="518">
        <f t="shared" si="30"/>
        <v>7.1337184507424493E-4</v>
      </c>
      <c r="F256" s="517">
        <f t="shared" si="35"/>
        <v>93</v>
      </c>
      <c r="G256" s="517">
        <f t="shared" si="36"/>
        <v>95</v>
      </c>
      <c r="H256" s="517">
        <f t="shared" si="37"/>
        <v>97</v>
      </c>
      <c r="I256" s="517">
        <f t="shared" si="38"/>
        <v>99</v>
      </c>
      <c r="J256" s="507"/>
    </row>
    <row r="257" spans="1:10" ht="17.100000000000001" customHeight="1">
      <c r="A257" s="585"/>
      <c r="B257" s="505" t="s">
        <v>1090</v>
      </c>
      <c r="C257" s="505" t="s">
        <v>831</v>
      </c>
      <c r="D257" s="505">
        <v>176</v>
      </c>
      <c r="E257" s="518">
        <f t="shared" si="30"/>
        <v>1.3647113557942077E-3</v>
      </c>
      <c r="F257" s="517">
        <f t="shared" si="35"/>
        <v>178</v>
      </c>
      <c r="G257" s="517">
        <f t="shared" si="36"/>
        <v>182</v>
      </c>
      <c r="H257" s="517">
        <f t="shared" si="37"/>
        <v>186</v>
      </c>
      <c r="I257" s="517">
        <f t="shared" si="38"/>
        <v>189</v>
      </c>
      <c r="J257" s="507"/>
    </row>
    <row r="258" spans="1:10" ht="17.100000000000001" customHeight="1">
      <c r="A258" s="585"/>
      <c r="B258" s="505" t="s">
        <v>1090</v>
      </c>
      <c r="C258" s="505" t="s">
        <v>832</v>
      </c>
      <c r="D258" s="505">
        <v>226</v>
      </c>
      <c r="E258" s="518">
        <f t="shared" si="30"/>
        <v>1.7524134455084712E-3</v>
      </c>
      <c r="F258" s="517">
        <f t="shared" si="35"/>
        <v>229</v>
      </c>
      <c r="G258" s="517">
        <f t="shared" si="36"/>
        <v>233</v>
      </c>
      <c r="H258" s="517">
        <f t="shared" si="37"/>
        <v>239</v>
      </c>
      <c r="I258" s="517">
        <f t="shared" si="38"/>
        <v>243</v>
      </c>
      <c r="J258" s="507"/>
    </row>
    <row r="259" spans="1:10" ht="17.100000000000001" customHeight="1">
      <c r="A259" s="585"/>
      <c r="B259" s="505" t="s">
        <v>1090</v>
      </c>
      <c r="C259" s="505" t="s">
        <v>833</v>
      </c>
      <c r="D259" s="505">
        <v>210</v>
      </c>
      <c r="E259" s="518">
        <f t="shared" si="30"/>
        <v>1.6283487767999069E-3</v>
      </c>
      <c r="F259" s="517">
        <f t="shared" si="35"/>
        <v>212</v>
      </c>
      <c r="G259" s="517">
        <f t="shared" si="36"/>
        <v>217</v>
      </c>
      <c r="H259" s="517">
        <f t="shared" si="37"/>
        <v>222</v>
      </c>
      <c r="I259" s="517">
        <f t="shared" si="38"/>
        <v>226</v>
      </c>
      <c r="J259" s="507"/>
    </row>
    <row r="260" spans="1:10" ht="17.100000000000001" customHeight="1">
      <c r="A260" s="585"/>
      <c r="B260" s="505" t="s">
        <v>1090</v>
      </c>
      <c r="C260" s="505" t="s">
        <v>834</v>
      </c>
      <c r="D260" s="505">
        <v>164</v>
      </c>
      <c r="E260" s="518">
        <f t="shared" si="30"/>
        <v>1.2716628542627844E-3</v>
      </c>
      <c r="F260" s="517">
        <f t="shared" si="35"/>
        <v>166</v>
      </c>
      <c r="G260" s="517">
        <f t="shared" si="36"/>
        <v>169</v>
      </c>
      <c r="H260" s="517">
        <f t="shared" si="37"/>
        <v>173</v>
      </c>
      <c r="I260" s="517">
        <f t="shared" si="38"/>
        <v>176</v>
      </c>
      <c r="J260" s="507"/>
    </row>
    <row r="261" spans="1:10" ht="17.100000000000001" customHeight="1">
      <c r="A261" s="585"/>
      <c r="B261" s="505" t="s">
        <v>1090</v>
      </c>
      <c r="C261" s="505" t="s">
        <v>835</v>
      </c>
      <c r="D261" s="505">
        <v>91</v>
      </c>
      <c r="E261" s="518">
        <f t="shared" si="30"/>
        <v>7.0561780327995966E-4</v>
      </c>
      <c r="F261" s="517">
        <f t="shared" si="35"/>
        <v>92</v>
      </c>
      <c r="G261" s="517">
        <f t="shared" si="36"/>
        <v>94</v>
      </c>
      <c r="H261" s="517">
        <f t="shared" si="37"/>
        <v>96</v>
      </c>
      <c r="I261" s="517">
        <f t="shared" si="38"/>
        <v>98</v>
      </c>
      <c r="J261" s="507"/>
    </row>
    <row r="262" spans="1:10" ht="17.100000000000001" customHeight="1">
      <c r="A262" s="585"/>
      <c r="B262" s="505" t="s">
        <v>1090</v>
      </c>
      <c r="C262" s="505" t="s">
        <v>836</v>
      </c>
      <c r="D262" s="505">
        <v>204</v>
      </c>
      <c r="E262" s="518">
        <f t="shared" si="30"/>
        <v>1.5818245260341953E-3</v>
      </c>
      <c r="F262" s="517">
        <f t="shared" si="35"/>
        <v>206</v>
      </c>
      <c r="G262" s="517">
        <f t="shared" si="36"/>
        <v>211</v>
      </c>
      <c r="H262" s="517">
        <f t="shared" si="37"/>
        <v>215</v>
      </c>
      <c r="I262" s="517">
        <f t="shared" si="38"/>
        <v>219</v>
      </c>
      <c r="J262" s="507"/>
    </row>
    <row r="263" spans="1:10" ht="17.100000000000001" customHeight="1">
      <c r="A263" s="585"/>
      <c r="B263" s="505" t="s">
        <v>1090</v>
      </c>
      <c r="C263" s="505" t="s">
        <v>837</v>
      </c>
      <c r="D263" s="505">
        <v>103</v>
      </c>
      <c r="E263" s="518">
        <f t="shared" si="30"/>
        <v>7.9866630481138291E-4</v>
      </c>
      <c r="F263" s="517">
        <f t="shared" si="35"/>
        <v>104</v>
      </c>
      <c r="G263" s="517">
        <f t="shared" si="36"/>
        <v>106</v>
      </c>
      <c r="H263" s="517">
        <f t="shared" si="37"/>
        <v>109</v>
      </c>
      <c r="I263" s="517">
        <f t="shared" si="38"/>
        <v>111</v>
      </c>
      <c r="J263" s="507"/>
    </row>
    <row r="264" spans="1:10" ht="17.100000000000001" customHeight="1">
      <c r="A264" s="585"/>
      <c r="B264" s="505" t="s">
        <v>1090</v>
      </c>
      <c r="C264" s="505" t="s">
        <v>838</v>
      </c>
      <c r="D264" s="505">
        <v>146</v>
      </c>
      <c r="E264" s="518">
        <f t="shared" si="30"/>
        <v>1.1320901019656496E-3</v>
      </c>
      <c r="F264" s="517">
        <f t="shared" si="35"/>
        <v>148</v>
      </c>
      <c r="G264" s="517">
        <f t="shared" si="36"/>
        <v>151</v>
      </c>
      <c r="H264" s="517">
        <f t="shared" si="37"/>
        <v>154</v>
      </c>
      <c r="I264" s="517">
        <f t="shared" si="38"/>
        <v>157</v>
      </c>
      <c r="J264" s="507"/>
    </row>
    <row r="265" spans="1:10" ht="17.100000000000001" customHeight="1">
      <c r="A265" s="585"/>
      <c r="B265" s="505" t="s">
        <v>1090</v>
      </c>
      <c r="C265" s="505" t="s">
        <v>839</v>
      </c>
      <c r="D265" s="505">
        <v>59</v>
      </c>
      <c r="E265" s="518">
        <f t="shared" si="30"/>
        <v>4.5748846586283099E-4</v>
      </c>
      <c r="F265" s="517">
        <f t="shared" si="35"/>
        <v>60</v>
      </c>
      <c r="G265" s="517">
        <f t="shared" si="36"/>
        <v>61</v>
      </c>
      <c r="H265" s="517">
        <f t="shared" si="37"/>
        <v>62</v>
      </c>
      <c r="I265" s="517">
        <f t="shared" si="38"/>
        <v>63</v>
      </c>
      <c r="J265" s="507"/>
    </row>
    <row r="266" spans="1:10" ht="17.100000000000001" customHeight="1">
      <c r="A266" s="585"/>
      <c r="B266" s="505" t="s">
        <v>1090</v>
      </c>
      <c r="C266" s="505" t="s">
        <v>840</v>
      </c>
      <c r="D266" s="505">
        <v>83</v>
      </c>
      <c r="E266" s="518">
        <f t="shared" si="30"/>
        <v>6.4358546892567749E-4</v>
      </c>
      <c r="F266" s="517">
        <f t="shared" si="35"/>
        <v>84</v>
      </c>
      <c r="G266" s="517">
        <f t="shared" si="36"/>
        <v>86</v>
      </c>
      <c r="H266" s="517">
        <f t="shared" si="37"/>
        <v>88</v>
      </c>
      <c r="I266" s="517">
        <f t="shared" si="38"/>
        <v>89</v>
      </c>
      <c r="J266" s="507"/>
    </row>
    <row r="267" spans="1:10" ht="17.100000000000001" customHeight="1">
      <c r="A267" s="585"/>
      <c r="B267" s="505" t="s">
        <v>1090</v>
      </c>
      <c r="C267" s="505" t="s">
        <v>841</v>
      </c>
      <c r="D267" s="505">
        <v>194</v>
      </c>
      <c r="E267" s="518">
        <f t="shared" si="30"/>
        <v>1.5042841080913426E-3</v>
      </c>
      <c r="F267" s="517">
        <f t="shared" si="35"/>
        <v>196</v>
      </c>
      <c r="G267" s="517">
        <f t="shared" si="36"/>
        <v>200</v>
      </c>
      <c r="H267" s="517">
        <f t="shared" si="37"/>
        <v>205</v>
      </c>
      <c r="I267" s="517">
        <f t="shared" si="38"/>
        <v>208</v>
      </c>
      <c r="J267" s="507"/>
    </row>
    <row r="268" spans="1:10" ht="17.100000000000001" customHeight="1">
      <c r="A268" s="585"/>
      <c r="B268" s="505" t="s">
        <v>1090</v>
      </c>
      <c r="C268" s="505" t="s">
        <v>842</v>
      </c>
      <c r="D268" s="505">
        <v>159</v>
      </c>
      <c r="E268" s="518">
        <f t="shared" si="30"/>
        <v>1.2328926452913581E-3</v>
      </c>
      <c r="F268" s="517">
        <f t="shared" si="35"/>
        <v>161</v>
      </c>
      <c r="G268" s="517">
        <f t="shared" si="36"/>
        <v>164</v>
      </c>
      <c r="H268" s="517">
        <f t="shared" si="37"/>
        <v>168</v>
      </c>
      <c r="I268" s="517">
        <f t="shared" si="38"/>
        <v>171</v>
      </c>
      <c r="J268" s="507"/>
    </row>
    <row r="269" spans="1:10" ht="17.100000000000001" customHeight="1">
      <c r="A269" s="585"/>
      <c r="B269" s="505" t="s">
        <v>1090</v>
      </c>
      <c r="C269" s="505" t="s">
        <v>843</v>
      </c>
      <c r="D269" s="505">
        <v>109</v>
      </c>
      <c r="E269" s="518">
        <f t="shared" si="30"/>
        <v>8.4519055557709453E-4</v>
      </c>
      <c r="F269" s="517">
        <f t="shared" si="35"/>
        <v>110</v>
      </c>
      <c r="G269" s="517">
        <f t="shared" si="36"/>
        <v>113</v>
      </c>
      <c r="H269" s="517">
        <f t="shared" si="37"/>
        <v>115</v>
      </c>
      <c r="I269" s="517">
        <f t="shared" si="38"/>
        <v>117</v>
      </c>
      <c r="J269" s="507"/>
    </row>
    <row r="270" spans="1:10" ht="17.100000000000001" customHeight="1">
      <c r="A270" s="585"/>
      <c r="B270" s="505" t="s">
        <v>1090</v>
      </c>
      <c r="C270" s="505" t="s">
        <v>844</v>
      </c>
      <c r="D270" s="505">
        <v>95</v>
      </c>
      <c r="E270" s="518">
        <f t="shared" si="30"/>
        <v>7.3663397045710074E-4</v>
      </c>
      <c r="F270" s="517">
        <f t="shared" si="35"/>
        <v>96</v>
      </c>
      <c r="G270" s="517">
        <f t="shared" si="36"/>
        <v>98</v>
      </c>
      <c r="H270" s="517">
        <f t="shared" si="37"/>
        <v>100</v>
      </c>
      <c r="I270" s="517">
        <f t="shared" si="38"/>
        <v>102</v>
      </c>
      <c r="J270" s="507"/>
    </row>
    <row r="271" spans="1:10" ht="17.100000000000001" customHeight="1">
      <c r="A271" s="585"/>
      <c r="B271" s="505" t="s">
        <v>1090</v>
      </c>
      <c r="C271" s="505" t="s">
        <v>845</v>
      </c>
      <c r="D271" s="505">
        <v>156</v>
      </c>
      <c r="E271" s="518">
        <f t="shared" si="30"/>
        <v>1.2096305199085023E-3</v>
      </c>
      <c r="F271" s="517">
        <f t="shared" si="35"/>
        <v>158</v>
      </c>
      <c r="G271" s="517">
        <f t="shared" si="36"/>
        <v>161</v>
      </c>
      <c r="H271" s="517">
        <f t="shared" si="37"/>
        <v>165</v>
      </c>
      <c r="I271" s="517">
        <f t="shared" si="38"/>
        <v>168</v>
      </c>
      <c r="J271" s="507"/>
    </row>
    <row r="272" spans="1:10" ht="17.100000000000001" customHeight="1">
      <c r="A272" s="585"/>
      <c r="B272" s="505" t="s">
        <v>1090</v>
      </c>
      <c r="C272" s="505" t="s">
        <v>846</v>
      </c>
      <c r="D272" s="505">
        <v>132</v>
      </c>
      <c r="E272" s="518">
        <f t="shared" si="30"/>
        <v>1.0235335168456558E-3</v>
      </c>
      <c r="F272" s="517">
        <f t="shared" si="35"/>
        <v>134</v>
      </c>
      <c r="G272" s="517">
        <f t="shared" si="36"/>
        <v>136</v>
      </c>
      <c r="H272" s="517">
        <f t="shared" si="37"/>
        <v>139</v>
      </c>
      <c r="I272" s="517">
        <f t="shared" si="38"/>
        <v>142</v>
      </c>
      <c r="J272" s="507"/>
    </row>
    <row r="273" spans="1:10" ht="17.100000000000001" customHeight="1">
      <c r="A273" s="585"/>
      <c r="B273" s="505" t="s">
        <v>1090</v>
      </c>
      <c r="C273" s="505" t="s">
        <v>847</v>
      </c>
      <c r="D273" s="505">
        <v>68</v>
      </c>
      <c r="E273" s="518">
        <f t="shared" si="30"/>
        <v>5.2727484201139842E-4</v>
      </c>
      <c r="F273" s="517">
        <f t="shared" si="35"/>
        <v>69</v>
      </c>
      <c r="G273" s="517">
        <f t="shared" si="36"/>
        <v>70</v>
      </c>
      <c r="H273" s="517">
        <f t="shared" si="37"/>
        <v>72</v>
      </c>
      <c r="I273" s="517">
        <f t="shared" si="38"/>
        <v>73</v>
      </c>
      <c r="J273" s="507"/>
    </row>
    <row r="274" spans="1:10" ht="17.100000000000001" customHeight="1">
      <c r="A274" s="585"/>
      <c r="B274" s="505" t="s">
        <v>1090</v>
      </c>
      <c r="C274" s="505" t="s">
        <v>848</v>
      </c>
      <c r="D274" s="505">
        <v>148</v>
      </c>
      <c r="E274" s="518">
        <f t="shared" si="30"/>
        <v>1.1475981855542201E-3</v>
      </c>
      <c r="F274" s="517">
        <f t="shared" si="35"/>
        <v>150</v>
      </c>
      <c r="G274" s="517">
        <f t="shared" si="36"/>
        <v>153</v>
      </c>
      <c r="H274" s="517">
        <f t="shared" si="37"/>
        <v>156</v>
      </c>
      <c r="I274" s="517">
        <f t="shared" si="38"/>
        <v>159</v>
      </c>
      <c r="J274" s="507"/>
    </row>
    <row r="275" spans="1:10" ht="17.100000000000001" customHeight="1">
      <c r="A275" s="585"/>
      <c r="B275" s="505" t="s">
        <v>1090</v>
      </c>
      <c r="C275" s="505" t="s">
        <v>849</v>
      </c>
      <c r="D275" s="505">
        <v>151</v>
      </c>
      <c r="E275" s="518">
        <f t="shared" si="30"/>
        <v>1.1708603109370759E-3</v>
      </c>
      <c r="F275" s="517">
        <f t="shared" si="35"/>
        <v>153</v>
      </c>
      <c r="G275" s="517">
        <f t="shared" si="36"/>
        <v>156</v>
      </c>
      <c r="H275" s="517">
        <f t="shared" si="37"/>
        <v>159</v>
      </c>
      <c r="I275" s="517">
        <f t="shared" si="38"/>
        <v>162</v>
      </c>
      <c r="J275" s="507"/>
    </row>
    <row r="276" spans="1:10" ht="17.100000000000001" customHeight="1">
      <c r="A276" s="585"/>
      <c r="B276" s="505" t="s">
        <v>1090</v>
      </c>
      <c r="C276" s="505" t="s">
        <v>850</v>
      </c>
      <c r="D276" s="505">
        <v>208</v>
      </c>
      <c r="E276" s="518">
        <f t="shared" si="30"/>
        <v>1.6128406932113364E-3</v>
      </c>
      <c r="F276" s="517">
        <f t="shared" si="35"/>
        <v>210</v>
      </c>
      <c r="G276" s="517">
        <f t="shared" si="36"/>
        <v>215</v>
      </c>
      <c r="H276" s="517">
        <f t="shared" si="37"/>
        <v>220</v>
      </c>
      <c r="I276" s="517">
        <f t="shared" si="38"/>
        <v>223</v>
      </c>
      <c r="J276" s="507"/>
    </row>
    <row r="277" spans="1:10" ht="17.100000000000001" customHeight="1">
      <c r="A277" s="585"/>
      <c r="B277" s="505" t="s">
        <v>1153</v>
      </c>
      <c r="C277" s="505" t="s">
        <v>851</v>
      </c>
      <c r="D277" s="505">
        <v>409</v>
      </c>
      <c r="E277" s="518">
        <f t="shared" si="30"/>
        <v>3.171403093862676E-3</v>
      </c>
      <c r="F277" s="517">
        <f t="shared" si="35"/>
        <v>414</v>
      </c>
      <c r="G277" s="517">
        <f t="shared" si="36"/>
        <v>422</v>
      </c>
      <c r="H277" s="517">
        <f t="shared" si="37"/>
        <v>432</v>
      </c>
      <c r="I277" s="517">
        <f t="shared" si="38"/>
        <v>439</v>
      </c>
      <c r="J277" s="507"/>
    </row>
    <row r="278" spans="1:10" ht="17.100000000000001" customHeight="1">
      <c r="A278" s="585"/>
      <c r="B278" s="505" t="s">
        <v>1092</v>
      </c>
      <c r="C278" s="505" t="s">
        <v>852</v>
      </c>
      <c r="D278" s="505">
        <v>261</v>
      </c>
      <c r="E278" s="518">
        <f t="shared" si="30"/>
        <v>2.0238049083084559E-3</v>
      </c>
      <c r="F278" s="517">
        <f t="shared" si="35"/>
        <v>264</v>
      </c>
      <c r="G278" s="517">
        <f t="shared" si="36"/>
        <v>270</v>
      </c>
      <c r="H278" s="517">
        <f t="shared" si="37"/>
        <v>276</v>
      </c>
      <c r="I278" s="517">
        <f t="shared" si="38"/>
        <v>280</v>
      </c>
      <c r="J278" s="507"/>
    </row>
    <row r="279" spans="1:10" ht="17.100000000000001" customHeight="1">
      <c r="A279" s="585"/>
      <c r="B279" s="505" t="s">
        <v>1092</v>
      </c>
      <c r="C279" s="505" t="s">
        <v>853</v>
      </c>
      <c r="D279" s="505">
        <v>108</v>
      </c>
      <c r="E279" s="518">
        <f t="shared" si="30"/>
        <v>8.3743651378280926E-4</v>
      </c>
      <c r="F279" s="517">
        <f t="shared" si="35"/>
        <v>109</v>
      </c>
      <c r="G279" s="517">
        <f t="shared" si="36"/>
        <v>112</v>
      </c>
      <c r="H279" s="517">
        <f t="shared" si="37"/>
        <v>114</v>
      </c>
      <c r="I279" s="517">
        <f t="shared" si="38"/>
        <v>116</v>
      </c>
      <c r="J279" s="507"/>
    </row>
    <row r="280" spans="1:10" ht="17.100000000000001" customHeight="1">
      <c r="A280" s="585"/>
      <c r="B280" s="505" t="s">
        <v>1092</v>
      </c>
      <c r="C280" s="505" t="s">
        <v>854</v>
      </c>
      <c r="D280" s="505">
        <v>116</v>
      </c>
      <c r="E280" s="518">
        <f t="shared" si="30"/>
        <v>8.9946884813709143E-4</v>
      </c>
      <c r="F280" s="517">
        <f t="shared" si="35"/>
        <v>117</v>
      </c>
      <c r="G280" s="517">
        <f t="shared" si="36"/>
        <v>120</v>
      </c>
      <c r="H280" s="517">
        <f t="shared" si="37"/>
        <v>123</v>
      </c>
      <c r="I280" s="517">
        <f t="shared" si="38"/>
        <v>125</v>
      </c>
      <c r="J280" s="507"/>
    </row>
    <row r="281" spans="1:10" ht="17.100000000000001" customHeight="1">
      <c r="A281" s="585"/>
      <c r="B281" s="505" t="s">
        <v>1092</v>
      </c>
      <c r="C281" s="505" t="s">
        <v>855</v>
      </c>
      <c r="D281" s="505">
        <v>124</v>
      </c>
      <c r="E281" s="518">
        <f t="shared" si="30"/>
        <v>9.615011824913736E-4</v>
      </c>
      <c r="F281" s="517">
        <f t="shared" si="35"/>
        <v>125</v>
      </c>
      <c r="G281" s="517">
        <f t="shared" si="36"/>
        <v>128</v>
      </c>
      <c r="H281" s="517">
        <f t="shared" si="37"/>
        <v>131</v>
      </c>
      <c r="I281" s="517">
        <f t="shared" si="38"/>
        <v>133</v>
      </c>
      <c r="J281" s="507"/>
    </row>
    <row r="282" spans="1:10" ht="17.100000000000001" customHeight="1">
      <c r="A282" s="585"/>
      <c r="B282" s="505" t="s">
        <v>1092</v>
      </c>
      <c r="C282" s="505" t="s">
        <v>856</v>
      </c>
      <c r="D282" s="505">
        <v>129</v>
      </c>
      <c r="E282" s="518">
        <f t="shared" si="30"/>
        <v>1.0002713914628E-3</v>
      </c>
      <c r="F282" s="517">
        <f t="shared" si="35"/>
        <v>131</v>
      </c>
      <c r="G282" s="517">
        <f t="shared" si="36"/>
        <v>133</v>
      </c>
      <c r="H282" s="517">
        <f t="shared" si="37"/>
        <v>136</v>
      </c>
      <c r="I282" s="517">
        <f t="shared" si="38"/>
        <v>139</v>
      </c>
      <c r="J282" s="507"/>
    </row>
    <row r="283" spans="1:10" ht="17.100000000000001" customHeight="1">
      <c r="A283" s="585"/>
      <c r="B283" s="505" t="s">
        <v>1092</v>
      </c>
      <c r="C283" s="505" t="s">
        <v>857</v>
      </c>
      <c r="D283" s="505">
        <v>164</v>
      </c>
      <c r="E283" s="518">
        <f t="shared" si="30"/>
        <v>1.2716628542627844E-3</v>
      </c>
      <c r="F283" s="517">
        <f t="shared" si="35"/>
        <v>166</v>
      </c>
      <c r="G283" s="517">
        <f t="shared" si="36"/>
        <v>169</v>
      </c>
      <c r="H283" s="517">
        <f t="shared" si="37"/>
        <v>173</v>
      </c>
      <c r="I283" s="517">
        <f t="shared" si="38"/>
        <v>176</v>
      </c>
      <c r="J283" s="507"/>
    </row>
    <row r="284" spans="1:10" ht="17.100000000000001" customHeight="1">
      <c r="A284" s="585"/>
      <c r="B284" s="505" t="s">
        <v>1092</v>
      </c>
      <c r="C284" s="505" t="s">
        <v>858</v>
      </c>
      <c r="D284" s="505">
        <v>104</v>
      </c>
      <c r="E284" s="518">
        <f t="shared" si="30"/>
        <v>8.0642034660566818E-4</v>
      </c>
      <c r="F284" s="517">
        <f t="shared" si="35"/>
        <v>105</v>
      </c>
      <c r="G284" s="517">
        <f t="shared" si="36"/>
        <v>107</v>
      </c>
      <c r="H284" s="517">
        <f t="shared" si="37"/>
        <v>110</v>
      </c>
      <c r="I284" s="517">
        <f t="shared" si="38"/>
        <v>112</v>
      </c>
      <c r="J284" s="507"/>
    </row>
    <row r="285" spans="1:10" ht="17.100000000000001" customHeight="1">
      <c r="A285" s="585"/>
      <c r="B285" s="505" t="s">
        <v>1092</v>
      </c>
      <c r="C285" s="505" t="s">
        <v>859</v>
      </c>
      <c r="D285" s="505">
        <v>80</v>
      </c>
      <c r="E285" s="518">
        <f t="shared" si="30"/>
        <v>6.2032334354282168E-4</v>
      </c>
      <c r="F285" s="517">
        <f t="shared" si="35"/>
        <v>81</v>
      </c>
      <c r="G285" s="517">
        <f t="shared" si="36"/>
        <v>83</v>
      </c>
      <c r="H285" s="517">
        <f t="shared" si="37"/>
        <v>85</v>
      </c>
      <c r="I285" s="517">
        <f t="shared" si="38"/>
        <v>86</v>
      </c>
      <c r="J285" s="507"/>
    </row>
    <row r="286" spans="1:10" ht="17.100000000000001" customHeight="1">
      <c r="A286" s="585"/>
      <c r="B286" s="505" t="s">
        <v>1092</v>
      </c>
      <c r="C286" s="505" t="s">
        <v>860</v>
      </c>
      <c r="D286" s="505">
        <v>172</v>
      </c>
      <c r="E286" s="518">
        <f t="shared" si="30"/>
        <v>1.3336951886170666E-3</v>
      </c>
      <c r="F286" s="517">
        <f t="shared" si="35"/>
        <v>174</v>
      </c>
      <c r="G286" s="517">
        <f t="shared" si="36"/>
        <v>178</v>
      </c>
      <c r="H286" s="517">
        <f t="shared" si="37"/>
        <v>182</v>
      </c>
      <c r="I286" s="517">
        <f t="shared" si="38"/>
        <v>185</v>
      </c>
      <c r="J286" s="507"/>
    </row>
    <row r="287" spans="1:10" ht="17.100000000000001" customHeight="1">
      <c r="A287" s="585"/>
      <c r="B287" s="505" t="s">
        <v>1092</v>
      </c>
      <c r="C287" s="505" t="s">
        <v>861</v>
      </c>
      <c r="D287" s="505">
        <v>103</v>
      </c>
      <c r="E287" s="518">
        <f t="shared" si="30"/>
        <v>7.9866630481138291E-4</v>
      </c>
      <c r="F287" s="517">
        <f t="shared" si="35"/>
        <v>104</v>
      </c>
      <c r="G287" s="517">
        <f t="shared" si="36"/>
        <v>106</v>
      </c>
      <c r="H287" s="517">
        <f t="shared" si="37"/>
        <v>109</v>
      </c>
      <c r="I287" s="517">
        <f t="shared" si="38"/>
        <v>111</v>
      </c>
      <c r="J287" s="507"/>
    </row>
    <row r="288" spans="1:10" ht="17.100000000000001" customHeight="1">
      <c r="A288" s="585"/>
      <c r="B288" s="505" t="s">
        <v>1092</v>
      </c>
      <c r="C288" s="505" t="s">
        <v>862</v>
      </c>
      <c r="D288" s="505">
        <v>227</v>
      </c>
      <c r="E288" s="518">
        <f t="shared" si="30"/>
        <v>1.7601674873027565E-3</v>
      </c>
      <c r="F288" s="517">
        <f t="shared" si="35"/>
        <v>230</v>
      </c>
      <c r="G288" s="517">
        <f t="shared" si="36"/>
        <v>234</v>
      </c>
      <c r="H288" s="517">
        <f t="shared" si="37"/>
        <v>240</v>
      </c>
      <c r="I288" s="517">
        <f t="shared" si="38"/>
        <v>244</v>
      </c>
      <c r="J288" s="507"/>
    </row>
    <row r="289" spans="1:10" ht="17.100000000000001" customHeight="1">
      <c r="A289" s="585"/>
      <c r="B289" s="505" t="s">
        <v>1092</v>
      </c>
      <c r="C289" s="505" t="s">
        <v>863</v>
      </c>
      <c r="D289" s="505">
        <v>162</v>
      </c>
      <c r="E289" s="518">
        <f t="shared" si="30"/>
        <v>1.2561547706742139E-3</v>
      </c>
      <c r="F289" s="517">
        <f t="shared" si="35"/>
        <v>164</v>
      </c>
      <c r="G289" s="517">
        <f t="shared" si="36"/>
        <v>167</v>
      </c>
      <c r="H289" s="517">
        <f t="shared" si="37"/>
        <v>171</v>
      </c>
      <c r="I289" s="517">
        <f t="shared" si="38"/>
        <v>174</v>
      </c>
      <c r="J289" s="507"/>
    </row>
    <row r="290" spans="1:10" ht="17.100000000000001" customHeight="1">
      <c r="A290" s="585"/>
      <c r="B290" s="505" t="s">
        <v>1092</v>
      </c>
      <c r="C290" s="505" t="s">
        <v>864</v>
      </c>
      <c r="D290" s="505">
        <v>184</v>
      </c>
      <c r="E290" s="518">
        <f t="shared" si="30"/>
        <v>1.4267436901484899E-3</v>
      </c>
      <c r="F290" s="517">
        <f t="shared" si="35"/>
        <v>186</v>
      </c>
      <c r="G290" s="517">
        <f t="shared" si="36"/>
        <v>190</v>
      </c>
      <c r="H290" s="517">
        <f t="shared" si="37"/>
        <v>194</v>
      </c>
      <c r="I290" s="517">
        <f t="shared" si="38"/>
        <v>198</v>
      </c>
      <c r="J290" s="507"/>
    </row>
    <row r="291" spans="1:10" ht="17.100000000000001" customHeight="1">
      <c r="A291" s="585"/>
      <c r="B291" s="505" t="s">
        <v>1092</v>
      </c>
      <c r="C291" s="505" t="s">
        <v>865</v>
      </c>
      <c r="D291" s="505">
        <v>144</v>
      </c>
      <c r="E291" s="518">
        <f t="shared" si="30"/>
        <v>1.116582018377079E-3</v>
      </c>
      <c r="F291" s="517">
        <f t="shared" si="35"/>
        <v>146</v>
      </c>
      <c r="G291" s="517">
        <f t="shared" si="36"/>
        <v>149</v>
      </c>
      <c r="H291" s="517">
        <f t="shared" si="37"/>
        <v>152</v>
      </c>
      <c r="I291" s="517">
        <f t="shared" si="38"/>
        <v>155</v>
      </c>
      <c r="J291" s="507"/>
    </row>
    <row r="292" spans="1:10" ht="17.100000000000001" customHeight="1">
      <c r="A292" s="585"/>
      <c r="B292" s="505" t="s">
        <v>1092</v>
      </c>
      <c r="C292" s="505" t="s">
        <v>866</v>
      </c>
      <c r="D292" s="505">
        <v>143</v>
      </c>
      <c r="E292" s="518">
        <f t="shared" si="30"/>
        <v>1.1088279765827937E-3</v>
      </c>
      <c r="F292" s="517">
        <f t="shared" si="35"/>
        <v>145</v>
      </c>
      <c r="G292" s="517">
        <f t="shared" si="36"/>
        <v>148</v>
      </c>
      <c r="H292" s="517">
        <f t="shared" si="37"/>
        <v>151</v>
      </c>
      <c r="I292" s="517">
        <f t="shared" si="38"/>
        <v>154</v>
      </c>
      <c r="J292" s="507"/>
    </row>
    <row r="293" spans="1:10" ht="17.100000000000001" customHeight="1">
      <c r="A293" s="585"/>
      <c r="B293" s="505" t="s">
        <v>1092</v>
      </c>
      <c r="C293" s="505" t="s">
        <v>867</v>
      </c>
      <c r="D293" s="505">
        <v>227</v>
      </c>
      <c r="E293" s="518">
        <f t="shared" si="30"/>
        <v>1.7601674873027565E-3</v>
      </c>
      <c r="F293" s="517">
        <f t="shared" si="35"/>
        <v>230</v>
      </c>
      <c r="G293" s="517">
        <f t="shared" si="36"/>
        <v>234</v>
      </c>
      <c r="H293" s="517">
        <f t="shared" si="37"/>
        <v>240</v>
      </c>
      <c r="I293" s="517">
        <f t="shared" si="38"/>
        <v>244</v>
      </c>
      <c r="J293" s="507"/>
    </row>
    <row r="294" spans="1:10" ht="17.100000000000001" customHeight="1">
      <c r="A294" s="585"/>
      <c r="B294" s="505" t="s">
        <v>1092</v>
      </c>
      <c r="C294" s="505" t="s">
        <v>868</v>
      </c>
      <c r="D294" s="505">
        <v>167</v>
      </c>
      <c r="E294" s="518">
        <f t="shared" si="30"/>
        <v>1.2949249796456402E-3</v>
      </c>
      <c r="F294" s="517">
        <f t="shared" si="35"/>
        <v>169</v>
      </c>
      <c r="G294" s="517">
        <f t="shared" si="36"/>
        <v>172</v>
      </c>
      <c r="H294" s="517">
        <f t="shared" si="37"/>
        <v>176</v>
      </c>
      <c r="I294" s="517">
        <f t="shared" si="38"/>
        <v>179</v>
      </c>
      <c r="J294" s="507"/>
    </row>
    <row r="295" spans="1:10" ht="17.100000000000001" customHeight="1">
      <c r="A295" s="585"/>
      <c r="B295" s="505" t="s">
        <v>1092</v>
      </c>
      <c r="C295" s="505" t="s">
        <v>869</v>
      </c>
      <c r="D295" s="505">
        <v>128</v>
      </c>
      <c r="E295" s="518">
        <f t="shared" si="30"/>
        <v>9.9251734966851468E-4</v>
      </c>
      <c r="F295" s="517">
        <f t="shared" si="35"/>
        <v>129</v>
      </c>
      <c r="G295" s="517">
        <f t="shared" si="36"/>
        <v>132</v>
      </c>
      <c r="H295" s="517">
        <f t="shared" si="37"/>
        <v>135</v>
      </c>
      <c r="I295" s="517">
        <f t="shared" si="38"/>
        <v>138</v>
      </c>
      <c r="J295" s="507"/>
    </row>
    <row r="296" spans="1:10" ht="17.100000000000001" customHeight="1">
      <c r="A296" s="585"/>
      <c r="B296" s="505" t="s">
        <v>1092</v>
      </c>
      <c r="C296" s="505" t="s">
        <v>1154</v>
      </c>
      <c r="D296" s="505">
        <v>227</v>
      </c>
      <c r="E296" s="518">
        <f t="shared" si="30"/>
        <v>1.7601674873027565E-3</v>
      </c>
      <c r="F296" s="517">
        <f t="shared" si="35"/>
        <v>230</v>
      </c>
      <c r="G296" s="517">
        <f t="shared" si="36"/>
        <v>234</v>
      </c>
      <c r="H296" s="517">
        <f t="shared" si="37"/>
        <v>240</v>
      </c>
      <c r="I296" s="517">
        <f t="shared" si="38"/>
        <v>244</v>
      </c>
      <c r="J296" s="507"/>
    </row>
    <row r="297" spans="1:10" ht="17.100000000000001" customHeight="1">
      <c r="A297" s="585"/>
      <c r="B297" s="505" t="s">
        <v>1092</v>
      </c>
      <c r="C297" s="505" t="s">
        <v>1155</v>
      </c>
      <c r="D297" s="505">
        <v>87</v>
      </c>
      <c r="E297" s="518">
        <f t="shared" si="30"/>
        <v>6.7460163610281857E-4</v>
      </c>
      <c r="F297" s="517">
        <f t="shared" si="35"/>
        <v>88</v>
      </c>
      <c r="G297" s="517">
        <f t="shared" si="36"/>
        <v>90</v>
      </c>
      <c r="H297" s="517">
        <f t="shared" si="37"/>
        <v>92</v>
      </c>
      <c r="I297" s="517">
        <f t="shared" si="38"/>
        <v>93</v>
      </c>
      <c r="J297" s="507"/>
    </row>
    <row r="298" spans="1:10" ht="17.100000000000001" customHeight="1">
      <c r="A298" s="585"/>
      <c r="B298" s="505" t="s">
        <v>1092</v>
      </c>
      <c r="C298" s="505" t="s">
        <v>870</v>
      </c>
      <c r="D298" s="505">
        <v>101</v>
      </c>
      <c r="E298" s="518">
        <f t="shared" si="30"/>
        <v>7.8315822122281237E-4</v>
      </c>
      <c r="F298" s="517">
        <f t="shared" si="35"/>
        <v>102</v>
      </c>
      <c r="G298" s="517">
        <f t="shared" si="36"/>
        <v>104</v>
      </c>
      <c r="H298" s="517">
        <f t="shared" si="37"/>
        <v>107</v>
      </c>
      <c r="I298" s="517">
        <f t="shared" si="38"/>
        <v>109</v>
      </c>
      <c r="J298" s="507"/>
    </row>
    <row r="299" spans="1:10" ht="17.100000000000001" customHeight="1">
      <c r="A299" s="585"/>
      <c r="B299" s="505" t="s">
        <v>1092</v>
      </c>
      <c r="C299" s="505" t="s">
        <v>871</v>
      </c>
      <c r="D299" s="505">
        <v>138</v>
      </c>
      <c r="E299" s="518">
        <f t="shared" si="30"/>
        <v>1.0700577676113674E-3</v>
      </c>
      <c r="F299" s="517">
        <f t="shared" si="35"/>
        <v>140</v>
      </c>
      <c r="G299" s="517">
        <f t="shared" si="36"/>
        <v>143</v>
      </c>
      <c r="H299" s="517">
        <f t="shared" si="37"/>
        <v>146</v>
      </c>
      <c r="I299" s="517">
        <f t="shared" si="38"/>
        <v>148</v>
      </c>
      <c r="J299" s="507"/>
    </row>
    <row r="300" spans="1:10" ht="17.100000000000001" customHeight="1">
      <c r="A300" s="585"/>
      <c r="B300" s="505" t="s">
        <v>1092</v>
      </c>
      <c r="C300" s="505" t="s">
        <v>872</v>
      </c>
      <c r="D300" s="505">
        <v>90</v>
      </c>
      <c r="E300" s="518">
        <f t="shared" si="30"/>
        <v>6.9786376148567439E-4</v>
      </c>
      <c r="F300" s="517">
        <f t="shared" si="35"/>
        <v>91</v>
      </c>
      <c r="G300" s="517">
        <f t="shared" si="36"/>
        <v>93</v>
      </c>
      <c r="H300" s="517">
        <f t="shared" si="37"/>
        <v>95</v>
      </c>
      <c r="I300" s="517">
        <f t="shared" si="38"/>
        <v>97</v>
      </c>
      <c r="J300" s="507"/>
    </row>
    <row r="301" spans="1:10" ht="17.100000000000001" customHeight="1">
      <c r="A301" s="585"/>
      <c r="B301" s="505" t="s">
        <v>1092</v>
      </c>
      <c r="C301" s="505" t="s">
        <v>873</v>
      </c>
      <c r="D301" s="505">
        <v>117</v>
      </c>
      <c r="E301" s="518">
        <f t="shared" ref="E301:E364" si="39">D301/$D$3</f>
        <v>9.072228899313767E-4</v>
      </c>
      <c r="F301" s="517">
        <f t="shared" si="35"/>
        <v>118</v>
      </c>
      <c r="G301" s="517">
        <f t="shared" si="36"/>
        <v>121</v>
      </c>
      <c r="H301" s="517">
        <f t="shared" si="37"/>
        <v>124</v>
      </c>
      <c r="I301" s="517">
        <f t="shared" si="38"/>
        <v>126</v>
      </c>
      <c r="J301" s="507"/>
    </row>
    <row r="302" spans="1:10" ht="17.100000000000001" customHeight="1">
      <c r="A302" s="585"/>
      <c r="B302" s="505" t="s">
        <v>1092</v>
      </c>
      <c r="C302" s="505" t="s">
        <v>874</v>
      </c>
      <c r="D302" s="505">
        <v>254</v>
      </c>
      <c r="E302" s="518">
        <f t="shared" si="39"/>
        <v>1.9695266157484588E-3</v>
      </c>
      <c r="F302" s="517">
        <f t="shared" si="35"/>
        <v>257</v>
      </c>
      <c r="G302" s="517">
        <f t="shared" si="36"/>
        <v>262</v>
      </c>
      <c r="H302" s="517">
        <f t="shared" si="37"/>
        <v>268</v>
      </c>
      <c r="I302" s="517">
        <f t="shared" si="38"/>
        <v>273</v>
      </c>
      <c r="J302" s="507"/>
    </row>
    <row r="303" spans="1:10" ht="17.100000000000001" customHeight="1">
      <c r="A303" s="585"/>
      <c r="B303" s="505" t="s">
        <v>1092</v>
      </c>
      <c r="C303" s="505" t="s">
        <v>875</v>
      </c>
      <c r="D303" s="505">
        <v>117</v>
      </c>
      <c r="E303" s="518">
        <f t="shared" si="39"/>
        <v>9.072228899313767E-4</v>
      </c>
      <c r="F303" s="517">
        <f t="shared" si="35"/>
        <v>118</v>
      </c>
      <c r="G303" s="517">
        <f t="shared" si="36"/>
        <v>121</v>
      </c>
      <c r="H303" s="517">
        <f t="shared" si="37"/>
        <v>124</v>
      </c>
      <c r="I303" s="517">
        <f t="shared" si="38"/>
        <v>126</v>
      </c>
      <c r="J303" s="507"/>
    </row>
    <row r="304" spans="1:10" ht="17.100000000000001" customHeight="1">
      <c r="A304" s="585"/>
      <c r="B304" s="505" t="s">
        <v>1092</v>
      </c>
      <c r="C304" s="505" t="s">
        <v>876</v>
      </c>
      <c r="D304" s="505">
        <v>89</v>
      </c>
      <c r="E304" s="518">
        <f t="shared" si="39"/>
        <v>6.9010971969138911E-4</v>
      </c>
      <c r="F304" s="517">
        <f t="shared" si="35"/>
        <v>90</v>
      </c>
      <c r="G304" s="517">
        <f t="shared" si="36"/>
        <v>92</v>
      </c>
      <c r="H304" s="517">
        <f t="shared" si="37"/>
        <v>94</v>
      </c>
      <c r="I304" s="517">
        <f t="shared" si="38"/>
        <v>96</v>
      </c>
      <c r="J304" s="507"/>
    </row>
    <row r="305" spans="1:10" ht="17.100000000000001" customHeight="1">
      <c r="A305" s="585"/>
      <c r="B305" s="505" t="s">
        <v>1092</v>
      </c>
      <c r="C305" s="505" t="s">
        <v>877</v>
      </c>
      <c r="D305" s="505">
        <v>179</v>
      </c>
      <c r="E305" s="518">
        <f t="shared" si="39"/>
        <v>1.3879734811770635E-3</v>
      </c>
      <c r="F305" s="517">
        <f t="shared" si="35"/>
        <v>181</v>
      </c>
      <c r="G305" s="517">
        <f t="shared" si="36"/>
        <v>185</v>
      </c>
      <c r="H305" s="517">
        <f t="shared" si="37"/>
        <v>189</v>
      </c>
      <c r="I305" s="517">
        <f t="shared" si="38"/>
        <v>192</v>
      </c>
      <c r="J305" s="507"/>
    </row>
    <row r="306" spans="1:10" ht="17.100000000000001" customHeight="1">
      <c r="A306" s="585"/>
      <c r="B306" s="505" t="s">
        <v>1092</v>
      </c>
      <c r="C306" s="505" t="s">
        <v>878</v>
      </c>
      <c r="D306" s="505">
        <v>148</v>
      </c>
      <c r="E306" s="518">
        <f t="shared" si="39"/>
        <v>1.1475981855542201E-3</v>
      </c>
      <c r="F306" s="517">
        <f t="shared" si="35"/>
        <v>150</v>
      </c>
      <c r="G306" s="517">
        <f t="shared" si="36"/>
        <v>153</v>
      </c>
      <c r="H306" s="517">
        <f t="shared" si="37"/>
        <v>156</v>
      </c>
      <c r="I306" s="517">
        <f t="shared" si="38"/>
        <v>159</v>
      </c>
      <c r="J306" s="507"/>
    </row>
    <row r="307" spans="1:10" ht="17.100000000000001" customHeight="1">
      <c r="A307" s="585"/>
      <c r="B307" s="505" t="s">
        <v>1092</v>
      </c>
      <c r="C307" s="505" t="s">
        <v>879</v>
      </c>
      <c r="D307" s="505">
        <v>191</v>
      </c>
      <c r="E307" s="518">
        <f t="shared" si="39"/>
        <v>1.4810219827084868E-3</v>
      </c>
      <c r="F307" s="517">
        <f t="shared" si="35"/>
        <v>193</v>
      </c>
      <c r="G307" s="517">
        <f t="shared" si="36"/>
        <v>197</v>
      </c>
      <c r="H307" s="517">
        <f t="shared" si="37"/>
        <v>202</v>
      </c>
      <c r="I307" s="517">
        <f t="shared" si="38"/>
        <v>205</v>
      </c>
      <c r="J307" s="507"/>
    </row>
    <row r="308" spans="1:10" ht="17.100000000000001" customHeight="1">
      <c r="A308" s="585"/>
      <c r="B308" s="505" t="s">
        <v>1092</v>
      </c>
      <c r="C308" s="505" t="s">
        <v>880</v>
      </c>
      <c r="D308" s="505">
        <v>132</v>
      </c>
      <c r="E308" s="518">
        <f t="shared" si="39"/>
        <v>1.0235335168456558E-3</v>
      </c>
      <c r="F308" s="517">
        <f t="shared" si="35"/>
        <v>134</v>
      </c>
      <c r="G308" s="517">
        <f t="shared" si="36"/>
        <v>136</v>
      </c>
      <c r="H308" s="517">
        <f t="shared" si="37"/>
        <v>139</v>
      </c>
      <c r="I308" s="517">
        <f t="shared" si="38"/>
        <v>142</v>
      </c>
      <c r="J308" s="507"/>
    </row>
    <row r="309" spans="1:10" ht="17.100000000000001" customHeight="1">
      <c r="A309" s="585"/>
      <c r="B309" s="505" t="s">
        <v>1092</v>
      </c>
      <c r="C309" s="505" t="s">
        <v>881</v>
      </c>
      <c r="D309" s="505">
        <v>72</v>
      </c>
      <c r="E309" s="518">
        <f t="shared" si="39"/>
        <v>5.5829100918853951E-4</v>
      </c>
      <c r="F309" s="517">
        <f t="shared" si="35"/>
        <v>73</v>
      </c>
      <c r="G309" s="517">
        <f t="shared" si="36"/>
        <v>74</v>
      </c>
      <c r="H309" s="517">
        <f t="shared" si="37"/>
        <v>76</v>
      </c>
      <c r="I309" s="517">
        <f t="shared" si="38"/>
        <v>77</v>
      </c>
      <c r="J309" s="507"/>
    </row>
    <row r="310" spans="1:10" ht="17.100000000000001" customHeight="1">
      <c r="A310" s="585"/>
      <c r="B310" s="505" t="s">
        <v>1092</v>
      </c>
      <c r="C310" s="505" t="s">
        <v>882</v>
      </c>
      <c r="D310" s="505">
        <v>280</v>
      </c>
      <c r="E310" s="518">
        <f t="shared" si="39"/>
        <v>2.1711317023998759E-3</v>
      </c>
      <c r="F310" s="517">
        <f t="shared" si="35"/>
        <v>283</v>
      </c>
      <c r="G310" s="517">
        <f t="shared" si="36"/>
        <v>289</v>
      </c>
      <c r="H310" s="517">
        <f t="shared" si="37"/>
        <v>296</v>
      </c>
      <c r="I310" s="517">
        <f t="shared" si="38"/>
        <v>301</v>
      </c>
      <c r="J310" s="507"/>
    </row>
    <row r="311" spans="1:10" ht="17.100000000000001" customHeight="1">
      <c r="A311" s="585"/>
      <c r="B311" s="505" t="s">
        <v>1092</v>
      </c>
      <c r="C311" s="505" t="s">
        <v>883</v>
      </c>
      <c r="D311" s="505">
        <v>328</v>
      </c>
      <c r="E311" s="518">
        <f t="shared" si="39"/>
        <v>2.5433257085255689E-3</v>
      </c>
      <c r="F311" s="517">
        <f t="shared" si="35"/>
        <v>332</v>
      </c>
      <c r="G311" s="517">
        <f t="shared" si="36"/>
        <v>339</v>
      </c>
      <c r="H311" s="517">
        <f t="shared" si="37"/>
        <v>346</v>
      </c>
      <c r="I311" s="517">
        <f t="shared" si="38"/>
        <v>352</v>
      </c>
      <c r="J311" s="507"/>
    </row>
    <row r="312" spans="1:10" ht="17.100000000000001" customHeight="1">
      <c r="A312" s="585"/>
      <c r="B312" s="505" t="s">
        <v>1092</v>
      </c>
      <c r="C312" s="505" t="s">
        <v>884</v>
      </c>
      <c r="D312" s="505">
        <v>94</v>
      </c>
      <c r="E312" s="518">
        <f t="shared" si="39"/>
        <v>7.2887992866281547E-4</v>
      </c>
      <c r="F312" s="517">
        <f t="shared" si="35"/>
        <v>95</v>
      </c>
      <c r="G312" s="517">
        <f t="shared" si="36"/>
        <v>97</v>
      </c>
      <c r="H312" s="517">
        <f t="shared" si="37"/>
        <v>99</v>
      </c>
      <c r="I312" s="517">
        <f t="shared" si="38"/>
        <v>101</v>
      </c>
      <c r="J312" s="507"/>
    </row>
    <row r="313" spans="1:10" ht="17.100000000000001" customHeight="1">
      <c r="A313" s="585"/>
      <c r="B313" s="505" t="s">
        <v>1092</v>
      </c>
      <c r="C313" s="505" t="s">
        <v>885</v>
      </c>
      <c r="D313" s="505">
        <v>177</v>
      </c>
      <c r="E313" s="518">
        <f t="shared" si="39"/>
        <v>1.372465397588493E-3</v>
      </c>
      <c r="F313" s="517">
        <f t="shared" si="35"/>
        <v>179</v>
      </c>
      <c r="G313" s="517">
        <f t="shared" si="36"/>
        <v>183</v>
      </c>
      <c r="H313" s="517">
        <f t="shared" si="37"/>
        <v>187</v>
      </c>
      <c r="I313" s="517">
        <f t="shared" si="38"/>
        <v>190</v>
      </c>
      <c r="J313" s="507"/>
    </row>
    <row r="314" spans="1:10" ht="17.100000000000001" customHeight="1">
      <c r="A314" s="585"/>
      <c r="B314" s="505" t="s">
        <v>1092</v>
      </c>
      <c r="C314" s="505" t="s">
        <v>886</v>
      </c>
      <c r="D314" s="505">
        <v>87</v>
      </c>
      <c r="E314" s="518">
        <f t="shared" si="39"/>
        <v>6.7460163610281857E-4</v>
      </c>
      <c r="F314" s="517">
        <f t="shared" si="35"/>
        <v>88</v>
      </c>
      <c r="G314" s="517">
        <f t="shared" si="36"/>
        <v>90</v>
      </c>
      <c r="H314" s="517">
        <f t="shared" si="37"/>
        <v>92</v>
      </c>
      <c r="I314" s="517">
        <f t="shared" si="38"/>
        <v>93</v>
      </c>
      <c r="J314" s="507"/>
    </row>
    <row r="315" spans="1:10" ht="17.100000000000001" customHeight="1">
      <c r="A315" s="585"/>
      <c r="B315" s="505" t="s">
        <v>1092</v>
      </c>
      <c r="C315" s="505" t="s">
        <v>887</v>
      </c>
      <c r="D315" s="505">
        <v>143</v>
      </c>
      <c r="E315" s="518">
        <f t="shared" si="39"/>
        <v>1.1088279765827937E-3</v>
      </c>
      <c r="F315" s="517">
        <f t="shared" si="35"/>
        <v>145</v>
      </c>
      <c r="G315" s="517">
        <f t="shared" si="36"/>
        <v>148</v>
      </c>
      <c r="H315" s="517">
        <f t="shared" si="37"/>
        <v>151</v>
      </c>
      <c r="I315" s="517">
        <f t="shared" si="38"/>
        <v>154</v>
      </c>
      <c r="J315" s="507"/>
    </row>
    <row r="316" spans="1:10" ht="17.100000000000001" customHeight="1">
      <c r="A316" s="585"/>
      <c r="B316" s="505" t="s">
        <v>1092</v>
      </c>
      <c r="C316" s="505" t="s">
        <v>888</v>
      </c>
      <c r="D316" s="505">
        <v>126</v>
      </c>
      <c r="E316" s="518">
        <f t="shared" si="39"/>
        <v>9.7700926607994414E-4</v>
      </c>
      <c r="F316" s="517">
        <f t="shared" ref="F316:F342" si="40">ROUND($F$3*E316,0)</f>
        <v>127</v>
      </c>
      <c r="G316" s="517">
        <f t="shared" ref="G316:G342" si="41">ROUND($G$3*E316,0)</f>
        <v>130</v>
      </c>
      <c r="H316" s="517">
        <f t="shared" ref="H316:H342" si="42">ROUND($H$3*E316,0)</f>
        <v>133</v>
      </c>
      <c r="I316" s="517">
        <f t="shared" ref="I316:I342" si="43">ROUND($I$3*E316,0)</f>
        <v>135</v>
      </c>
      <c r="J316" s="507"/>
    </row>
    <row r="317" spans="1:10" ht="17.100000000000001" customHeight="1">
      <c r="A317" s="585"/>
      <c r="B317" s="505" t="s">
        <v>1092</v>
      </c>
      <c r="C317" s="505" t="s">
        <v>889</v>
      </c>
      <c r="D317" s="505">
        <v>139</v>
      </c>
      <c r="E317" s="518">
        <f t="shared" si="39"/>
        <v>1.0778118094056527E-3</v>
      </c>
      <c r="F317" s="517">
        <f t="shared" si="40"/>
        <v>141</v>
      </c>
      <c r="G317" s="517">
        <f t="shared" si="41"/>
        <v>144</v>
      </c>
      <c r="H317" s="517">
        <f t="shared" si="42"/>
        <v>147</v>
      </c>
      <c r="I317" s="517">
        <f t="shared" si="43"/>
        <v>149</v>
      </c>
      <c r="J317" s="507"/>
    </row>
    <row r="318" spans="1:10" ht="17.100000000000001" customHeight="1">
      <c r="A318" s="585"/>
      <c r="B318" s="505" t="s">
        <v>1092</v>
      </c>
      <c r="C318" s="505" t="s">
        <v>890</v>
      </c>
      <c r="D318" s="505">
        <v>130</v>
      </c>
      <c r="E318" s="518">
        <f t="shared" si="39"/>
        <v>1.0080254332570852E-3</v>
      </c>
      <c r="F318" s="517">
        <f t="shared" si="40"/>
        <v>132</v>
      </c>
      <c r="G318" s="517">
        <f t="shared" si="41"/>
        <v>134</v>
      </c>
      <c r="H318" s="517">
        <f t="shared" si="42"/>
        <v>137</v>
      </c>
      <c r="I318" s="517">
        <f t="shared" si="43"/>
        <v>140</v>
      </c>
      <c r="J318" s="507"/>
    </row>
    <row r="319" spans="1:10" ht="17.100000000000001" customHeight="1">
      <c r="A319" s="585"/>
      <c r="B319" s="505" t="s">
        <v>1156</v>
      </c>
      <c r="C319" s="505" t="s">
        <v>891</v>
      </c>
      <c r="D319" s="505">
        <v>238</v>
      </c>
      <c r="E319" s="518">
        <f t="shared" si="39"/>
        <v>1.8454619470398945E-3</v>
      </c>
      <c r="F319" s="517">
        <f t="shared" si="40"/>
        <v>241</v>
      </c>
      <c r="G319" s="517">
        <f t="shared" si="41"/>
        <v>246</v>
      </c>
      <c r="H319" s="517">
        <f t="shared" si="42"/>
        <v>251</v>
      </c>
      <c r="I319" s="517">
        <f t="shared" si="43"/>
        <v>256</v>
      </c>
      <c r="J319" s="507"/>
    </row>
    <row r="320" spans="1:10" ht="17.100000000000001" customHeight="1">
      <c r="A320" s="585"/>
      <c r="B320" s="505" t="s">
        <v>1091</v>
      </c>
      <c r="C320" s="505" t="s">
        <v>892</v>
      </c>
      <c r="D320" s="505">
        <v>60</v>
      </c>
      <c r="E320" s="518">
        <f t="shared" si="39"/>
        <v>4.6524250765711626E-4</v>
      </c>
      <c r="F320" s="517">
        <f t="shared" si="40"/>
        <v>61</v>
      </c>
      <c r="G320" s="517">
        <f t="shared" si="41"/>
        <v>62</v>
      </c>
      <c r="H320" s="517">
        <f t="shared" si="42"/>
        <v>63</v>
      </c>
      <c r="I320" s="517">
        <f t="shared" si="43"/>
        <v>64</v>
      </c>
      <c r="J320" s="507"/>
    </row>
    <row r="321" spans="1:10" ht="17.100000000000001" customHeight="1">
      <c r="A321" s="585"/>
      <c r="B321" s="505" t="s">
        <v>1091</v>
      </c>
      <c r="C321" s="505" t="s">
        <v>893</v>
      </c>
      <c r="D321" s="505">
        <v>120</v>
      </c>
      <c r="E321" s="518">
        <f t="shared" si="39"/>
        <v>9.3048501531423251E-4</v>
      </c>
      <c r="F321" s="517">
        <f t="shared" si="40"/>
        <v>121</v>
      </c>
      <c r="G321" s="517">
        <f t="shared" si="41"/>
        <v>124</v>
      </c>
      <c r="H321" s="517">
        <f t="shared" si="42"/>
        <v>127</v>
      </c>
      <c r="I321" s="517">
        <f t="shared" si="43"/>
        <v>129</v>
      </c>
      <c r="J321" s="507"/>
    </row>
    <row r="322" spans="1:10" ht="17.100000000000001" customHeight="1">
      <c r="A322" s="585"/>
      <c r="B322" s="505" t="s">
        <v>1091</v>
      </c>
      <c r="C322" s="505" t="s">
        <v>894</v>
      </c>
      <c r="D322" s="505">
        <v>97</v>
      </c>
      <c r="E322" s="518">
        <f t="shared" si="39"/>
        <v>7.5214205404567128E-4</v>
      </c>
      <c r="F322" s="517">
        <f t="shared" si="40"/>
        <v>98</v>
      </c>
      <c r="G322" s="517">
        <f t="shared" si="41"/>
        <v>100</v>
      </c>
      <c r="H322" s="517">
        <f t="shared" si="42"/>
        <v>102</v>
      </c>
      <c r="I322" s="517">
        <f t="shared" si="43"/>
        <v>104</v>
      </c>
      <c r="J322" s="507"/>
    </row>
    <row r="323" spans="1:10" ht="17.100000000000001" customHeight="1">
      <c r="A323" s="585"/>
      <c r="B323" s="505" t="s">
        <v>1091</v>
      </c>
      <c r="C323" s="505" t="s">
        <v>895</v>
      </c>
      <c r="D323" s="505">
        <v>74</v>
      </c>
      <c r="E323" s="518">
        <f t="shared" si="39"/>
        <v>5.7379909277711005E-4</v>
      </c>
      <c r="F323" s="517">
        <f t="shared" si="40"/>
        <v>75</v>
      </c>
      <c r="G323" s="517">
        <f t="shared" si="41"/>
        <v>76</v>
      </c>
      <c r="H323" s="517">
        <f t="shared" si="42"/>
        <v>78</v>
      </c>
      <c r="I323" s="517">
        <f t="shared" si="43"/>
        <v>80</v>
      </c>
      <c r="J323" s="507"/>
    </row>
    <row r="324" spans="1:10" ht="17.100000000000001" customHeight="1">
      <c r="A324" s="585"/>
      <c r="B324" s="505" t="s">
        <v>1091</v>
      </c>
      <c r="C324" s="505" t="s">
        <v>896</v>
      </c>
      <c r="D324" s="505">
        <v>61</v>
      </c>
      <c r="E324" s="518">
        <f t="shared" si="39"/>
        <v>4.7299654945140153E-4</v>
      </c>
      <c r="F324" s="517">
        <f t="shared" si="40"/>
        <v>62</v>
      </c>
      <c r="G324" s="517">
        <f t="shared" si="41"/>
        <v>63</v>
      </c>
      <c r="H324" s="517">
        <f t="shared" si="42"/>
        <v>64</v>
      </c>
      <c r="I324" s="517">
        <f t="shared" si="43"/>
        <v>66</v>
      </c>
      <c r="J324" s="507"/>
    </row>
    <row r="325" spans="1:10" ht="17.100000000000001" customHeight="1">
      <c r="A325" s="585"/>
      <c r="B325" s="505" t="s">
        <v>1091</v>
      </c>
      <c r="C325" s="505" t="s">
        <v>897</v>
      </c>
      <c r="D325" s="505">
        <v>268</v>
      </c>
      <c r="E325" s="518">
        <f t="shared" si="39"/>
        <v>2.0780832008684526E-3</v>
      </c>
      <c r="F325" s="517">
        <f t="shared" si="40"/>
        <v>271</v>
      </c>
      <c r="G325" s="517">
        <f t="shared" si="41"/>
        <v>277</v>
      </c>
      <c r="H325" s="517">
        <f t="shared" si="42"/>
        <v>283</v>
      </c>
      <c r="I325" s="517">
        <f t="shared" si="43"/>
        <v>288</v>
      </c>
      <c r="J325" s="507"/>
    </row>
    <row r="326" spans="1:10" ht="17.100000000000001" customHeight="1">
      <c r="A326" s="585"/>
      <c r="B326" s="505" t="s">
        <v>1091</v>
      </c>
      <c r="C326" s="505" t="s">
        <v>898</v>
      </c>
      <c r="D326" s="505">
        <v>113</v>
      </c>
      <c r="E326" s="518">
        <f t="shared" si="39"/>
        <v>8.7620672275423562E-4</v>
      </c>
      <c r="F326" s="517">
        <f t="shared" si="40"/>
        <v>114</v>
      </c>
      <c r="G326" s="517">
        <f t="shared" si="41"/>
        <v>117</v>
      </c>
      <c r="H326" s="517">
        <f t="shared" si="42"/>
        <v>119</v>
      </c>
      <c r="I326" s="517">
        <f t="shared" si="43"/>
        <v>121</v>
      </c>
      <c r="J326" s="507"/>
    </row>
    <row r="327" spans="1:10" ht="17.100000000000001" customHeight="1">
      <c r="A327" s="585"/>
      <c r="B327" s="505" t="s">
        <v>1091</v>
      </c>
      <c r="C327" s="505" t="s">
        <v>899</v>
      </c>
      <c r="D327" s="505">
        <v>203</v>
      </c>
      <c r="E327" s="518">
        <f t="shared" si="39"/>
        <v>1.57407048423991E-3</v>
      </c>
      <c r="F327" s="517">
        <f t="shared" si="40"/>
        <v>205</v>
      </c>
      <c r="G327" s="517">
        <f t="shared" si="41"/>
        <v>210</v>
      </c>
      <c r="H327" s="517">
        <f t="shared" si="42"/>
        <v>214</v>
      </c>
      <c r="I327" s="517">
        <f t="shared" si="43"/>
        <v>218</v>
      </c>
      <c r="J327" s="507"/>
    </row>
    <row r="328" spans="1:10" ht="17.100000000000001" customHeight="1">
      <c r="A328" s="585"/>
      <c r="B328" s="505" t="s">
        <v>1091</v>
      </c>
      <c r="C328" s="505" t="s">
        <v>900</v>
      </c>
      <c r="D328" s="505">
        <v>131</v>
      </c>
      <c r="E328" s="518">
        <f t="shared" si="39"/>
        <v>1.0157794750513705E-3</v>
      </c>
      <c r="F328" s="517">
        <f t="shared" si="40"/>
        <v>133</v>
      </c>
      <c r="G328" s="517">
        <f t="shared" si="41"/>
        <v>135</v>
      </c>
      <c r="H328" s="517">
        <f t="shared" si="42"/>
        <v>138</v>
      </c>
      <c r="I328" s="517">
        <f t="shared" si="43"/>
        <v>141</v>
      </c>
      <c r="J328" s="507"/>
    </row>
    <row r="329" spans="1:10" ht="17.100000000000001" customHeight="1">
      <c r="A329" s="585"/>
      <c r="B329" s="505" t="s">
        <v>1091</v>
      </c>
      <c r="C329" s="505" t="s">
        <v>901</v>
      </c>
      <c r="D329" s="505">
        <v>64</v>
      </c>
      <c r="E329" s="518">
        <f t="shared" si="39"/>
        <v>4.9625867483425734E-4</v>
      </c>
      <c r="F329" s="517">
        <f t="shared" si="40"/>
        <v>65</v>
      </c>
      <c r="G329" s="517">
        <f t="shared" si="41"/>
        <v>66</v>
      </c>
      <c r="H329" s="517">
        <f t="shared" si="42"/>
        <v>68</v>
      </c>
      <c r="I329" s="517">
        <f t="shared" si="43"/>
        <v>69</v>
      </c>
      <c r="J329" s="507"/>
    </row>
    <row r="330" spans="1:10" ht="17.100000000000001" customHeight="1">
      <c r="A330" s="585"/>
      <c r="B330" s="505" t="s">
        <v>1091</v>
      </c>
      <c r="C330" s="505" t="s">
        <v>902</v>
      </c>
      <c r="D330" s="505">
        <v>180</v>
      </c>
      <c r="E330" s="518">
        <f t="shared" si="39"/>
        <v>1.3957275229713488E-3</v>
      </c>
      <c r="F330" s="517">
        <f t="shared" si="40"/>
        <v>182</v>
      </c>
      <c r="G330" s="517">
        <f t="shared" si="41"/>
        <v>186</v>
      </c>
      <c r="H330" s="517">
        <f t="shared" si="42"/>
        <v>190</v>
      </c>
      <c r="I330" s="517">
        <f t="shared" si="43"/>
        <v>193</v>
      </c>
      <c r="J330" s="507"/>
    </row>
    <row r="331" spans="1:10" ht="17.100000000000001" customHeight="1">
      <c r="A331" s="585"/>
      <c r="B331" s="505" t="s">
        <v>1091</v>
      </c>
      <c r="C331" s="505" t="s">
        <v>903</v>
      </c>
      <c r="D331" s="505">
        <v>123</v>
      </c>
      <c r="E331" s="518">
        <f t="shared" si="39"/>
        <v>9.5374714069708833E-4</v>
      </c>
      <c r="F331" s="517">
        <f t="shared" si="40"/>
        <v>124</v>
      </c>
      <c r="G331" s="517">
        <f t="shared" si="41"/>
        <v>127</v>
      </c>
      <c r="H331" s="517">
        <f t="shared" si="42"/>
        <v>130</v>
      </c>
      <c r="I331" s="517">
        <f t="shared" si="43"/>
        <v>132</v>
      </c>
      <c r="J331" s="507"/>
    </row>
    <row r="332" spans="1:10" ht="17.100000000000001" customHeight="1">
      <c r="A332" s="585"/>
      <c r="B332" s="505" t="s">
        <v>1091</v>
      </c>
      <c r="C332" s="505" t="s">
        <v>904</v>
      </c>
      <c r="D332" s="505">
        <v>154</v>
      </c>
      <c r="E332" s="518">
        <f t="shared" si="39"/>
        <v>1.1941224363199317E-3</v>
      </c>
      <c r="F332" s="517">
        <f t="shared" si="40"/>
        <v>156</v>
      </c>
      <c r="G332" s="517">
        <f t="shared" si="41"/>
        <v>159</v>
      </c>
      <c r="H332" s="517">
        <f t="shared" si="42"/>
        <v>163</v>
      </c>
      <c r="I332" s="517">
        <f t="shared" si="43"/>
        <v>165</v>
      </c>
      <c r="J332" s="507"/>
    </row>
    <row r="333" spans="1:10" ht="17.100000000000001" customHeight="1">
      <c r="A333" s="585"/>
      <c r="B333" s="505" t="s">
        <v>1091</v>
      </c>
      <c r="C333" s="505" t="s">
        <v>905</v>
      </c>
      <c r="D333" s="505">
        <v>154</v>
      </c>
      <c r="E333" s="518">
        <f t="shared" si="39"/>
        <v>1.1941224363199317E-3</v>
      </c>
      <c r="F333" s="517">
        <f t="shared" si="40"/>
        <v>156</v>
      </c>
      <c r="G333" s="517">
        <f t="shared" si="41"/>
        <v>159</v>
      </c>
      <c r="H333" s="517">
        <f t="shared" si="42"/>
        <v>163</v>
      </c>
      <c r="I333" s="517">
        <f t="shared" si="43"/>
        <v>165</v>
      </c>
      <c r="J333" s="507"/>
    </row>
    <row r="334" spans="1:10" ht="17.100000000000001" customHeight="1">
      <c r="A334" s="585"/>
      <c r="B334" s="505" t="s">
        <v>1091</v>
      </c>
      <c r="C334" s="505" t="s">
        <v>906</v>
      </c>
      <c r="D334" s="505">
        <v>130</v>
      </c>
      <c r="E334" s="518">
        <f t="shared" si="39"/>
        <v>1.0080254332570852E-3</v>
      </c>
      <c r="F334" s="517">
        <f t="shared" si="40"/>
        <v>132</v>
      </c>
      <c r="G334" s="517">
        <f t="shared" si="41"/>
        <v>134</v>
      </c>
      <c r="H334" s="517">
        <f t="shared" si="42"/>
        <v>137</v>
      </c>
      <c r="I334" s="517">
        <f t="shared" si="43"/>
        <v>140</v>
      </c>
      <c r="J334" s="507"/>
    </row>
    <row r="335" spans="1:10" ht="17.100000000000001" customHeight="1">
      <c r="A335" s="585"/>
      <c r="B335" s="505" t="s">
        <v>1091</v>
      </c>
      <c r="C335" s="505" t="s">
        <v>907</v>
      </c>
      <c r="D335" s="505">
        <v>70</v>
      </c>
      <c r="E335" s="518">
        <f t="shared" si="39"/>
        <v>5.4278292559996897E-4</v>
      </c>
      <c r="F335" s="517">
        <f t="shared" si="40"/>
        <v>71</v>
      </c>
      <c r="G335" s="517">
        <f t="shared" si="41"/>
        <v>72</v>
      </c>
      <c r="H335" s="517">
        <f t="shared" si="42"/>
        <v>74</v>
      </c>
      <c r="I335" s="517">
        <f t="shared" si="43"/>
        <v>75</v>
      </c>
      <c r="J335" s="507"/>
    </row>
    <row r="336" spans="1:10" ht="17.100000000000001" customHeight="1">
      <c r="A336" s="585"/>
      <c r="B336" s="505" t="s">
        <v>1091</v>
      </c>
      <c r="C336" s="505" t="s">
        <v>908</v>
      </c>
      <c r="D336" s="505">
        <v>134</v>
      </c>
      <c r="E336" s="518">
        <f t="shared" si="39"/>
        <v>1.0390416004342263E-3</v>
      </c>
      <c r="F336" s="517">
        <f t="shared" si="40"/>
        <v>136</v>
      </c>
      <c r="G336" s="517">
        <f t="shared" si="41"/>
        <v>138</v>
      </c>
      <c r="H336" s="517">
        <f t="shared" si="42"/>
        <v>142</v>
      </c>
      <c r="I336" s="517">
        <f t="shared" si="43"/>
        <v>144</v>
      </c>
      <c r="J336" s="507"/>
    </row>
    <row r="337" spans="1:10" ht="17.100000000000001" customHeight="1">
      <c r="A337" s="585"/>
      <c r="B337" s="505" t="s">
        <v>1091</v>
      </c>
      <c r="C337" s="505" t="s">
        <v>1157</v>
      </c>
      <c r="D337" s="505">
        <v>56</v>
      </c>
      <c r="E337" s="518">
        <f t="shared" si="39"/>
        <v>4.3422634047997517E-4</v>
      </c>
      <c r="F337" s="517">
        <f t="shared" si="40"/>
        <v>57</v>
      </c>
      <c r="G337" s="517">
        <f t="shared" si="41"/>
        <v>58</v>
      </c>
      <c r="H337" s="517">
        <f t="shared" si="42"/>
        <v>59</v>
      </c>
      <c r="I337" s="517">
        <f t="shared" si="43"/>
        <v>60</v>
      </c>
      <c r="J337" s="507"/>
    </row>
    <row r="338" spans="1:10" ht="17.100000000000001" customHeight="1">
      <c r="A338" s="585"/>
      <c r="B338" s="505" t="s">
        <v>1091</v>
      </c>
      <c r="C338" s="505" t="s">
        <v>1158</v>
      </c>
      <c r="D338" s="505">
        <v>106</v>
      </c>
      <c r="E338" s="518">
        <f t="shared" si="39"/>
        <v>8.2192843019423872E-4</v>
      </c>
      <c r="F338" s="517">
        <f t="shared" si="40"/>
        <v>107</v>
      </c>
      <c r="G338" s="517">
        <f t="shared" si="41"/>
        <v>109</v>
      </c>
      <c r="H338" s="517">
        <f t="shared" si="42"/>
        <v>112</v>
      </c>
      <c r="I338" s="517">
        <f t="shared" si="43"/>
        <v>114</v>
      </c>
      <c r="J338" s="507"/>
    </row>
    <row r="339" spans="1:10" ht="17.100000000000001" customHeight="1">
      <c r="A339" s="585"/>
      <c r="B339" s="505" t="s">
        <v>1091</v>
      </c>
      <c r="C339" s="505" t="s">
        <v>1159</v>
      </c>
      <c r="D339" s="505">
        <v>114</v>
      </c>
      <c r="E339" s="518">
        <f t="shared" si="39"/>
        <v>8.8396076454852089E-4</v>
      </c>
      <c r="F339" s="517">
        <f t="shared" si="40"/>
        <v>115</v>
      </c>
      <c r="G339" s="517">
        <f t="shared" si="41"/>
        <v>118</v>
      </c>
      <c r="H339" s="517">
        <f t="shared" si="42"/>
        <v>120</v>
      </c>
      <c r="I339" s="517">
        <f t="shared" si="43"/>
        <v>122</v>
      </c>
      <c r="J339" s="507"/>
    </row>
    <row r="340" spans="1:10" ht="17.100000000000001" customHeight="1">
      <c r="A340" s="585"/>
      <c r="B340" s="505" t="s">
        <v>1091</v>
      </c>
      <c r="C340" s="505" t="s">
        <v>909</v>
      </c>
      <c r="D340" s="505">
        <v>88</v>
      </c>
      <c r="E340" s="518">
        <f t="shared" si="39"/>
        <v>6.8235567789710384E-4</v>
      </c>
      <c r="F340" s="517">
        <f t="shared" si="40"/>
        <v>89</v>
      </c>
      <c r="G340" s="517">
        <f t="shared" si="41"/>
        <v>91</v>
      </c>
      <c r="H340" s="517">
        <f t="shared" si="42"/>
        <v>93</v>
      </c>
      <c r="I340" s="517">
        <f t="shared" si="43"/>
        <v>95</v>
      </c>
      <c r="J340" s="507"/>
    </row>
    <row r="341" spans="1:10" ht="17.100000000000001" customHeight="1">
      <c r="A341" s="585"/>
      <c r="B341" s="505" t="s">
        <v>1091</v>
      </c>
      <c r="C341" s="505" t="s">
        <v>910</v>
      </c>
      <c r="D341" s="505">
        <v>133</v>
      </c>
      <c r="E341" s="518">
        <f t="shared" si="39"/>
        <v>1.031287558639941E-3</v>
      </c>
      <c r="F341" s="517">
        <f t="shared" si="40"/>
        <v>135</v>
      </c>
      <c r="G341" s="517">
        <f t="shared" si="41"/>
        <v>137</v>
      </c>
      <c r="H341" s="517">
        <f t="shared" si="42"/>
        <v>140</v>
      </c>
      <c r="I341" s="517">
        <f t="shared" si="43"/>
        <v>143</v>
      </c>
      <c r="J341" s="507"/>
    </row>
    <row r="342" spans="1:10" ht="17.100000000000001" customHeight="1">
      <c r="A342" s="585"/>
      <c r="B342" s="505" t="s">
        <v>1160</v>
      </c>
      <c r="C342" s="505" t="s">
        <v>911</v>
      </c>
      <c r="D342" s="505">
        <v>89</v>
      </c>
      <c r="E342" s="518">
        <f t="shared" si="39"/>
        <v>6.9010971969138911E-4</v>
      </c>
      <c r="F342" s="517">
        <f t="shared" si="40"/>
        <v>90</v>
      </c>
      <c r="G342" s="517">
        <f t="shared" si="41"/>
        <v>92</v>
      </c>
      <c r="H342" s="517">
        <f t="shared" si="42"/>
        <v>94</v>
      </c>
      <c r="I342" s="517">
        <f t="shared" si="43"/>
        <v>96</v>
      </c>
      <c r="J342" s="507"/>
    </row>
    <row r="343" spans="1:10" ht="17.100000000000001" customHeight="1">
      <c r="A343" s="585"/>
      <c r="B343" s="505" t="s">
        <v>1089</v>
      </c>
      <c r="C343" s="505" t="s">
        <v>912</v>
      </c>
      <c r="D343" s="505">
        <v>74</v>
      </c>
      <c r="E343" s="518">
        <f t="shared" si="39"/>
        <v>5.7379909277711005E-4</v>
      </c>
      <c r="F343" s="517">
        <f>ROUND($F$3*E343,0)</f>
        <v>75</v>
      </c>
      <c r="G343" s="517">
        <f>ROUND($G$3*E343,0)</f>
        <v>76</v>
      </c>
      <c r="H343" s="517">
        <f>ROUND($H$3*E343,0)</f>
        <v>78</v>
      </c>
      <c r="I343" s="517">
        <f>ROUND($I$3*E343,0)</f>
        <v>80</v>
      </c>
      <c r="J343" s="507"/>
    </row>
    <row r="344" spans="1:10" ht="17.100000000000001" customHeight="1">
      <c r="A344" s="585"/>
      <c r="B344" s="505" t="s">
        <v>1089</v>
      </c>
      <c r="C344" s="505" t="s">
        <v>913</v>
      </c>
      <c r="D344" s="505">
        <v>441</v>
      </c>
      <c r="E344" s="518">
        <f t="shared" si="39"/>
        <v>3.4195324312798047E-3</v>
      </c>
      <c r="F344" s="517">
        <f>ROUND($F$3*E344,0)</f>
        <v>446</v>
      </c>
      <c r="G344" s="517">
        <f>ROUND($G$3*E344,0)</f>
        <v>455</v>
      </c>
      <c r="H344" s="517">
        <f>ROUND($H$3*E344,0)</f>
        <v>466</v>
      </c>
      <c r="I344" s="517">
        <f>ROUND($I$3*E344,0)</f>
        <v>474</v>
      </c>
      <c r="J344" s="507"/>
    </row>
    <row r="345" spans="1:10" ht="17.100000000000001" customHeight="1">
      <c r="A345" s="585"/>
      <c r="B345" s="505" t="s">
        <v>1089</v>
      </c>
      <c r="C345" s="505" t="s">
        <v>914</v>
      </c>
      <c r="D345" s="505">
        <v>88</v>
      </c>
      <c r="E345" s="518">
        <f t="shared" si="39"/>
        <v>6.8235567789710384E-4</v>
      </c>
      <c r="F345" s="517">
        <f t="shared" ref="F345:F374" si="44">ROUND($F$3*E345,0)</f>
        <v>89</v>
      </c>
      <c r="G345" s="517">
        <f t="shared" ref="G345:G374" si="45">ROUND($G$3*E345,0)</f>
        <v>91</v>
      </c>
      <c r="H345" s="517">
        <f t="shared" ref="H345:H374" si="46">ROUND($H$3*E345,0)</f>
        <v>93</v>
      </c>
      <c r="I345" s="517">
        <f t="shared" ref="I345:I374" si="47">ROUND($I$3*E345,0)</f>
        <v>95</v>
      </c>
      <c r="J345" s="507"/>
    </row>
    <row r="346" spans="1:10" ht="17.100000000000001" customHeight="1">
      <c r="A346" s="585"/>
      <c r="B346" s="505" t="s">
        <v>1089</v>
      </c>
      <c r="C346" s="505" t="s">
        <v>915</v>
      </c>
      <c r="D346" s="505">
        <v>102</v>
      </c>
      <c r="E346" s="518">
        <f t="shared" si="39"/>
        <v>7.9091226301709764E-4</v>
      </c>
      <c r="F346" s="517">
        <f t="shared" si="44"/>
        <v>103</v>
      </c>
      <c r="G346" s="517">
        <f t="shared" si="45"/>
        <v>105</v>
      </c>
      <c r="H346" s="517">
        <f t="shared" si="46"/>
        <v>108</v>
      </c>
      <c r="I346" s="517">
        <f t="shared" si="47"/>
        <v>110</v>
      </c>
      <c r="J346" s="507"/>
    </row>
    <row r="347" spans="1:10" ht="17.100000000000001" customHeight="1">
      <c r="A347" s="585"/>
      <c r="B347" s="505" t="s">
        <v>1089</v>
      </c>
      <c r="C347" s="505" t="s">
        <v>916</v>
      </c>
      <c r="D347" s="505">
        <v>165</v>
      </c>
      <c r="E347" s="518">
        <f t="shared" si="39"/>
        <v>1.2794168960570697E-3</v>
      </c>
      <c r="F347" s="517">
        <f t="shared" si="44"/>
        <v>167</v>
      </c>
      <c r="G347" s="517">
        <f t="shared" si="45"/>
        <v>170</v>
      </c>
      <c r="H347" s="517">
        <f t="shared" si="46"/>
        <v>174</v>
      </c>
      <c r="I347" s="517">
        <f t="shared" si="47"/>
        <v>177</v>
      </c>
      <c r="J347" s="507"/>
    </row>
    <row r="348" spans="1:10" ht="17.100000000000001" customHeight="1">
      <c r="A348" s="585"/>
      <c r="B348" s="505" t="s">
        <v>1089</v>
      </c>
      <c r="C348" s="505" t="s">
        <v>917</v>
      </c>
      <c r="D348" s="505">
        <v>170</v>
      </c>
      <c r="E348" s="518">
        <f t="shared" si="39"/>
        <v>1.3181871050284961E-3</v>
      </c>
      <c r="F348" s="517">
        <f t="shared" si="44"/>
        <v>172</v>
      </c>
      <c r="G348" s="517">
        <f t="shared" si="45"/>
        <v>176</v>
      </c>
      <c r="H348" s="517">
        <f t="shared" si="46"/>
        <v>180</v>
      </c>
      <c r="I348" s="517">
        <f t="shared" si="47"/>
        <v>183</v>
      </c>
      <c r="J348" s="507"/>
    </row>
    <row r="349" spans="1:10" ht="17.100000000000001" customHeight="1">
      <c r="A349" s="585"/>
      <c r="B349" s="505" t="s">
        <v>1089</v>
      </c>
      <c r="C349" s="505" t="s">
        <v>918</v>
      </c>
      <c r="D349" s="505">
        <v>49</v>
      </c>
      <c r="E349" s="518">
        <f t="shared" si="39"/>
        <v>3.7994804791997828E-4</v>
      </c>
      <c r="F349" s="517">
        <f t="shared" si="44"/>
        <v>50</v>
      </c>
      <c r="G349" s="517">
        <f t="shared" si="45"/>
        <v>51</v>
      </c>
      <c r="H349" s="517">
        <f t="shared" si="46"/>
        <v>52</v>
      </c>
      <c r="I349" s="517">
        <f t="shared" si="47"/>
        <v>53</v>
      </c>
      <c r="J349" s="507"/>
    </row>
    <row r="350" spans="1:10" ht="17.100000000000001" customHeight="1">
      <c r="A350" s="585"/>
      <c r="B350" s="505" t="s">
        <v>1089</v>
      </c>
      <c r="C350" s="505" t="s">
        <v>919</v>
      </c>
      <c r="D350" s="505">
        <v>78</v>
      </c>
      <c r="E350" s="518">
        <f t="shared" si="39"/>
        <v>6.0481525995425113E-4</v>
      </c>
      <c r="F350" s="517">
        <f t="shared" si="44"/>
        <v>79</v>
      </c>
      <c r="G350" s="517">
        <f t="shared" si="45"/>
        <v>81</v>
      </c>
      <c r="H350" s="517">
        <f t="shared" si="46"/>
        <v>82</v>
      </c>
      <c r="I350" s="517">
        <f t="shared" si="47"/>
        <v>84</v>
      </c>
      <c r="J350" s="507"/>
    </row>
    <row r="351" spans="1:10" ht="17.100000000000001" customHeight="1">
      <c r="A351" s="585"/>
      <c r="B351" s="505" t="s">
        <v>1089</v>
      </c>
      <c r="C351" s="505" t="s">
        <v>920</v>
      </c>
      <c r="D351" s="505">
        <v>75</v>
      </c>
      <c r="E351" s="518">
        <f t="shared" si="39"/>
        <v>5.8155313457139532E-4</v>
      </c>
      <c r="F351" s="517">
        <f t="shared" si="44"/>
        <v>76</v>
      </c>
      <c r="G351" s="517">
        <f t="shared" si="45"/>
        <v>77</v>
      </c>
      <c r="H351" s="517">
        <f t="shared" si="46"/>
        <v>79</v>
      </c>
      <c r="I351" s="517">
        <f t="shared" si="47"/>
        <v>81</v>
      </c>
      <c r="J351" s="507"/>
    </row>
    <row r="352" spans="1:10" ht="17.100000000000001" customHeight="1">
      <c r="A352" s="585"/>
      <c r="B352" s="505" t="s">
        <v>1089</v>
      </c>
      <c r="C352" s="505" t="s">
        <v>921</v>
      </c>
      <c r="D352" s="505">
        <v>73</v>
      </c>
      <c r="E352" s="518">
        <f t="shared" si="39"/>
        <v>5.6604505098282478E-4</v>
      </c>
      <c r="F352" s="517">
        <f t="shared" si="44"/>
        <v>74</v>
      </c>
      <c r="G352" s="517">
        <f t="shared" si="45"/>
        <v>75</v>
      </c>
      <c r="H352" s="517">
        <f t="shared" si="46"/>
        <v>77</v>
      </c>
      <c r="I352" s="517">
        <f t="shared" si="47"/>
        <v>78</v>
      </c>
      <c r="J352" s="507"/>
    </row>
    <row r="353" spans="1:10" ht="17.100000000000001" customHeight="1">
      <c r="A353" s="585"/>
      <c r="B353" s="505" t="s">
        <v>1089</v>
      </c>
      <c r="C353" s="505" t="s">
        <v>922</v>
      </c>
      <c r="D353" s="505">
        <v>139</v>
      </c>
      <c r="E353" s="518">
        <f t="shared" si="39"/>
        <v>1.0778118094056527E-3</v>
      </c>
      <c r="F353" s="517">
        <f t="shared" si="44"/>
        <v>141</v>
      </c>
      <c r="G353" s="517">
        <f t="shared" si="45"/>
        <v>144</v>
      </c>
      <c r="H353" s="517">
        <f t="shared" si="46"/>
        <v>147</v>
      </c>
      <c r="I353" s="517">
        <f t="shared" si="47"/>
        <v>149</v>
      </c>
      <c r="J353" s="507"/>
    </row>
    <row r="354" spans="1:10" ht="17.100000000000001" customHeight="1">
      <c r="A354" s="585"/>
      <c r="B354" s="505" t="s">
        <v>1089</v>
      </c>
      <c r="C354" s="505" t="s">
        <v>923</v>
      </c>
      <c r="D354" s="505">
        <v>145</v>
      </c>
      <c r="E354" s="518">
        <f t="shared" si="39"/>
        <v>1.1243360601713643E-3</v>
      </c>
      <c r="F354" s="517">
        <f t="shared" si="44"/>
        <v>147</v>
      </c>
      <c r="G354" s="517">
        <f t="shared" si="45"/>
        <v>150</v>
      </c>
      <c r="H354" s="517">
        <f t="shared" si="46"/>
        <v>153</v>
      </c>
      <c r="I354" s="517">
        <f t="shared" si="47"/>
        <v>156</v>
      </c>
      <c r="J354" s="507"/>
    </row>
    <row r="355" spans="1:10" ht="17.100000000000001" customHeight="1">
      <c r="A355" s="585"/>
      <c r="B355" s="505" t="s">
        <v>1089</v>
      </c>
      <c r="C355" s="505" t="s">
        <v>924</v>
      </c>
      <c r="D355" s="505">
        <v>101</v>
      </c>
      <c r="E355" s="518">
        <f t="shared" si="39"/>
        <v>7.8315822122281237E-4</v>
      </c>
      <c r="F355" s="517">
        <f t="shared" si="44"/>
        <v>102</v>
      </c>
      <c r="G355" s="517">
        <f t="shared" si="45"/>
        <v>104</v>
      </c>
      <c r="H355" s="517">
        <f t="shared" si="46"/>
        <v>107</v>
      </c>
      <c r="I355" s="517">
        <f t="shared" si="47"/>
        <v>109</v>
      </c>
      <c r="J355" s="507"/>
    </row>
    <row r="356" spans="1:10" ht="17.100000000000001" customHeight="1">
      <c r="A356" s="585"/>
      <c r="B356" s="505" t="s">
        <v>1089</v>
      </c>
      <c r="C356" s="505" t="s">
        <v>925</v>
      </c>
      <c r="D356" s="505">
        <v>93</v>
      </c>
      <c r="E356" s="518">
        <f t="shared" si="39"/>
        <v>7.211258868685302E-4</v>
      </c>
      <c r="F356" s="517">
        <f t="shared" si="44"/>
        <v>94</v>
      </c>
      <c r="G356" s="517">
        <f t="shared" si="45"/>
        <v>96</v>
      </c>
      <c r="H356" s="517">
        <f t="shared" si="46"/>
        <v>98</v>
      </c>
      <c r="I356" s="517">
        <f t="shared" si="47"/>
        <v>100</v>
      </c>
      <c r="J356" s="507"/>
    </row>
    <row r="357" spans="1:10" ht="17.100000000000001" customHeight="1">
      <c r="A357" s="585"/>
      <c r="B357" s="505" t="s">
        <v>1089</v>
      </c>
      <c r="C357" s="505" t="s">
        <v>926</v>
      </c>
      <c r="D357" s="505">
        <v>180</v>
      </c>
      <c r="E357" s="518">
        <f t="shared" si="39"/>
        <v>1.3957275229713488E-3</v>
      </c>
      <c r="F357" s="517">
        <f t="shared" si="44"/>
        <v>182</v>
      </c>
      <c r="G357" s="517">
        <f t="shared" si="45"/>
        <v>186</v>
      </c>
      <c r="H357" s="517">
        <f t="shared" si="46"/>
        <v>190</v>
      </c>
      <c r="I357" s="517">
        <f t="shared" si="47"/>
        <v>193</v>
      </c>
      <c r="J357" s="507"/>
    </row>
    <row r="358" spans="1:10" ht="17.100000000000001" customHeight="1">
      <c r="A358" s="585"/>
      <c r="B358" s="505" t="s">
        <v>1089</v>
      </c>
      <c r="C358" s="505" t="s">
        <v>927</v>
      </c>
      <c r="D358" s="505">
        <v>92</v>
      </c>
      <c r="E358" s="518">
        <f t="shared" si="39"/>
        <v>7.1337184507424493E-4</v>
      </c>
      <c r="F358" s="517">
        <f t="shared" si="44"/>
        <v>93</v>
      </c>
      <c r="G358" s="517">
        <f t="shared" si="45"/>
        <v>95</v>
      </c>
      <c r="H358" s="517">
        <f t="shared" si="46"/>
        <v>97</v>
      </c>
      <c r="I358" s="517">
        <f t="shared" si="47"/>
        <v>99</v>
      </c>
      <c r="J358" s="507"/>
    </row>
    <row r="359" spans="1:10" ht="17.100000000000001" customHeight="1">
      <c r="A359" s="585"/>
      <c r="B359" s="505" t="s">
        <v>1089</v>
      </c>
      <c r="C359" s="505" t="s">
        <v>928</v>
      </c>
      <c r="D359" s="505">
        <v>145</v>
      </c>
      <c r="E359" s="518">
        <f t="shared" si="39"/>
        <v>1.1243360601713643E-3</v>
      </c>
      <c r="F359" s="517">
        <f t="shared" si="44"/>
        <v>147</v>
      </c>
      <c r="G359" s="517">
        <f t="shared" si="45"/>
        <v>150</v>
      </c>
      <c r="H359" s="517">
        <f t="shared" si="46"/>
        <v>153</v>
      </c>
      <c r="I359" s="517">
        <f t="shared" si="47"/>
        <v>156</v>
      </c>
      <c r="J359" s="507"/>
    </row>
    <row r="360" spans="1:10" ht="17.100000000000001" customHeight="1">
      <c r="A360" s="585"/>
      <c r="B360" s="505" t="s">
        <v>1089</v>
      </c>
      <c r="C360" s="505" t="s">
        <v>929</v>
      </c>
      <c r="D360" s="505">
        <v>110</v>
      </c>
      <c r="E360" s="518">
        <f t="shared" si="39"/>
        <v>8.529445973713798E-4</v>
      </c>
      <c r="F360" s="517">
        <f t="shared" si="44"/>
        <v>111</v>
      </c>
      <c r="G360" s="517">
        <f t="shared" si="45"/>
        <v>114</v>
      </c>
      <c r="H360" s="517">
        <f t="shared" si="46"/>
        <v>116</v>
      </c>
      <c r="I360" s="517">
        <f t="shared" si="47"/>
        <v>118</v>
      </c>
      <c r="J360" s="507"/>
    </row>
    <row r="361" spans="1:10" ht="17.100000000000001" customHeight="1">
      <c r="A361" s="585"/>
      <c r="B361" s="505" t="s">
        <v>1089</v>
      </c>
      <c r="C361" s="505" t="s">
        <v>930</v>
      </c>
      <c r="D361" s="505">
        <v>78</v>
      </c>
      <c r="E361" s="518">
        <f t="shared" si="39"/>
        <v>6.0481525995425113E-4</v>
      </c>
      <c r="F361" s="517">
        <f t="shared" si="44"/>
        <v>79</v>
      </c>
      <c r="G361" s="517">
        <f t="shared" si="45"/>
        <v>81</v>
      </c>
      <c r="H361" s="517">
        <f t="shared" si="46"/>
        <v>82</v>
      </c>
      <c r="I361" s="517">
        <f t="shared" si="47"/>
        <v>84</v>
      </c>
      <c r="J361" s="507"/>
    </row>
    <row r="362" spans="1:10" ht="17.100000000000001" customHeight="1">
      <c r="A362" s="585"/>
      <c r="B362" s="505" t="s">
        <v>1089</v>
      </c>
      <c r="C362" s="505" t="s">
        <v>931</v>
      </c>
      <c r="D362" s="505">
        <v>108</v>
      </c>
      <c r="E362" s="518">
        <f t="shared" si="39"/>
        <v>8.3743651378280926E-4</v>
      </c>
      <c r="F362" s="517">
        <f t="shared" si="44"/>
        <v>109</v>
      </c>
      <c r="G362" s="517">
        <f t="shared" si="45"/>
        <v>112</v>
      </c>
      <c r="H362" s="517">
        <f t="shared" si="46"/>
        <v>114</v>
      </c>
      <c r="I362" s="517">
        <f t="shared" si="47"/>
        <v>116</v>
      </c>
      <c r="J362" s="507"/>
    </row>
    <row r="363" spans="1:10" ht="17.100000000000001" customHeight="1">
      <c r="A363" s="585"/>
      <c r="B363" s="505" t="s">
        <v>1089</v>
      </c>
      <c r="C363" s="505" t="s">
        <v>932</v>
      </c>
      <c r="D363" s="505">
        <v>76</v>
      </c>
      <c r="E363" s="518">
        <f t="shared" si="39"/>
        <v>5.8930717636568059E-4</v>
      </c>
      <c r="F363" s="517">
        <f t="shared" si="44"/>
        <v>77</v>
      </c>
      <c r="G363" s="517">
        <f t="shared" si="45"/>
        <v>78</v>
      </c>
      <c r="H363" s="517">
        <f t="shared" si="46"/>
        <v>80</v>
      </c>
      <c r="I363" s="517">
        <f t="shared" si="47"/>
        <v>82</v>
      </c>
      <c r="J363" s="507"/>
    </row>
    <row r="364" spans="1:10" ht="17.100000000000001" customHeight="1">
      <c r="A364" s="585"/>
      <c r="B364" s="505" t="s">
        <v>1089</v>
      </c>
      <c r="C364" s="505" t="s">
        <v>933</v>
      </c>
      <c r="D364" s="505">
        <v>181</v>
      </c>
      <c r="E364" s="518">
        <f t="shared" si="39"/>
        <v>1.403481564765634E-3</v>
      </c>
      <c r="F364" s="517">
        <f t="shared" si="44"/>
        <v>183</v>
      </c>
      <c r="G364" s="517">
        <f t="shared" si="45"/>
        <v>187</v>
      </c>
      <c r="H364" s="517">
        <f t="shared" si="46"/>
        <v>191</v>
      </c>
      <c r="I364" s="517">
        <f t="shared" si="47"/>
        <v>194</v>
      </c>
      <c r="J364" s="507"/>
    </row>
    <row r="365" spans="1:10" ht="17.100000000000001" customHeight="1">
      <c r="A365" s="585"/>
      <c r="B365" s="505" t="s">
        <v>1089</v>
      </c>
      <c r="C365" s="505" t="s">
        <v>934</v>
      </c>
      <c r="D365" s="505">
        <v>217</v>
      </c>
      <c r="E365" s="518">
        <f t="shared" ref="E365:E374" si="48">D365/$D$3</f>
        <v>1.6826270693599038E-3</v>
      </c>
      <c r="F365" s="517">
        <f t="shared" si="44"/>
        <v>220</v>
      </c>
      <c r="G365" s="517">
        <f t="shared" si="45"/>
        <v>224</v>
      </c>
      <c r="H365" s="517">
        <f t="shared" si="46"/>
        <v>229</v>
      </c>
      <c r="I365" s="517">
        <f t="shared" si="47"/>
        <v>233</v>
      </c>
      <c r="J365" s="507"/>
    </row>
    <row r="366" spans="1:10" ht="17.100000000000001" customHeight="1">
      <c r="A366" s="585"/>
      <c r="B366" s="505" t="s">
        <v>1089</v>
      </c>
      <c r="C366" s="505" t="s">
        <v>935</v>
      </c>
      <c r="D366" s="505">
        <v>129</v>
      </c>
      <c r="E366" s="518">
        <f t="shared" si="48"/>
        <v>1.0002713914628E-3</v>
      </c>
      <c r="F366" s="517">
        <f t="shared" si="44"/>
        <v>131</v>
      </c>
      <c r="G366" s="517">
        <f t="shared" si="45"/>
        <v>133</v>
      </c>
      <c r="H366" s="517">
        <f t="shared" si="46"/>
        <v>136</v>
      </c>
      <c r="I366" s="517">
        <f t="shared" si="47"/>
        <v>139</v>
      </c>
      <c r="J366" s="507"/>
    </row>
    <row r="367" spans="1:10" ht="17.100000000000001" customHeight="1">
      <c r="A367" s="585"/>
      <c r="B367" s="505" t="s">
        <v>1089</v>
      </c>
      <c r="C367" s="505" t="s">
        <v>936</v>
      </c>
      <c r="D367" s="505">
        <v>138</v>
      </c>
      <c r="E367" s="518">
        <f t="shared" si="48"/>
        <v>1.0700577676113674E-3</v>
      </c>
      <c r="F367" s="517">
        <f t="shared" si="44"/>
        <v>140</v>
      </c>
      <c r="G367" s="517">
        <f t="shared" si="45"/>
        <v>143</v>
      </c>
      <c r="H367" s="517">
        <f t="shared" si="46"/>
        <v>146</v>
      </c>
      <c r="I367" s="517">
        <f t="shared" si="47"/>
        <v>148</v>
      </c>
      <c r="J367" s="507"/>
    </row>
    <row r="368" spans="1:10" ht="17.100000000000001" customHeight="1">
      <c r="A368" s="585"/>
      <c r="B368" s="505" t="s">
        <v>1089</v>
      </c>
      <c r="C368" s="505" t="s">
        <v>937</v>
      </c>
      <c r="D368" s="505">
        <v>262</v>
      </c>
      <c r="E368" s="518">
        <f t="shared" si="48"/>
        <v>2.031558950102741E-3</v>
      </c>
      <c r="F368" s="517">
        <f t="shared" si="44"/>
        <v>265</v>
      </c>
      <c r="G368" s="517">
        <f t="shared" si="45"/>
        <v>271</v>
      </c>
      <c r="H368" s="517">
        <f t="shared" si="46"/>
        <v>277</v>
      </c>
      <c r="I368" s="517">
        <f t="shared" si="47"/>
        <v>281</v>
      </c>
      <c r="J368" s="507"/>
    </row>
    <row r="369" spans="1:11" ht="17.100000000000001" customHeight="1">
      <c r="A369" s="585"/>
      <c r="B369" s="505" t="s">
        <v>1089</v>
      </c>
      <c r="C369" s="505" t="s">
        <v>938</v>
      </c>
      <c r="D369" s="505">
        <v>105</v>
      </c>
      <c r="E369" s="518">
        <f t="shared" si="48"/>
        <v>8.1417438839995345E-4</v>
      </c>
      <c r="F369" s="517">
        <f t="shared" si="44"/>
        <v>106</v>
      </c>
      <c r="G369" s="517">
        <f t="shared" si="45"/>
        <v>108</v>
      </c>
      <c r="H369" s="517">
        <f t="shared" si="46"/>
        <v>111</v>
      </c>
      <c r="I369" s="517">
        <f t="shared" si="47"/>
        <v>113</v>
      </c>
      <c r="J369" s="507"/>
    </row>
    <row r="370" spans="1:11" ht="17.100000000000001" customHeight="1">
      <c r="A370" s="585"/>
      <c r="B370" s="505" t="s">
        <v>1089</v>
      </c>
      <c r="C370" s="505" t="s">
        <v>939</v>
      </c>
      <c r="D370" s="505">
        <v>201</v>
      </c>
      <c r="E370" s="518">
        <f t="shared" si="48"/>
        <v>1.5585624006513395E-3</v>
      </c>
      <c r="F370" s="517">
        <f t="shared" si="44"/>
        <v>203</v>
      </c>
      <c r="G370" s="517">
        <f t="shared" si="45"/>
        <v>208</v>
      </c>
      <c r="H370" s="517">
        <f t="shared" si="46"/>
        <v>212</v>
      </c>
      <c r="I370" s="517">
        <f t="shared" si="47"/>
        <v>216</v>
      </c>
      <c r="J370" s="507"/>
    </row>
    <row r="371" spans="1:11" ht="17.100000000000001" customHeight="1">
      <c r="A371" s="585"/>
      <c r="B371" s="505" t="s">
        <v>1089</v>
      </c>
      <c r="C371" s="505" t="s">
        <v>940</v>
      </c>
      <c r="D371" s="505">
        <v>99</v>
      </c>
      <c r="E371" s="518">
        <f t="shared" si="48"/>
        <v>7.6765013763424182E-4</v>
      </c>
      <c r="F371" s="517">
        <f t="shared" si="44"/>
        <v>100</v>
      </c>
      <c r="G371" s="517">
        <f t="shared" si="45"/>
        <v>102</v>
      </c>
      <c r="H371" s="517">
        <f t="shared" si="46"/>
        <v>105</v>
      </c>
      <c r="I371" s="517">
        <f t="shared" si="47"/>
        <v>106</v>
      </c>
      <c r="J371" s="507"/>
    </row>
    <row r="372" spans="1:11" ht="17.100000000000001" customHeight="1">
      <c r="A372" s="585"/>
      <c r="B372" s="505" t="s">
        <v>1089</v>
      </c>
      <c r="C372" s="505" t="s">
        <v>941</v>
      </c>
      <c r="D372" s="505">
        <v>58</v>
      </c>
      <c r="E372" s="518">
        <f t="shared" si="48"/>
        <v>4.4973442406854571E-4</v>
      </c>
      <c r="F372" s="517">
        <f t="shared" si="44"/>
        <v>59</v>
      </c>
      <c r="G372" s="517">
        <f t="shared" si="45"/>
        <v>60</v>
      </c>
      <c r="H372" s="517">
        <f t="shared" si="46"/>
        <v>61</v>
      </c>
      <c r="I372" s="517">
        <f t="shared" si="47"/>
        <v>62</v>
      </c>
      <c r="J372" s="507"/>
    </row>
    <row r="373" spans="1:11" ht="17.100000000000001" customHeight="1">
      <c r="A373" s="585"/>
      <c r="B373" s="505" t="s">
        <v>1089</v>
      </c>
      <c r="C373" s="505" t="s">
        <v>942</v>
      </c>
      <c r="D373" s="505">
        <v>168</v>
      </c>
      <c r="E373" s="518">
        <f t="shared" si="48"/>
        <v>1.3026790214399255E-3</v>
      </c>
      <c r="F373" s="517">
        <f t="shared" si="44"/>
        <v>170</v>
      </c>
      <c r="G373" s="517">
        <f t="shared" si="45"/>
        <v>174</v>
      </c>
      <c r="H373" s="517">
        <f t="shared" si="46"/>
        <v>177</v>
      </c>
      <c r="I373" s="517">
        <f t="shared" si="47"/>
        <v>181</v>
      </c>
      <c r="J373" s="507"/>
    </row>
    <row r="374" spans="1:11" ht="17.100000000000001" customHeight="1">
      <c r="A374" s="585"/>
      <c r="B374" s="505" t="s">
        <v>1089</v>
      </c>
      <c r="C374" s="505" t="s">
        <v>943</v>
      </c>
      <c r="D374" s="505">
        <v>78</v>
      </c>
      <c r="E374" s="518">
        <f t="shared" si="48"/>
        <v>6.0481525995425113E-4</v>
      </c>
      <c r="F374" s="517">
        <f t="shared" si="44"/>
        <v>79</v>
      </c>
      <c r="G374" s="517">
        <f t="shared" si="45"/>
        <v>81</v>
      </c>
      <c r="H374" s="517">
        <f t="shared" si="46"/>
        <v>82</v>
      </c>
      <c r="I374" s="517">
        <f t="shared" si="47"/>
        <v>84</v>
      </c>
      <c r="J374" s="507"/>
    </row>
    <row r="375" spans="1:11" ht="17.100000000000001" customHeight="1">
      <c r="A375" s="585" t="s">
        <v>1161</v>
      </c>
      <c r="B375" s="583" t="s">
        <v>1151</v>
      </c>
      <c r="C375" s="583"/>
      <c r="D375" s="505">
        <f t="shared" ref="D375:I375" si="49">SUM(D376:D427)</f>
        <v>8028</v>
      </c>
      <c r="E375" s="520">
        <f t="shared" si="49"/>
        <v>6.2249447524522147E-2</v>
      </c>
      <c r="F375" s="505">
        <f t="shared" si="49"/>
        <v>8122</v>
      </c>
      <c r="G375" s="505">
        <f t="shared" si="49"/>
        <v>8290</v>
      </c>
      <c r="H375" s="505">
        <f t="shared" si="49"/>
        <v>8477</v>
      </c>
      <c r="I375" s="505">
        <f t="shared" si="49"/>
        <v>8625</v>
      </c>
      <c r="J375" s="507"/>
      <c r="K375" s="524">
        <f>D375/$D$3</f>
        <v>6.2249447524522154E-2</v>
      </c>
    </row>
    <row r="376" spans="1:11" ht="17.100000000000001" customHeight="1">
      <c r="A376" s="585"/>
      <c r="B376" s="505" t="s">
        <v>1162</v>
      </c>
      <c r="C376" s="505" t="s">
        <v>944</v>
      </c>
      <c r="D376" s="505">
        <v>246</v>
      </c>
      <c r="E376" s="518">
        <f t="shared" ref="E376:E427" si="50">D376/$D$3</f>
        <v>1.9074942813941767E-3</v>
      </c>
      <c r="F376" s="517">
        <f t="shared" ref="F376:F426" si="51">ROUND($F$3*E376,0)</f>
        <v>249</v>
      </c>
      <c r="G376" s="517">
        <f t="shared" ref="G376:G426" si="52">ROUND($G$3*E376,0)</f>
        <v>254</v>
      </c>
      <c r="H376" s="517">
        <f t="shared" ref="H376:H426" si="53">ROUND($H$3*E376,0)</f>
        <v>260</v>
      </c>
      <c r="I376" s="517">
        <f t="shared" ref="I376:I426" si="54">ROUND($I$3*E376,0)</f>
        <v>264</v>
      </c>
      <c r="J376" s="507"/>
    </row>
    <row r="377" spans="1:11" ht="17.100000000000001" customHeight="1">
      <c r="A377" s="585"/>
      <c r="B377" s="505" t="s">
        <v>1087</v>
      </c>
      <c r="C377" s="505" t="s">
        <v>945</v>
      </c>
      <c r="D377" s="505">
        <v>243</v>
      </c>
      <c r="E377" s="518">
        <f t="shared" si="50"/>
        <v>1.8842321560113208E-3</v>
      </c>
      <c r="F377" s="517">
        <f t="shared" si="51"/>
        <v>246</v>
      </c>
      <c r="G377" s="517">
        <f t="shared" si="52"/>
        <v>251</v>
      </c>
      <c r="H377" s="517">
        <f t="shared" si="53"/>
        <v>257</v>
      </c>
      <c r="I377" s="517">
        <f t="shared" si="54"/>
        <v>261</v>
      </c>
      <c r="J377" s="507"/>
    </row>
    <row r="378" spans="1:11" ht="17.100000000000001" customHeight="1">
      <c r="A378" s="585"/>
      <c r="B378" s="505" t="s">
        <v>1087</v>
      </c>
      <c r="C378" s="505" t="s">
        <v>946</v>
      </c>
      <c r="D378" s="505">
        <v>131</v>
      </c>
      <c r="E378" s="518">
        <f t="shared" si="50"/>
        <v>1.0157794750513705E-3</v>
      </c>
      <c r="F378" s="517">
        <f t="shared" si="51"/>
        <v>133</v>
      </c>
      <c r="G378" s="517">
        <f t="shared" si="52"/>
        <v>135</v>
      </c>
      <c r="H378" s="517">
        <f t="shared" si="53"/>
        <v>138</v>
      </c>
      <c r="I378" s="517">
        <f t="shared" si="54"/>
        <v>141</v>
      </c>
      <c r="J378" s="507"/>
    </row>
    <row r="379" spans="1:11" ht="17.100000000000001" customHeight="1">
      <c r="A379" s="585"/>
      <c r="B379" s="505" t="s">
        <v>1087</v>
      </c>
      <c r="C379" s="505" t="s">
        <v>947</v>
      </c>
      <c r="D379" s="505">
        <v>159</v>
      </c>
      <c r="E379" s="518">
        <f t="shared" si="50"/>
        <v>1.2328926452913581E-3</v>
      </c>
      <c r="F379" s="517">
        <f t="shared" si="51"/>
        <v>161</v>
      </c>
      <c r="G379" s="517">
        <f t="shared" si="52"/>
        <v>164</v>
      </c>
      <c r="H379" s="517">
        <f t="shared" si="53"/>
        <v>168</v>
      </c>
      <c r="I379" s="517">
        <f t="shared" si="54"/>
        <v>171</v>
      </c>
      <c r="J379" s="507"/>
    </row>
    <row r="380" spans="1:11" ht="17.100000000000001" customHeight="1">
      <c r="A380" s="585"/>
      <c r="B380" s="505" t="s">
        <v>1087</v>
      </c>
      <c r="C380" s="505" t="s">
        <v>948</v>
      </c>
      <c r="D380" s="505">
        <v>59</v>
      </c>
      <c r="E380" s="518">
        <f t="shared" si="50"/>
        <v>4.5748846586283099E-4</v>
      </c>
      <c r="F380" s="517">
        <f t="shared" si="51"/>
        <v>60</v>
      </c>
      <c r="G380" s="517">
        <f t="shared" si="52"/>
        <v>61</v>
      </c>
      <c r="H380" s="517">
        <f t="shared" si="53"/>
        <v>62</v>
      </c>
      <c r="I380" s="517">
        <f t="shared" si="54"/>
        <v>63</v>
      </c>
      <c r="J380" s="507"/>
    </row>
    <row r="381" spans="1:11" ht="17.100000000000001" customHeight="1">
      <c r="A381" s="585"/>
      <c r="B381" s="505" t="s">
        <v>1087</v>
      </c>
      <c r="C381" s="505" t="s">
        <v>949</v>
      </c>
      <c r="D381" s="505">
        <v>684</v>
      </c>
      <c r="E381" s="518">
        <f t="shared" si="50"/>
        <v>5.3037645872911253E-3</v>
      </c>
      <c r="F381" s="517">
        <f t="shared" si="51"/>
        <v>692</v>
      </c>
      <c r="G381" s="517">
        <f t="shared" si="52"/>
        <v>706</v>
      </c>
      <c r="H381" s="517">
        <f t="shared" si="53"/>
        <v>722</v>
      </c>
      <c r="I381" s="517">
        <f t="shared" si="54"/>
        <v>735</v>
      </c>
      <c r="J381" s="507"/>
    </row>
    <row r="382" spans="1:11" ht="17.100000000000001" customHeight="1">
      <c r="A382" s="585"/>
      <c r="B382" s="505" t="s">
        <v>1087</v>
      </c>
      <c r="C382" s="505" t="s">
        <v>950</v>
      </c>
      <c r="D382" s="505">
        <v>257</v>
      </c>
      <c r="E382" s="518">
        <f t="shared" si="50"/>
        <v>1.9927887411313149E-3</v>
      </c>
      <c r="F382" s="517">
        <f t="shared" si="51"/>
        <v>260</v>
      </c>
      <c r="G382" s="517">
        <f t="shared" si="52"/>
        <v>265</v>
      </c>
      <c r="H382" s="517">
        <f t="shared" si="53"/>
        <v>271</v>
      </c>
      <c r="I382" s="517">
        <f t="shared" si="54"/>
        <v>276</v>
      </c>
      <c r="J382" s="507"/>
    </row>
    <row r="383" spans="1:11" ht="17.100000000000001" customHeight="1">
      <c r="A383" s="585"/>
      <c r="B383" s="505" t="s">
        <v>1087</v>
      </c>
      <c r="C383" s="505" t="s">
        <v>951</v>
      </c>
      <c r="D383" s="505">
        <v>101</v>
      </c>
      <c r="E383" s="518">
        <f t="shared" si="50"/>
        <v>7.8315822122281237E-4</v>
      </c>
      <c r="F383" s="517">
        <f t="shared" si="51"/>
        <v>102</v>
      </c>
      <c r="G383" s="517">
        <f t="shared" si="52"/>
        <v>104</v>
      </c>
      <c r="H383" s="517">
        <f t="shared" si="53"/>
        <v>107</v>
      </c>
      <c r="I383" s="517">
        <f t="shared" si="54"/>
        <v>109</v>
      </c>
      <c r="J383" s="507"/>
    </row>
    <row r="384" spans="1:11" ht="17.100000000000001" customHeight="1">
      <c r="A384" s="585"/>
      <c r="B384" s="505" t="s">
        <v>1087</v>
      </c>
      <c r="C384" s="505" t="s">
        <v>952</v>
      </c>
      <c r="D384" s="505">
        <v>88</v>
      </c>
      <c r="E384" s="518">
        <f t="shared" si="50"/>
        <v>6.8235567789710384E-4</v>
      </c>
      <c r="F384" s="517">
        <f t="shared" si="51"/>
        <v>89</v>
      </c>
      <c r="G384" s="517">
        <f t="shared" si="52"/>
        <v>91</v>
      </c>
      <c r="H384" s="517">
        <f t="shared" si="53"/>
        <v>93</v>
      </c>
      <c r="I384" s="517">
        <f t="shared" si="54"/>
        <v>95</v>
      </c>
      <c r="J384" s="507"/>
    </row>
    <row r="385" spans="1:10" ht="17.100000000000001" customHeight="1">
      <c r="A385" s="585"/>
      <c r="B385" s="505" t="s">
        <v>1087</v>
      </c>
      <c r="C385" s="505" t="s">
        <v>953</v>
      </c>
      <c r="D385" s="505">
        <v>90</v>
      </c>
      <c r="E385" s="518">
        <f t="shared" si="50"/>
        <v>6.9786376148567439E-4</v>
      </c>
      <c r="F385" s="517">
        <f t="shared" si="51"/>
        <v>91</v>
      </c>
      <c r="G385" s="517">
        <f t="shared" si="52"/>
        <v>93</v>
      </c>
      <c r="H385" s="517">
        <f t="shared" si="53"/>
        <v>95</v>
      </c>
      <c r="I385" s="517">
        <f t="shared" si="54"/>
        <v>97</v>
      </c>
      <c r="J385" s="507"/>
    </row>
    <row r="386" spans="1:10" ht="17.100000000000001" customHeight="1">
      <c r="A386" s="585"/>
      <c r="B386" s="505" t="s">
        <v>1087</v>
      </c>
      <c r="C386" s="505" t="s">
        <v>954</v>
      </c>
      <c r="D386" s="505">
        <v>112</v>
      </c>
      <c r="E386" s="518">
        <f t="shared" si="50"/>
        <v>8.6845268095995035E-4</v>
      </c>
      <c r="F386" s="517">
        <f t="shared" si="51"/>
        <v>113</v>
      </c>
      <c r="G386" s="517">
        <f t="shared" si="52"/>
        <v>116</v>
      </c>
      <c r="H386" s="517">
        <f t="shared" si="53"/>
        <v>118</v>
      </c>
      <c r="I386" s="517">
        <f t="shared" si="54"/>
        <v>120</v>
      </c>
      <c r="J386" s="507"/>
    </row>
    <row r="387" spans="1:10" ht="17.100000000000001" customHeight="1">
      <c r="A387" s="585"/>
      <c r="B387" s="505" t="s">
        <v>1087</v>
      </c>
      <c r="C387" s="505" t="s">
        <v>955</v>
      </c>
      <c r="D387" s="505">
        <v>163</v>
      </c>
      <c r="E387" s="518">
        <f t="shared" si="50"/>
        <v>1.2639088124684992E-3</v>
      </c>
      <c r="F387" s="517">
        <f t="shared" si="51"/>
        <v>165</v>
      </c>
      <c r="G387" s="517">
        <f t="shared" si="52"/>
        <v>168</v>
      </c>
      <c r="H387" s="517">
        <f t="shared" si="53"/>
        <v>172</v>
      </c>
      <c r="I387" s="517">
        <f t="shared" si="54"/>
        <v>175</v>
      </c>
      <c r="J387" s="507"/>
    </row>
    <row r="388" spans="1:10" ht="17.100000000000001" customHeight="1">
      <c r="A388" s="585"/>
      <c r="B388" s="505" t="s">
        <v>1087</v>
      </c>
      <c r="C388" s="505" t="s">
        <v>956</v>
      </c>
      <c r="D388" s="505">
        <v>63</v>
      </c>
      <c r="E388" s="518">
        <f t="shared" si="50"/>
        <v>4.8850463303997207E-4</v>
      </c>
      <c r="F388" s="517">
        <f t="shared" si="51"/>
        <v>64</v>
      </c>
      <c r="G388" s="517">
        <f t="shared" si="52"/>
        <v>65</v>
      </c>
      <c r="H388" s="517">
        <f t="shared" si="53"/>
        <v>67</v>
      </c>
      <c r="I388" s="517">
        <f t="shared" si="54"/>
        <v>68</v>
      </c>
      <c r="J388" s="507"/>
    </row>
    <row r="389" spans="1:10" ht="17.100000000000001" customHeight="1">
      <c r="A389" s="585"/>
      <c r="B389" s="505" t="s">
        <v>1087</v>
      </c>
      <c r="C389" s="505" t="s">
        <v>957</v>
      </c>
      <c r="D389" s="505">
        <v>91</v>
      </c>
      <c r="E389" s="518">
        <f t="shared" si="50"/>
        <v>7.0561780327995966E-4</v>
      </c>
      <c r="F389" s="517">
        <f t="shared" si="51"/>
        <v>92</v>
      </c>
      <c r="G389" s="517">
        <f t="shared" si="52"/>
        <v>94</v>
      </c>
      <c r="H389" s="517">
        <f t="shared" si="53"/>
        <v>96</v>
      </c>
      <c r="I389" s="517">
        <f t="shared" si="54"/>
        <v>98</v>
      </c>
      <c r="J389" s="507"/>
    </row>
    <row r="390" spans="1:10" ht="17.100000000000001" customHeight="1">
      <c r="A390" s="585"/>
      <c r="B390" s="505" t="s">
        <v>1087</v>
      </c>
      <c r="C390" s="505" t="s">
        <v>958</v>
      </c>
      <c r="D390" s="505">
        <v>111</v>
      </c>
      <c r="E390" s="518">
        <f t="shared" si="50"/>
        <v>8.6069863916566508E-4</v>
      </c>
      <c r="F390" s="517">
        <f t="shared" si="51"/>
        <v>112</v>
      </c>
      <c r="G390" s="517">
        <f t="shared" si="52"/>
        <v>115</v>
      </c>
      <c r="H390" s="517">
        <f t="shared" si="53"/>
        <v>117</v>
      </c>
      <c r="I390" s="517">
        <f t="shared" si="54"/>
        <v>119</v>
      </c>
      <c r="J390" s="507"/>
    </row>
    <row r="391" spans="1:10" ht="17.100000000000001" customHeight="1">
      <c r="A391" s="585"/>
      <c r="B391" s="505" t="s">
        <v>1087</v>
      </c>
      <c r="C391" s="505" t="s">
        <v>959</v>
      </c>
      <c r="D391" s="505">
        <v>144</v>
      </c>
      <c r="E391" s="518">
        <f t="shared" si="50"/>
        <v>1.116582018377079E-3</v>
      </c>
      <c r="F391" s="517">
        <f t="shared" si="51"/>
        <v>146</v>
      </c>
      <c r="G391" s="517">
        <f t="shared" si="52"/>
        <v>149</v>
      </c>
      <c r="H391" s="517">
        <f t="shared" si="53"/>
        <v>152</v>
      </c>
      <c r="I391" s="517">
        <f t="shared" si="54"/>
        <v>155</v>
      </c>
      <c r="J391" s="507"/>
    </row>
    <row r="392" spans="1:10" ht="17.100000000000001" customHeight="1">
      <c r="A392" s="585"/>
      <c r="B392" s="505" t="s">
        <v>1087</v>
      </c>
      <c r="C392" s="505" t="s">
        <v>960</v>
      </c>
      <c r="D392" s="505">
        <v>126</v>
      </c>
      <c r="E392" s="518">
        <f t="shared" si="50"/>
        <v>9.7700926607994414E-4</v>
      </c>
      <c r="F392" s="517">
        <f t="shared" si="51"/>
        <v>127</v>
      </c>
      <c r="G392" s="517">
        <f t="shared" si="52"/>
        <v>130</v>
      </c>
      <c r="H392" s="517">
        <f t="shared" si="53"/>
        <v>133</v>
      </c>
      <c r="I392" s="517">
        <f t="shared" si="54"/>
        <v>135</v>
      </c>
      <c r="J392" s="507"/>
    </row>
    <row r="393" spans="1:10" ht="17.100000000000001" customHeight="1">
      <c r="A393" s="585"/>
      <c r="B393" s="505" t="s">
        <v>1087</v>
      </c>
      <c r="C393" s="505" t="s">
        <v>961</v>
      </c>
      <c r="D393" s="505">
        <v>141</v>
      </c>
      <c r="E393" s="518">
        <f t="shared" si="50"/>
        <v>1.0933198929942232E-3</v>
      </c>
      <c r="F393" s="517">
        <f t="shared" si="51"/>
        <v>143</v>
      </c>
      <c r="G393" s="517">
        <f t="shared" si="52"/>
        <v>146</v>
      </c>
      <c r="H393" s="517">
        <f t="shared" si="53"/>
        <v>149</v>
      </c>
      <c r="I393" s="517">
        <f t="shared" si="54"/>
        <v>151</v>
      </c>
      <c r="J393" s="507"/>
    </row>
    <row r="394" spans="1:10" ht="17.100000000000001" customHeight="1">
      <c r="A394" s="585"/>
      <c r="B394" s="505" t="s">
        <v>1087</v>
      </c>
      <c r="C394" s="505" t="s">
        <v>962</v>
      </c>
      <c r="D394" s="505">
        <v>107</v>
      </c>
      <c r="E394" s="518">
        <f t="shared" si="50"/>
        <v>8.2968247198852399E-4</v>
      </c>
      <c r="F394" s="517">
        <f t="shared" si="51"/>
        <v>108</v>
      </c>
      <c r="G394" s="517">
        <f t="shared" si="52"/>
        <v>111</v>
      </c>
      <c r="H394" s="517">
        <f t="shared" si="53"/>
        <v>113</v>
      </c>
      <c r="I394" s="517">
        <f t="shared" si="54"/>
        <v>115</v>
      </c>
      <c r="J394" s="507"/>
    </row>
    <row r="395" spans="1:10" ht="17.100000000000001" customHeight="1">
      <c r="A395" s="585"/>
      <c r="B395" s="505" t="s">
        <v>1087</v>
      </c>
      <c r="C395" s="505" t="s">
        <v>963</v>
      </c>
      <c r="D395" s="505">
        <v>71</v>
      </c>
      <c r="E395" s="518">
        <f t="shared" si="50"/>
        <v>5.5053696739425424E-4</v>
      </c>
      <c r="F395" s="517">
        <f t="shared" si="51"/>
        <v>72</v>
      </c>
      <c r="G395" s="517">
        <f t="shared" si="52"/>
        <v>73</v>
      </c>
      <c r="H395" s="517">
        <f t="shared" si="53"/>
        <v>75</v>
      </c>
      <c r="I395" s="517">
        <f t="shared" si="54"/>
        <v>76</v>
      </c>
      <c r="J395" s="507"/>
    </row>
    <row r="396" spans="1:10" ht="17.100000000000001" customHeight="1">
      <c r="A396" s="585"/>
      <c r="B396" s="505" t="s">
        <v>1087</v>
      </c>
      <c r="C396" s="505" t="s">
        <v>964</v>
      </c>
      <c r="D396" s="505">
        <v>161</v>
      </c>
      <c r="E396" s="518">
        <f t="shared" si="50"/>
        <v>1.2484007288799286E-3</v>
      </c>
      <c r="F396" s="517">
        <f t="shared" si="51"/>
        <v>163</v>
      </c>
      <c r="G396" s="517">
        <f t="shared" si="52"/>
        <v>166</v>
      </c>
      <c r="H396" s="517">
        <f t="shared" si="53"/>
        <v>170</v>
      </c>
      <c r="I396" s="517">
        <f t="shared" si="54"/>
        <v>173</v>
      </c>
      <c r="J396" s="507"/>
    </row>
    <row r="397" spans="1:10" ht="17.100000000000001" customHeight="1">
      <c r="A397" s="585"/>
      <c r="B397" s="505" t="s">
        <v>1087</v>
      </c>
      <c r="C397" s="505" t="s">
        <v>965</v>
      </c>
      <c r="D397" s="505">
        <v>122</v>
      </c>
      <c r="E397" s="518">
        <f t="shared" si="50"/>
        <v>9.4599309890280306E-4</v>
      </c>
      <c r="F397" s="517">
        <f t="shared" si="51"/>
        <v>123</v>
      </c>
      <c r="G397" s="517">
        <f t="shared" si="52"/>
        <v>126</v>
      </c>
      <c r="H397" s="517">
        <f t="shared" si="53"/>
        <v>129</v>
      </c>
      <c r="I397" s="517">
        <f t="shared" si="54"/>
        <v>131</v>
      </c>
      <c r="J397" s="507"/>
    </row>
    <row r="398" spans="1:10" ht="17.100000000000001" customHeight="1">
      <c r="A398" s="585"/>
      <c r="B398" s="505" t="s">
        <v>1087</v>
      </c>
      <c r="C398" s="505" t="s">
        <v>966</v>
      </c>
      <c r="D398" s="505">
        <v>99</v>
      </c>
      <c r="E398" s="518">
        <f t="shared" si="50"/>
        <v>7.6765013763424182E-4</v>
      </c>
      <c r="F398" s="517">
        <f t="shared" si="51"/>
        <v>100</v>
      </c>
      <c r="G398" s="517">
        <f t="shared" si="52"/>
        <v>102</v>
      </c>
      <c r="H398" s="517">
        <f t="shared" si="53"/>
        <v>105</v>
      </c>
      <c r="I398" s="517">
        <f t="shared" si="54"/>
        <v>106</v>
      </c>
      <c r="J398" s="507"/>
    </row>
    <row r="399" spans="1:10" ht="17.100000000000001" customHeight="1">
      <c r="A399" s="585"/>
      <c r="B399" s="505" t="s">
        <v>1087</v>
      </c>
      <c r="C399" s="505" t="s">
        <v>967</v>
      </c>
      <c r="D399" s="505">
        <v>132</v>
      </c>
      <c r="E399" s="518">
        <f t="shared" si="50"/>
        <v>1.0235335168456558E-3</v>
      </c>
      <c r="F399" s="517">
        <f t="shared" si="51"/>
        <v>134</v>
      </c>
      <c r="G399" s="517">
        <f t="shared" si="52"/>
        <v>136</v>
      </c>
      <c r="H399" s="517">
        <f t="shared" si="53"/>
        <v>139</v>
      </c>
      <c r="I399" s="517">
        <f t="shared" si="54"/>
        <v>142</v>
      </c>
      <c r="J399" s="507"/>
    </row>
    <row r="400" spans="1:10" ht="17.100000000000001" customHeight="1">
      <c r="A400" s="585"/>
      <c r="B400" s="505" t="s">
        <v>1087</v>
      </c>
      <c r="C400" s="505" t="s">
        <v>968</v>
      </c>
      <c r="D400" s="505">
        <v>110</v>
      </c>
      <c r="E400" s="518">
        <f t="shared" si="50"/>
        <v>8.529445973713798E-4</v>
      </c>
      <c r="F400" s="517">
        <f t="shared" si="51"/>
        <v>111</v>
      </c>
      <c r="G400" s="517">
        <f t="shared" si="52"/>
        <v>114</v>
      </c>
      <c r="H400" s="517">
        <f t="shared" si="53"/>
        <v>116</v>
      </c>
      <c r="I400" s="517">
        <f t="shared" si="54"/>
        <v>118</v>
      </c>
      <c r="J400" s="507"/>
    </row>
    <row r="401" spans="1:10" ht="17.100000000000001" customHeight="1">
      <c r="A401" s="585"/>
      <c r="B401" s="505" t="s">
        <v>1087</v>
      </c>
      <c r="C401" s="505" t="s">
        <v>969</v>
      </c>
      <c r="D401" s="505">
        <v>86</v>
      </c>
      <c r="E401" s="518">
        <f t="shared" si="50"/>
        <v>6.668475943085333E-4</v>
      </c>
      <c r="F401" s="517">
        <f t="shared" si="51"/>
        <v>87</v>
      </c>
      <c r="G401" s="517">
        <f t="shared" si="52"/>
        <v>89</v>
      </c>
      <c r="H401" s="517">
        <f t="shared" si="53"/>
        <v>91</v>
      </c>
      <c r="I401" s="517">
        <f t="shared" si="54"/>
        <v>92</v>
      </c>
      <c r="J401" s="507"/>
    </row>
    <row r="402" spans="1:10" ht="17.100000000000001" customHeight="1">
      <c r="A402" s="585"/>
      <c r="B402" s="505" t="s">
        <v>1163</v>
      </c>
      <c r="C402" s="505" t="s">
        <v>970</v>
      </c>
      <c r="D402" s="505">
        <v>237</v>
      </c>
      <c r="E402" s="518">
        <f t="shared" si="50"/>
        <v>1.8377079052456092E-3</v>
      </c>
      <c r="F402" s="517">
        <f t="shared" si="51"/>
        <v>240</v>
      </c>
      <c r="G402" s="517">
        <f t="shared" si="52"/>
        <v>245</v>
      </c>
      <c r="H402" s="517">
        <f t="shared" si="53"/>
        <v>250</v>
      </c>
      <c r="I402" s="517">
        <f t="shared" si="54"/>
        <v>255</v>
      </c>
      <c r="J402" s="507"/>
    </row>
    <row r="403" spans="1:10" ht="17.100000000000001" customHeight="1">
      <c r="A403" s="585"/>
      <c r="B403" s="505" t="s">
        <v>1088</v>
      </c>
      <c r="C403" s="505" t="s">
        <v>971</v>
      </c>
      <c r="D403" s="505">
        <v>49</v>
      </c>
      <c r="E403" s="518">
        <f t="shared" si="50"/>
        <v>3.7994804791997828E-4</v>
      </c>
      <c r="F403" s="517">
        <f t="shared" si="51"/>
        <v>50</v>
      </c>
      <c r="G403" s="517">
        <f t="shared" si="52"/>
        <v>51</v>
      </c>
      <c r="H403" s="517">
        <f t="shared" si="53"/>
        <v>52</v>
      </c>
      <c r="I403" s="517">
        <f t="shared" si="54"/>
        <v>53</v>
      </c>
      <c r="J403" s="507"/>
    </row>
    <row r="404" spans="1:10" ht="17.100000000000001" customHeight="1">
      <c r="A404" s="585"/>
      <c r="B404" s="505" t="s">
        <v>1088</v>
      </c>
      <c r="C404" s="505" t="s">
        <v>972</v>
      </c>
      <c r="D404" s="505">
        <v>122</v>
      </c>
      <c r="E404" s="518">
        <f t="shared" si="50"/>
        <v>9.4599309890280306E-4</v>
      </c>
      <c r="F404" s="517">
        <f t="shared" si="51"/>
        <v>123</v>
      </c>
      <c r="G404" s="517">
        <f t="shared" si="52"/>
        <v>126</v>
      </c>
      <c r="H404" s="517">
        <f t="shared" si="53"/>
        <v>129</v>
      </c>
      <c r="I404" s="517">
        <f t="shared" si="54"/>
        <v>131</v>
      </c>
      <c r="J404" s="507"/>
    </row>
    <row r="405" spans="1:10" ht="17.100000000000001" customHeight="1">
      <c r="A405" s="585"/>
      <c r="B405" s="505" t="s">
        <v>1088</v>
      </c>
      <c r="C405" s="505" t="s">
        <v>973</v>
      </c>
      <c r="D405" s="505">
        <v>116</v>
      </c>
      <c r="E405" s="518">
        <f t="shared" si="50"/>
        <v>8.9946884813709143E-4</v>
      </c>
      <c r="F405" s="517">
        <f t="shared" si="51"/>
        <v>117</v>
      </c>
      <c r="G405" s="517">
        <f t="shared" si="52"/>
        <v>120</v>
      </c>
      <c r="H405" s="517">
        <f t="shared" si="53"/>
        <v>123</v>
      </c>
      <c r="I405" s="517">
        <f t="shared" si="54"/>
        <v>125</v>
      </c>
      <c r="J405" s="507"/>
    </row>
    <row r="406" spans="1:10" ht="17.100000000000001" customHeight="1">
      <c r="A406" s="585"/>
      <c r="B406" s="505" t="s">
        <v>1088</v>
      </c>
      <c r="C406" s="505" t="s">
        <v>974</v>
      </c>
      <c r="D406" s="505">
        <v>326</v>
      </c>
      <c r="E406" s="518">
        <f t="shared" si="50"/>
        <v>2.5278176249369983E-3</v>
      </c>
      <c r="F406" s="517">
        <f t="shared" si="51"/>
        <v>330</v>
      </c>
      <c r="G406" s="517">
        <f t="shared" si="52"/>
        <v>337</v>
      </c>
      <c r="H406" s="517">
        <f t="shared" si="53"/>
        <v>344</v>
      </c>
      <c r="I406" s="517">
        <f t="shared" si="54"/>
        <v>350</v>
      </c>
      <c r="J406" s="507"/>
    </row>
    <row r="407" spans="1:10" ht="17.100000000000001" customHeight="1">
      <c r="A407" s="585"/>
      <c r="B407" s="505" t="s">
        <v>1088</v>
      </c>
      <c r="C407" s="505" t="s">
        <v>975</v>
      </c>
      <c r="D407" s="505">
        <v>111</v>
      </c>
      <c r="E407" s="518">
        <f t="shared" si="50"/>
        <v>8.6069863916566508E-4</v>
      </c>
      <c r="F407" s="517">
        <f t="shared" si="51"/>
        <v>112</v>
      </c>
      <c r="G407" s="517">
        <f t="shared" si="52"/>
        <v>115</v>
      </c>
      <c r="H407" s="517">
        <f t="shared" si="53"/>
        <v>117</v>
      </c>
      <c r="I407" s="517">
        <f t="shared" si="54"/>
        <v>119</v>
      </c>
      <c r="J407" s="507"/>
    </row>
    <row r="408" spans="1:10" ht="17.100000000000001" customHeight="1">
      <c r="A408" s="585"/>
      <c r="B408" s="505" t="s">
        <v>1088</v>
      </c>
      <c r="C408" s="505" t="s">
        <v>976</v>
      </c>
      <c r="D408" s="505">
        <v>190</v>
      </c>
      <c r="E408" s="518">
        <f t="shared" si="50"/>
        <v>1.4732679409142015E-3</v>
      </c>
      <c r="F408" s="517">
        <f t="shared" si="51"/>
        <v>192</v>
      </c>
      <c r="G408" s="517">
        <f t="shared" si="52"/>
        <v>196</v>
      </c>
      <c r="H408" s="517">
        <f t="shared" si="53"/>
        <v>201</v>
      </c>
      <c r="I408" s="517">
        <f t="shared" si="54"/>
        <v>204</v>
      </c>
      <c r="J408" s="507"/>
    </row>
    <row r="409" spans="1:10" ht="17.100000000000001" customHeight="1">
      <c r="A409" s="585"/>
      <c r="B409" s="505" t="s">
        <v>1088</v>
      </c>
      <c r="C409" s="505" t="s">
        <v>977</v>
      </c>
      <c r="D409" s="505">
        <v>70</v>
      </c>
      <c r="E409" s="518">
        <f t="shared" si="50"/>
        <v>5.4278292559996897E-4</v>
      </c>
      <c r="F409" s="517">
        <f t="shared" si="51"/>
        <v>71</v>
      </c>
      <c r="G409" s="517">
        <f t="shared" si="52"/>
        <v>72</v>
      </c>
      <c r="H409" s="517">
        <f t="shared" si="53"/>
        <v>74</v>
      </c>
      <c r="I409" s="517">
        <f t="shared" si="54"/>
        <v>75</v>
      </c>
      <c r="J409" s="507"/>
    </row>
    <row r="410" spans="1:10" ht="17.100000000000001" customHeight="1">
      <c r="A410" s="585"/>
      <c r="B410" s="505" t="s">
        <v>1088</v>
      </c>
      <c r="C410" s="505" t="s">
        <v>978</v>
      </c>
      <c r="D410" s="505">
        <v>75</v>
      </c>
      <c r="E410" s="518">
        <f t="shared" si="50"/>
        <v>5.8155313457139532E-4</v>
      </c>
      <c r="F410" s="517">
        <f t="shared" si="51"/>
        <v>76</v>
      </c>
      <c r="G410" s="517">
        <f t="shared" si="52"/>
        <v>77</v>
      </c>
      <c r="H410" s="517">
        <f t="shared" si="53"/>
        <v>79</v>
      </c>
      <c r="I410" s="517">
        <f t="shared" si="54"/>
        <v>81</v>
      </c>
      <c r="J410" s="507"/>
    </row>
    <row r="411" spans="1:10" ht="17.100000000000001" customHeight="1">
      <c r="A411" s="585"/>
      <c r="B411" s="505" t="s">
        <v>1088</v>
      </c>
      <c r="C411" s="505" t="s">
        <v>979</v>
      </c>
      <c r="D411" s="505">
        <v>361</v>
      </c>
      <c r="E411" s="518">
        <f t="shared" si="50"/>
        <v>2.799209087736983E-3</v>
      </c>
      <c r="F411" s="517">
        <f t="shared" si="51"/>
        <v>365</v>
      </c>
      <c r="G411" s="517">
        <f t="shared" si="52"/>
        <v>373</v>
      </c>
      <c r="H411" s="517">
        <f t="shared" si="53"/>
        <v>381</v>
      </c>
      <c r="I411" s="517">
        <f t="shared" si="54"/>
        <v>388</v>
      </c>
      <c r="J411" s="507"/>
    </row>
    <row r="412" spans="1:10" ht="17.100000000000001" customHeight="1">
      <c r="A412" s="585"/>
      <c r="B412" s="505" t="s">
        <v>1088</v>
      </c>
      <c r="C412" s="505" t="s">
        <v>980</v>
      </c>
      <c r="D412" s="505">
        <v>157</v>
      </c>
      <c r="E412" s="518">
        <f t="shared" si="50"/>
        <v>1.2173845617027875E-3</v>
      </c>
      <c r="F412" s="517">
        <f t="shared" si="51"/>
        <v>159</v>
      </c>
      <c r="G412" s="517">
        <f t="shared" si="52"/>
        <v>162</v>
      </c>
      <c r="H412" s="517">
        <f t="shared" si="53"/>
        <v>166</v>
      </c>
      <c r="I412" s="517">
        <f t="shared" si="54"/>
        <v>169</v>
      </c>
      <c r="J412" s="507"/>
    </row>
    <row r="413" spans="1:10" ht="17.100000000000001" customHeight="1">
      <c r="A413" s="585"/>
      <c r="B413" s="505" t="s">
        <v>1088</v>
      </c>
      <c r="C413" s="505" t="s">
        <v>981</v>
      </c>
      <c r="D413" s="505">
        <v>210</v>
      </c>
      <c r="E413" s="518">
        <f t="shared" si="50"/>
        <v>1.6283487767999069E-3</v>
      </c>
      <c r="F413" s="517">
        <f t="shared" si="51"/>
        <v>212</v>
      </c>
      <c r="G413" s="517">
        <f t="shared" si="52"/>
        <v>217</v>
      </c>
      <c r="H413" s="517">
        <f t="shared" si="53"/>
        <v>222</v>
      </c>
      <c r="I413" s="517">
        <f t="shared" si="54"/>
        <v>226</v>
      </c>
      <c r="J413" s="507"/>
    </row>
    <row r="414" spans="1:10" ht="17.100000000000001" customHeight="1">
      <c r="A414" s="585"/>
      <c r="B414" s="505" t="s">
        <v>1088</v>
      </c>
      <c r="C414" s="505" t="s">
        <v>982</v>
      </c>
      <c r="D414" s="505">
        <v>167</v>
      </c>
      <c r="E414" s="518">
        <f t="shared" si="50"/>
        <v>1.2949249796456402E-3</v>
      </c>
      <c r="F414" s="517">
        <f t="shared" si="51"/>
        <v>169</v>
      </c>
      <c r="G414" s="517">
        <f t="shared" si="52"/>
        <v>172</v>
      </c>
      <c r="H414" s="517">
        <f t="shared" si="53"/>
        <v>176</v>
      </c>
      <c r="I414" s="517">
        <f t="shared" si="54"/>
        <v>179</v>
      </c>
      <c r="J414" s="507"/>
    </row>
    <row r="415" spans="1:10" ht="17.100000000000001" customHeight="1">
      <c r="A415" s="585"/>
      <c r="B415" s="505" t="s">
        <v>1088</v>
      </c>
      <c r="C415" s="505" t="s">
        <v>983</v>
      </c>
      <c r="D415" s="505">
        <v>97</v>
      </c>
      <c r="E415" s="518">
        <f t="shared" si="50"/>
        <v>7.5214205404567128E-4</v>
      </c>
      <c r="F415" s="517">
        <f t="shared" si="51"/>
        <v>98</v>
      </c>
      <c r="G415" s="517">
        <f t="shared" si="52"/>
        <v>100</v>
      </c>
      <c r="H415" s="517">
        <f t="shared" si="53"/>
        <v>102</v>
      </c>
      <c r="I415" s="517">
        <f t="shared" si="54"/>
        <v>104</v>
      </c>
      <c r="J415" s="507"/>
    </row>
    <row r="416" spans="1:10" ht="17.100000000000001" customHeight="1">
      <c r="A416" s="585"/>
      <c r="B416" s="505" t="s">
        <v>1088</v>
      </c>
      <c r="C416" s="505" t="s">
        <v>984</v>
      </c>
      <c r="D416" s="505">
        <v>361</v>
      </c>
      <c r="E416" s="518">
        <f t="shared" si="50"/>
        <v>2.799209087736983E-3</v>
      </c>
      <c r="F416" s="517">
        <f t="shared" si="51"/>
        <v>365</v>
      </c>
      <c r="G416" s="517">
        <f t="shared" si="52"/>
        <v>373</v>
      </c>
      <c r="H416" s="517">
        <f t="shared" si="53"/>
        <v>381</v>
      </c>
      <c r="I416" s="517">
        <f t="shared" si="54"/>
        <v>388</v>
      </c>
      <c r="J416" s="507"/>
    </row>
    <row r="417" spans="1:11" ht="17.100000000000001" customHeight="1">
      <c r="A417" s="585"/>
      <c r="B417" s="505" t="s">
        <v>1088</v>
      </c>
      <c r="C417" s="505" t="s">
        <v>985</v>
      </c>
      <c r="D417" s="505">
        <v>153</v>
      </c>
      <c r="E417" s="518">
        <f t="shared" si="50"/>
        <v>1.1863683945256465E-3</v>
      </c>
      <c r="F417" s="517">
        <f t="shared" si="51"/>
        <v>155</v>
      </c>
      <c r="G417" s="517">
        <f t="shared" si="52"/>
        <v>158</v>
      </c>
      <c r="H417" s="517">
        <f t="shared" si="53"/>
        <v>162</v>
      </c>
      <c r="I417" s="517">
        <f t="shared" si="54"/>
        <v>164</v>
      </c>
      <c r="J417" s="507"/>
    </row>
    <row r="418" spans="1:11" ht="17.100000000000001" customHeight="1">
      <c r="A418" s="585"/>
      <c r="B418" s="505" t="s">
        <v>1088</v>
      </c>
      <c r="C418" s="505" t="s">
        <v>986</v>
      </c>
      <c r="D418" s="505">
        <v>117</v>
      </c>
      <c r="E418" s="518">
        <f t="shared" si="50"/>
        <v>9.072228899313767E-4</v>
      </c>
      <c r="F418" s="517">
        <f t="shared" si="51"/>
        <v>118</v>
      </c>
      <c r="G418" s="517">
        <f t="shared" si="52"/>
        <v>121</v>
      </c>
      <c r="H418" s="517">
        <f t="shared" si="53"/>
        <v>124</v>
      </c>
      <c r="I418" s="517">
        <f t="shared" si="54"/>
        <v>126</v>
      </c>
      <c r="J418" s="507"/>
    </row>
    <row r="419" spans="1:11" ht="17.100000000000001" customHeight="1">
      <c r="A419" s="585"/>
      <c r="B419" s="505" t="s">
        <v>1088</v>
      </c>
      <c r="C419" s="505" t="s">
        <v>987</v>
      </c>
      <c r="D419" s="505">
        <v>237</v>
      </c>
      <c r="E419" s="518">
        <f t="shared" si="50"/>
        <v>1.8377079052456092E-3</v>
      </c>
      <c r="F419" s="517">
        <f t="shared" si="51"/>
        <v>240</v>
      </c>
      <c r="G419" s="517">
        <f t="shared" si="52"/>
        <v>245</v>
      </c>
      <c r="H419" s="517">
        <f t="shared" si="53"/>
        <v>250</v>
      </c>
      <c r="I419" s="517">
        <f t="shared" si="54"/>
        <v>255</v>
      </c>
      <c r="J419" s="507"/>
    </row>
    <row r="420" spans="1:11" ht="17.100000000000001" customHeight="1">
      <c r="A420" s="585"/>
      <c r="B420" s="505" t="s">
        <v>1088</v>
      </c>
      <c r="C420" s="505" t="s">
        <v>988</v>
      </c>
      <c r="D420" s="505">
        <v>72</v>
      </c>
      <c r="E420" s="518">
        <f t="shared" si="50"/>
        <v>5.5829100918853951E-4</v>
      </c>
      <c r="F420" s="517">
        <f t="shared" si="51"/>
        <v>73</v>
      </c>
      <c r="G420" s="517">
        <f t="shared" si="52"/>
        <v>74</v>
      </c>
      <c r="H420" s="517">
        <f t="shared" si="53"/>
        <v>76</v>
      </c>
      <c r="I420" s="517">
        <f t="shared" si="54"/>
        <v>77</v>
      </c>
      <c r="J420" s="507"/>
    </row>
    <row r="421" spans="1:11" ht="17.100000000000001" customHeight="1">
      <c r="A421" s="585"/>
      <c r="B421" s="505" t="s">
        <v>1088</v>
      </c>
      <c r="C421" s="505" t="s">
        <v>989</v>
      </c>
      <c r="D421" s="505">
        <v>157</v>
      </c>
      <c r="E421" s="518">
        <f t="shared" si="50"/>
        <v>1.2173845617027875E-3</v>
      </c>
      <c r="F421" s="517">
        <f t="shared" si="51"/>
        <v>159</v>
      </c>
      <c r="G421" s="517">
        <f t="shared" si="52"/>
        <v>162</v>
      </c>
      <c r="H421" s="517">
        <f t="shared" si="53"/>
        <v>166</v>
      </c>
      <c r="I421" s="517">
        <f t="shared" si="54"/>
        <v>169</v>
      </c>
      <c r="J421" s="507"/>
    </row>
    <row r="422" spans="1:11" ht="17.100000000000001" customHeight="1">
      <c r="A422" s="585"/>
      <c r="B422" s="505" t="s">
        <v>1088</v>
      </c>
      <c r="C422" s="505" t="s">
        <v>990</v>
      </c>
      <c r="D422" s="505">
        <v>150</v>
      </c>
      <c r="E422" s="518">
        <f t="shared" si="50"/>
        <v>1.1631062691427906E-3</v>
      </c>
      <c r="F422" s="517">
        <f t="shared" si="51"/>
        <v>152</v>
      </c>
      <c r="G422" s="517">
        <f t="shared" si="52"/>
        <v>155</v>
      </c>
      <c r="H422" s="517">
        <f t="shared" si="53"/>
        <v>158</v>
      </c>
      <c r="I422" s="517">
        <f t="shared" si="54"/>
        <v>161</v>
      </c>
      <c r="J422" s="507"/>
    </row>
    <row r="423" spans="1:11" ht="17.100000000000001" customHeight="1">
      <c r="A423" s="585"/>
      <c r="B423" s="505" t="s">
        <v>1088</v>
      </c>
      <c r="C423" s="505" t="s">
        <v>991</v>
      </c>
      <c r="D423" s="505">
        <v>179</v>
      </c>
      <c r="E423" s="518">
        <f t="shared" si="50"/>
        <v>1.3879734811770635E-3</v>
      </c>
      <c r="F423" s="517">
        <f t="shared" si="51"/>
        <v>181</v>
      </c>
      <c r="G423" s="517">
        <f t="shared" si="52"/>
        <v>185</v>
      </c>
      <c r="H423" s="517">
        <f t="shared" si="53"/>
        <v>189</v>
      </c>
      <c r="I423" s="517">
        <f t="shared" si="54"/>
        <v>192</v>
      </c>
      <c r="J423" s="507"/>
    </row>
    <row r="424" spans="1:11" ht="17.100000000000001" customHeight="1">
      <c r="A424" s="585"/>
      <c r="B424" s="505" t="s">
        <v>1088</v>
      </c>
      <c r="C424" s="505" t="s">
        <v>992</v>
      </c>
      <c r="D424" s="505">
        <v>97</v>
      </c>
      <c r="E424" s="518">
        <f t="shared" si="50"/>
        <v>7.5214205404567128E-4</v>
      </c>
      <c r="F424" s="517">
        <f t="shared" si="51"/>
        <v>98</v>
      </c>
      <c r="G424" s="517">
        <f t="shared" si="52"/>
        <v>100</v>
      </c>
      <c r="H424" s="517">
        <f t="shared" si="53"/>
        <v>102</v>
      </c>
      <c r="I424" s="517">
        <f t="shared" si="54"/>
        <v>104</v>
      </c>
      <c r="J424" s="507"/>
    </row>
    <row r="425" spans="1:11" ht="17.100000000000001" customHeight="1">
      <c r="A425" s="585"/>
      <c r="B425" s="505" t="s">
        <v>1088</v>
      </c>
      <c r="C425" s="505" t="s">
        <v>993</v>
      </c>
      <c r="D425" s="505">
        <v>61</v>
      </c>
      <c r="E425" s="518">
        <f t="shared" si="50"/>
        <v>4.7299654945140153E-4</v>
      </c>
      <c r="F425" s="517">
        <f t="shared" si="51"/>
        <v>62</v>
      </c>
      <c r="G425" s="517">
        <f t="shared" si="52"/>
        <v>63</v>
      </c>
      <c r="H425" s="517">
        <f t="shared" si="53"/>
        <v>64</v>
      </c>
      <c r="I425" s="517">
        <f t="shared" si="54"/>
        <v>66</v>
      </c>
      <c r="J425" s="507"/>
    </row>
    <row r="426" spans="1:11" ht="17.100000000000001" customHeight="1">
      <c r="A426" s="585"/>
      <c r="B426" s="505" t="s">
        <v>1088</v>
      </c>
      <c r="C426" s="505" t="s">
        <v>994</v>
      </c>
      <c r="D426" s="505">
        <v>154</v>
      </c>
      <c r="E426" s="518">
        <f t="shared" si="50"/>
        <v>1.1941224363199317E-3</v>
      </c>
      <c r="F426" s="517">
        <f t="shared" si="51"/>
        <v>156</v>
      </c>
      <c r="G426" s="517">
        <f t="shared" si="52"/>
        <v>159</v>
      </c>
      <c r="H426" s="517">
        <f t="shared" si="53"/>
        <v>163</v>
      </c>
      <c r="I426" s="517">
        <f t="shared" si="54"/>
        <v>165</v>
      </c>
      <c r="J426" s="507"/>
    </row>
    <row r="427" spans="1:11" ht="17.100000000000001" customHeight="1">
      <c r="A427" s="585"/>
      <c r="B427" s="505" t="s">
        <v>1088</v>
      </c>
      <c r="C427" s="505" t="s">
        <v>995</v>
      </c>
      <c r="D427" s="505">
        <v>105</v>
      </c>
      <c r="E427" s="518">
        <f t="shared" si="50"/>
        <v>8.1417438839995345E-4</v>
      </c>
      <c r="F427" s="517">
        <f>ROUND($F$3*E427,0)</f>
        <v>106</v>
      </c>
      <c r="G427" s="517">
        <f>ROUND($G$3*E427,0)</f>
        <v>108</v>
      </c>
      <c r="H427" s="517">
        <f>ROUND($H$3*E427,0)</f>
        <v>111</v>
      </c>
      <c r="I427" s="517">
        <f>ROUND($I$3*E427,0)</f>
        <v>113</v>
      </c>
      <c r="J427" s="507"/>
    </row>
    <row r="428" spans="1:11" ht="17.100000000000001" customHeight="1">
      <c r="A428" s="585" t="s">
        <v>1164</v>
      </c>
      <c r="B428" s="583" t="s">
        <v>1151</v>
      </c>
      <c r="C428" s="583"/>
      <c r="D428" s="505">
        <f t="shared" ref="D428:I428" si="55">SUM(D429:D491)</f>
        <v>10468</v>
      </c>
      <c r="E428" s="520">
        <f t="shared" si="55"/>
        <v>8.116930950257821E-2</v>
      </c>
      <c r="F428" s="505">
        <f t="shared" si="55"/>
        <v>10591</v>
      </c>
      <c r="G428" s="505">
        <f t="shared" si="55"/>
        <v>10813</v>
      </c>
      <c r="H428" s="505">
        <f t="shared" si="55"/>
        <v>11056</v>
      </c>
      <c r="I428" s="505">
        <f t="shared" si="55"/>
        <v>11247</v>
      </c>
      <c r="J428" s="507"/>
      <c r="K428" s="524">
        <f>D428/$D$3</f>
        <v>8.1169309502578224E-2</v>
      </c>
    </row>
    <row r="429" spans="1:11" ht="17.100000000000001" customHeight="1">
      <c r="A429" s="585"/>
      <c r="B429" s="505" t="s">
        <v>1165</v>
      </c>
      <c r="C429" s="505" t="s">
        <v>996</v>
      </c>
      <c r="D429" s="505">
        <v>223</v>
      </c>
      <c r="E429" s="518">
        <f t="shared" ref="E429:E491" si="56">D429/$D$3</f>
        <v>1.7291513201256154E-3</v>
      </c>
      <c r="F429" s="517">
        <f t="shared" ref="F429:F491" si="57">ROUND($F$3*E429,0)</f>
        <v>226</v>
      </c>
      <c r="G429" s="517">
        <f t="shared" ref="G429:G491" si="58">ROUND($G$3*E429,0)</f>
        <v>230</v>
      </c>
      <c r="H429" s="517">
        <f t="shared" ref="H429:H491" si="59">ROUND($H$3*E429,0)</f>
        <v>236</v>
      </c>
      <c r="I429" s="517">
        <f t="shared" ref="I429:I491" si="60">ROUND($I$3*E429,0)</f>
        <v>240</v>
      </c>
      <c r="J429" s="507"/>
    </row>
    <row r="430" spans="1:11" ht="17.100000000000001" customHeight="1">
      <c r="A430" s="585"/>
      <c r="B430" s="505" t="s">
        <v>1079</v>
      </c>
      <c r="C430" s="505" t="s">
        <v>997</v>
      </c>
      <c r="D430" s="505">
        <v>140</v>
      </c>
      <c r="E430" s="518">
        <f t="shared" si="56"/>
        <v>1.0855658511999379E-3</v>
      </c>
      <c r="F430" s="517">
        <f t="shared" si="57"/>
        <v>142</v>
      </c>
      <c r="G430" s="517">
        <f t="shared" si="58"/>
        <v>145</v>
      </c>
      <c r="H430" s="517">
        <f t="shared" si="59"/>
        <v>148</v>
      </c>
      <c r="I430" s="517">
        <f t="shared" si="60"/>
        <v>150</v>
      </c>
      <c r="J430" s="507"/>
    </row>
    <row r="431" spans="1:11" ht="17.100000000000001" customHeight="1">
      <c r="A431" s="585"/>
      <c r="B431" s="505" t="s">
        <v>1079</v>
      </c>
      <c r="C431" s="505" t="s">
        <v>998</v>
      </c>
      <c r="D431" s="505">
        <v>133</v>
      </c>
      <c r="E431" s="518">
        <f t="shared" si="56"/>
        <v>1.031287558639941E-3</v>
      </c>
      <c r="F431" s="517">
        <f t="shared" si="57"/>
        <v>135</v>
      </c>
      <c r="G431" s="517">
        <f t="shared" si="58"/>
        <v>137</v>
      </c>
      <c r="H431" s="517">
        <f t="shared" si="59"/>
        <v>140</v>
      </c>
      <c r="I431" s="517">
        <f t="shared" si="60"/>
        <v>143</v>
      </c>
      <c r="J431" s="507"/>
    </row>
    <row r="432" spans="1:11" ht="17.100000000000001" customHeight="1">
      <c r="A432" s="585"/>
      <c r="B432" s="505" t="s">
        <v>1079</v>
      </c>
      <c r="C432" s="505" t="s">
        <v>999</v>
      </c>
      <c r="D432" s="505">
        <v>190</v>
      </c>
      <c r="E432" s="518">
        <f t="shared" si="56"/>
        <v>1.4732679409142015E-3</v>
      </c>
      <c r="F432" s="517">
        <f t="shared" si="57"/>
        <v>192</v>
      </c>
      <c r="G432" s="517">
        <f t="shared" si="58"/>
        <v>196</v>
      </c>
      <c r="H432" s="517">
        <f t="shared" si="59"/>
        <v>201</v>
      </c>
      <c r="I432" s="517">
        <f t="shared" si="60"/>
        <v>204</v>
      </c>
      <c r="J432" s="507"/>
    </row>
    <row r="433" spans="1:10" ht="17.100000000000001" customHeight="1">
      <c r="A433" s="585"/>
      <c r="B433" s="505" t="s">
        <v>1079</v>
      </c>
      <c r="C433" s="505" t="s">
        <v>1000</v>
      </c>
      <c r="D433" s="505">
        <v>147</v>
      </c>
      <c r="E433" s="518">
        <f t="shared" si="56"/>
        <v>1.1398441437599348E-3</v>
      </c>
      <c r="F433" s="517">
        <f t="shared" si="57"/>
        <v>149</v>
      </c>
      <c r="G433" s="517">
        <f t="shared" si="58"/>
        <v>152</v>
      </c>
      <c r="H433" s="517">
        <f t="shared" si="59"/>
        <v>155</v>
      </c>
      <c r="I433" s="517">
        <f t="shared" si="60"/>
        <v>158</v>
      </c>
      <c r="J433" s="507"/>
    </row>
    <row r="434" spans="1:10" ht="17.100000000000001" customHeight="1">
      <c r="A434" s="585"/>
      <c r="B434" s="505" t="s">
        <v>1079</v>
      </c>
      <c r="C434" s="505" t="s">
        <v>1001</v>
      </c>
      <c r="D434" s="505">
        <v>123</v>
      </c>
      <c r="E434" s="518">
        <f t="shared" si="56"/>
        <v>9.5374714069708833E-4</v>
      </c>
      <c r="F434" s="517">
        <f t="shared" si="57"/>
        <v>124</v>
      </c>
      <c r="G434" s="517">
        <f t="shared" si="58"/>
        <v>127</v>
      </c>
      <c r="H434" s="517">
        <f t="shared" si="59"/>
        <v>130</v>
      </c>
      <c r="I434" s="517">
        <f t="shared" si="60"/>
        <v>132</v>
      </c>
      <c r="J434" s="507"/>
    </row>
    <row r="435" spans="1:10" ht="17.100000000000001" customHeight="1">
      <c r="A435" s="585"/>
      <c r="B435" s="505" t="s">
        <v>1079</v>
      </c>
      <c r="C435" s="505" t="s">
        <v>1002</v>
      </c>
      <c r="D435" s="505">
        <v>177</v>
      </c>
      <c r="E435" s="518">
        <f t="shared" si="56"/>
        <v>1.372465397588493E-3</v>
      </c>
      <c r="F435" s="517">
        <f t="shared" si="57"/>
        <v>179</v>
      </c>
      <c r="G435" s="517">
        <f t="shared" si="58"/>
        <v>183</v>
      </c>
      <c r="H435" s="517">
        <f t="shared" si="59"/>
        <v>187</v>
      </c>
      <c r="I435" s="517">
        <f t="shared" si="60"/>
        <v>190</v>
      </c>
      <c r="J435" s="507"/>
    </row>
    <row r="436" spans="1:10" ht="17.100000000000001" customHeight="1">
      <c r="A436" s="585"/>
      <c r="B436" s="505" t="s">
        <v>1079</v>
      </c>
      <c r="C436" s="505" t="s">
        <v>1003</v>
      </c>
      <c r="D436" s="505">
        <v>245</v>
      </c>
      <c r="E436" s="518">
        <f t="shared" si="56"/>
        <v>1.8997402395998914E-3</v>
      </c>
      <c r="F436" s="517">
        <f t="shared" si="57"/>
        <v>248</v>
      </c>
      <c r="G436" s="517">
        <f t="shared" si="58"/>
        <v>253</v>
      </c>
      <c r="H436" s="517">
        <f t="shared" si="59"/>
        <v>259</v>
      </c>
      <c r="I436" s="517">
        <f t="shared" si="60"/>
        <v>263</v>
      </c>
      <c r="J436" s="507"/>
    </row>
    <row r="437" spans="1:10" ht="17.100000000000001" customHeight="1">
      <c r="A437" s="585"/>
      <c r="B437" s="505" t="s">
        <v>1079</v>
      </c>
      <c r="C437" s="505" t="s">
        <v>1004</v>
      </c>
      <c r="D437" s="505">
        <v>134</v>
      </c>
      <c r="E437" s="518">
        <f t="shared" si="56"/>
        <v>1.0390416004342263E-3</v>
      </c>
      <c r="F437" s="517">
        <f t="shared" si="57"/>
        <v>136</v>
      </c>
      <c r="G437" s="517">
        <f t="shared" si="58"/>
        <v>138</v>
      </c>
      <c r="H437" s="517">
        <f t="shared" si="59"/>
        <v>142</v>
      </c>
      <c r="I437" s="517">
        <f t="shared" si="60"/>
        <v>144</v>
      </c>
      <c r="J437" s="507"/>
    </row>
    <row r="438" spans="1:10" ht="17.100000000000001" customHeight="1">
      <c r="A438" s="585"/>
      <c r="B438" s="505" t="s">
        <v>1079</v>
      </c>
      <c r="C438" s="505" t="s">
        <v>1005</v>
      </c>
      <c r="D438" s="505">
        <v>213</v>
      </c>
      <c r="E438" s="518">
        <f t="shared" si="56"/>
        <v>1.6516109021827627E-3</v>
      </c>
      <c r="F438" s="517">
        <f t="shared" si="57"/>
        <v>215</v>
      </c>
      <c r="G438" s="517">
        <f t="shared" si="58"/>
        <v>220</v>
      </c>
      <c r="H438" s="517">
        <f t="shared" si="59"/>
        <v>225</v>
      </c>
      <c r="I438" s="517">
        <f t="shared" si="60"/>
        <v>229</v>
      </c>
      <c r="J438" s="507"/>
    </row>
    <row r="439" spans="1:10" ht="17.100000000000001" customHeight="1">
      <c r="A439" s="585"/>
      <c r="B439" s="505" t="s">
        <v>1079</v>
      </c>
      <c r="C439" s="505" t="s">
        <v>1006</v>
      </c>
      <c r="D439" s="505">
        <v>154</v>
      </c>
      <c r="E439" s="518">
        <f t="shared" si="56"/>
        <v>1.1941224363199317E-3</v>
      </c>
      <c r="F439" s="517">
        <f t="shared" si="57"/>
        <v>156</v>
      </c>
      <c r="G439" s="517">
        <f t="shared" si="58"/>
        <v>159</v>
      </c>
      <c r="H439" s="517">
        <f t="shared" si="59"/>
        <v>163</v>
      </c>
      <c r="I439" s="517">
        <f t="shared" si="60"/>
        <v>165</v>
      </c>
      <c r="J439" s="507"/>
    </row>
    <row r="440" spans="1:10" ht="17.100000000000001" customHeight="1">
      <c r="A440" s="585"/>
      <c r="B440" s="505" t="s">
        <v>1079</v>
      </c>
      <c r="C440" s="505" t="s">
        <v>1007</v>
      </c>
      <c r="D440" s="505">
        <v>115</v>
      </c>
      <c r="E440" s="518">
        <f t="shared" si="56"/>
        <v>8.9171480634280616E-4</v>
      </c>
      <c r="F440" s="517">
        <f t="shared" si="57"/>
        <v>116</v>
      </c>
      <c r="G440" s="517">
        <f t="shared" si="58"/>
        <v>119</v>
      </c>
      <c r="H440" s="517">
        <f t="shared" si="59"/>
        <v>121</v>
      </c>
      <c r="I440" s="517">
        <f t="shared" si="60"/>
        <v>124</v>
      </c>
      <c r="J440" s="507"/>
    </row>
    <row r="441" spans="1:10" ht="17.100000000000001" customHeight="1">
      <c r="A441" s="585"/>
      <c r="B441" s="505" t="s">
        <v>1079</v>
      </c>
      <c r="C441" s="505" t="s">
        <v>1008</v>
      </c>
      <c r="D441" s="505">
        <v>215</v>
      </c>
      <c r="E441" s="518">
        <f t="shared" si="56"/>
        <v>1.6671189857713333E-3</v>
      </c>
      <c r="F441" s="517">
        <f t="shared" si="57"/>
        <v>218</v>
      </c>
      <c r="G441" s="517">
        <f t="shared" si="58"/>
        <v>222</v>
      </c>
      <c r="H441" s="517">
        <f t="shared" si="59"/>
        <v>227</v>
      </c>
      <c r="I441" s="517">
        <f t="shared" si="60"/>
        <v>231</v>
      </c>
      <c r="J441" s="507"/>
    </row>
    <row r="442" spans="1:10" ht="17.100000000000001" customHeight="1">
      <c r="A442" s="585"/>
      <c r="B442" s="505" t="s">
        <v>1079</v>
      </c>
      <c r="C442" s="505" t="s">
        <v>1009</v>
      </c>
      <c r="D442" s="505">
        <v>275</v>
      </c>
      <c r="E442" s="518">
        <f t="shared" si="56"/>
        <v>2.1323614934284497E-3</v>
      </c>
      <c r="F442" s="517">
        <f t="shared" si="57"/>
        <v>278</v>
      </c>
      <c r="G442" s="517">
        <f t="shared" si="58"/>
        <v>284</v>
      </c>
      <c r="H442" s="517">
        <f t="shared" si="59"/>
        <v>290</v>
      </c>
      <c r="I442" s="517">
        <f t="shared" si="60"/>
        <v>295</v>
      </c>
      <c r="J442" s="507"/>
    </row>
    <row r="443" spans="1:10" ht="17.100000000000001" customHeight="1">
      <c r="A443" s="585"/>
      <c r="B443" s="505" t="s">
        <v>1079</v>
      </c>
      <c r="C443" s="505" t="s">
        <v>1010</v>
      </c>
      <c r="D443" s="505">
        <v>86</v>
      </c>
      <c r="E443" s="518">
        <f t="shared" si="56"/>
        <v>6.668475943085333E-4</v>
      </c>
      <c r="F443" s="517">
        <f t="shared" si="57"/>
        <v>87</v>
      </c>
      <c r="G443" s="517">
        <f t="shared" si="58"/>
        <v>89</v>
      </c>
      <c r="H443" s="517">
        <f t="shared" si="59"/>
        <v>91</v>
      </c>
      <c r="I443" s="517">
        <f t="shared" si="60"/>
        <v>92</v>
      </c>
      <c r="J443" s="507"/>
    </row>
    <row r="444" spans="1:10" ht="17.100000000000001" customHeight="1">
      <c r="A444" s="585"/>
      <c r="B444" s="505" t="s">
        <v>1079</v>
      </c>
      <c r="C444" s="505" t="s">
        <v>1011</v>
      </c>
      <c r="D444" s="505">
        <v>110</v>
      </c>
      <c r="E444" s="518">
        <f t="shared" si="56"/>
        <v>8.529445973713798E-4</v>
      </c>
      <c r="F444" s="517">
        <f t="shared" si="57"/>
        <v>111</v>
      </c>
      <c r="G444" s="517">
        <f t="shared" si="58"/>
        <v>114</v>
      </c>
      <c r="H444" s="517">
        <f t="shared" si="59"/>
        <v>116</v>
      </c>
      <c r="I444" s="517">
        <f t="shared" si="60"/>
        <v>118</v>
      </c>
      <c r="J444" s="507"/>
    </row>
    <row r="445" spans="1:10" ht="17.100000000000001" customHeight="1">
      <c r="A445" s="585"/>
      <c r="B445" s="505" t="s">
        <v>1079</v>
      </c>
      <c r="C445" s="505" t="s">
        <v>1012</v>
      </c>
      <c r="D445" s="505">
        <v>231</v>
      </c>
      <c r="E445" s="518">
        <f t="shared" si="56"/>
        <v>1.7911836544798976E-3</v>
      </c>
      <c r="F445" s="517">
        <f t="shared" si="57"/>
        <v>234</v>
      </c>
      <c r="G445" s="517">
        <f t="shared" si="58"/>
        <v>239</v>
      </c>
      <c r="H445" s="517">
        <f t="shared" si="59"/>
        <v>244</v>
      </c>
      <c r="I445" s="517">
        <f t="shared" si="60"/>
        <v>248</v>
      </c>
      <c r="J445" s="507"/>
    </row>
    <row r="446" spans="1:10" ht="17.100000000000001" customHeight="1">
      <c r="A446" s="585"/>
      <c r="B446" s="505" t="s">
        <v>1079</v>
      </c>
      <c r="C446" s="505" t="s">
        <v>1013</v>
      </c>
      <c r="D446" s="505">
        <v>176</v>
      </c>
      <c r="E446" s="518">
        <f t="shared" si="56"/>
        <v>1.3647113557942077E-3</v>
      </c>
      <c r="F446" s="517">
        <f t="shared" si="57"/>
        <v>178</v>
      </c>
      <c r="G446" s="517">
        <f t="shared" si="58"/>
        <v>182</v>
      </c>
      <c r="H446" s="517">
        <f t="shared" si="59"/>
        <v>186</v>
      </c>
      <c r="I446" s="517">
        <f t="shared" si="60"/>
        <v>189</v>
      </c>
      <c r="J446" s="507"/>
    </row>
    <row r="447" spans="1:10" ht="17.100000000000001" customHeight="1">
      <c r="A447" s="585"/>
      <c r="B447" s="505" t="s">
        <v>1079</v>
      </c>
      <c r="C447" s="505" t="s">
        <v>1014</v>
      </c>
      <c r="D447" s="505">
        <v>161</v>
      </c>
      <c r="E447" s="518">
        <f t="shared" si="56"/>
        <v>1.2484007288799286E-3</v>
      </c>
      <c r="F447" s="517">
        <f t="shared" si="57"/>
        <v>163</v>
      </c>
      <c r="G447" s="517">
        <f t="shared" si="58"/>
        <v>166</v>
      </c>
      <c r="H447" s="517">
        <f t="shared" si="59"/>
        <v>170</v>
      </c>
      <c r="I447" s="517">
        <f t="shared" si="60"/>
        <v>173</v>
      </c>
      <c r="J447" s="507"/>
    </row>
    <row r="448" spans="1:10" ht="17.100000000000001" customHeight="1">
      <c r="A448" s="585"/>
      <c r="B448" s="505" t="s">
        <v>1079</v>
      </c>
      <c r="C448" s="505" t="s">
        <v>1015</v>
      </c>
      <c r="D448" s="505">
        <v>259</v>
      </c>
      <c r="E448" s="518">
        <f t="shared" si="56"/>
        <v>2.0082968247198854E-3</v>
      </c>
      <c r="F448" s="517">
        <f t="shared" si="57"/>
        <v>262</v>
      </c>
      <c r="G448" s="517">
        <f t="shared" si="58"/>
        <v>268</v>
      </c>
      <c r="H448" s="517">
        <f t="shared" si="59"/>
        <v>274</v>
      </c>
      <c r="I448" s="517">
        <f t="shared" si="60"/>
        <v>278</v>
      </c>
      <c r="J448" s="507"/>
    </row>
    <row r="449" spans="1:10" ht="17.100000000000001" customHeight="1">
      <c r="A449" s="585"/>
      <c r="B449" s="505" t="s">
        <v>1079</v>
      </c>
      <c r="C449" s="505" t="s">
        <v>1016</v>
      </c>
      <c r="D449" s="505">
        <v>160</v>
      </c>
      <c r="E449" s="518">
        <f t="shared" si="56"/>
        <v>1.2406466870856434E-3</v>
      </c>
      <c r="F449" s="517">
        <f t="shared" si="57"/>
        <v>162</v>
      </c>
      <c r="G449" s="517">
        <f t="shared" si="58"/>
        <v>165</v>
      </c>
      <c r="H449" s="517">
        <f t="shared" si="59"/>
        <v>169</v>
      </c>
      <c r="I449" s="517">
        <f t="shared" si="60"/>
        <v>172</v>
      </c>
      <c r="J449" s="507"/>
    </row>
    <row r="450" spans="1:10" ht="17.100000000000001" customHeight="1">
      <c r="A450" s="585"/>
      <c r="B450" s="505" t="s">
        <v>1079</v>
      </c>
      <c r="C450" s="505" t="s">
        <v>1017</v>
      </c>
      <c r="D450" s="505">
        <v>199</v>
      </c>
      <c r="E450" s="518">
        <f t="shared" si="56"/>
        <v>1.5430543170627689E-3</v>
      </c>
      <c r="F450" s="517">
        <f t="shared" si="57"/>
        <v>201</v>
      </c>
      <c r="G450" s="517">
        <f t="shared" si="58"/>
        <v>206</v>
      </c>
      <c r="H450" s="517">
        <f t="shared" si="59"/>
        <v>210</v>
      </c>
      <c r="I450" s="517">
        <f t="shared" si="60"/>
        <v>214</v>
      </c>
      <c r="J450" s="507"/>
    </row>
    <row r="451" spans="1:10" ht="17.100000000000001" customHeight="1">
      <c r="A451" s="585"/>
      <c r="B451" s="505" t="s">
        <v>1079</v>
      </c>
      <c r="C451" s="505" t="s">
        <v>1018</v>
      </c>
      <c r="D451" s="505">
        <v>133</v>
      </c>
      <c r="E451" s="518">
        <f t="shared" si="56"/>
        <v>1.031287558639941E-3</v>
      </c>
      <c r="F451" s="517">
        <f t="shared" si="57"/>
        <v>135</v>
      </c>
      <c r="G451" s="517">
        <f t="shared" si="58"/>
        <v>137</v>
      </c>
      <c r="H451" s="517">
        <f t="shared" si="59"/>
        <v>140</v>
      </c>
      <c r="I451" s="517">
        <f t="shared" si="60"/>
        <v>143</v>
      </c>
      <c r="J451" s="507"/>
    </row>
    <row r="452" spans="1:10" ht="17.100000000000001" customHeight="1">
      <c r="A452" s="585"/>
      <c r="B452" s="505" t="s">
        <v>1079</v>
      </c>
      <c r="C452" s="505" t="s">
        <v>1019</v>
      </c>
      <c r="D452" s="505">
        <v>153</v>
      </c>
      <c r="E452" s="518">
        <f t="shared" si="56"/>
        <v>1.1863683945256465E-3</v>
      </c>
      <c r="F452" s="517">
        <f t="shared" si="57"/>
        <v>155</v>
      </c>
      <c r="G452" s="517">
        <f t="shared" si="58"/>
        <v>158</v>
      </c>
      <c r="H452" s="517">
        <f t="shared" si="59"/>
        <v>162</v>
      </c>
      <c r="I452" s="517">
        <f t="shared" si="60"/>
        <v>164</v>
      </c>
      <c r="J452" s="507"/>
    </row>
    <row r="453" spans="1:10" ht="17.100000000000001" customHeight="1">
      <c r="A453" s="585"/>
      <c r="B453" s="505" t="s">
        <v>1079</v>
      </c>
      <c r="C453" s="505" t="s">
        <v>1020</v>
      </c>
      <c r="D453" s="505">
        <v>168</v>
      </c>
      <c r="E453" s="518">
        <f t="shared" si="56"/>
        <v>1.3026790214399255E-3</v>
      </c>
      <c r="F453" s="517">
        <f t="shared" si="57"/>
        <v>170</v>
      </c>
      <c r="G453" s="517">
        <f t="shared" si="58"/>
        <v>174</v>
      </c>
      <c r="H453" s="517">
        <f t="shared" si="59"/>
        <v>177</v>
      </c>
      <c r="I453" s="517">
        <f t="shared" si="60"/>
        <v>181</v>
      </c>
      <c r="J453" s="507"/>
    </row>
    <row r="454" spans="1:10" ht="17.100000000000001" customHeight="1">
      <c r="A454" s="585"/>
      <c r="B454" s="505" t="s">
        <v>1079</v>
      </c>
      <c r="C454" s="505" t="s">
        <v>1021</v>
      </c>
      <c r="D454" s="505">
        <v>199</v>
      </c>
      <c r="E454" s="518">
        <f t="shared" si="56"/>
        <v>1.5430543170627689E-3</v>
      </c>
      <c r="F454" s="517">
        <f t="shared" si="57"/>
        <v>201</v>
      </c>
      <c r="G454" s="517">
        <f t="shared" si="58"/>
        <v>206</v>
      </c>
      <c r="H454" s="517">
        <f t="shared" si="59"/>
        <v>210</v>
      </c>
      <c r="I454" s="517">
        <f t="shared" si="60"/>
        <v>214</v>
      </c>
      <c r="J454" s="507"/>
    </row>
    <row r="455" spans="1:10" ht="17.100000000000001" customHeight="1">
      <c r="A455" s="585"/>
      <c r="B455" s="505" t="s">
        <v>1079</v>
      </c>
      <c r="C455" s="505" t="s">
        <v>1022</v>
      </c>
      <c r="D455" s="505">
        <v>178</v>
      </c>
      <c r="E455" s="518">
        <f t="shared" si="56"/>
        <v>1.3802194393827782E-3</v>
      </c>
      <c r="F455" s="517">
        <f t="shared" si="57"/>
        <v>180</v>
      </c>
      <c r="G455" s="517">
        <f t="shared" si="58"/>
        <v>184</v>
      </c>
      <c r="H455" s="517">
        <f t="shared" si="59"/>
        <v>188</v>
      </c>
      <c r="I455" s="517">
        <f t="shared" si="60"/>
        <v>191</v>
      </c>
      <c r="J455" s="507"/>
    </row>
    <row r="456" spans="1:10" ht="17.100000000000001" customHeight="1">
      <c r="A456" s="585"/>
      <c r="B456" s="505" t="s">
        <v>1079</v>
      </c>
      <c r="C456" s="505" t="s">
        <v>1166</v>
      </c>
      <c r="D456" s="505">
        <v>186</v>
      </c>
      <c r="E456" s="518">
        <f t="shared" si="56"/>
        <v>1.4422517737370604E-3</v>
      </c>
      <c r="F456" s="517">
        <f t="shared" si="57"/>
        <v>188</v>
      </c>
      <c r="G456" s="517">
        <f t="shared" si="58"/>
        <v>192</v>
      </c>
      <c r="H456" s="517">
        <f t="shared" si="59"/>
        <v>196</v>
      </c>
      <c r="I456" s="517">
        <f t="shared" si="60"/>
        <v>200</v>
      </c>
      <c r="J456" s="507"/>
    </row>
    <row r="457" spans="1:10" ht="17.100000000000001" customHeight="1">
      <c r="A457" s="585"/>
      <c r="B457" s="505" t="s">
        <v>1079</v>
      </c>
      <c r="C457" s="505" t="s">
        <v>1167</v>
      </c>
      <c r="D457" s="505">
        <v>148</v>
      </c>
      <c r="E457" s="518">
        <f t="shared" si="56"/>
        <v>1.1475981855542201E-3</v>
      </c>
      <c r="F457" s="517">
        <f t="shared" si="57"/>
        <v>150</v>
      </c>
      <c r="G457" s="517">
        <f t="shared" si="58"/>
        <v>153</v>
      </c>
      <c r="H457" s="517">
        <f t="shared" si="59"/>
        <v>156</v>
      </c>
      <c r="I457" s="517">
        <f t="shared" si="60"/>
        <v>159</v>
      </c>
      <c r="J457" s="507"/>
    </row>
    <row r="458" spans="1:10" ht="17.100000000000001" customHeight="1">
      <c r="A458" s="585"/>
      <c r="B458" s="505" t="s">
        <v>1079</v>
      </c>
      <c r="C458" s="505" t="s">
        <v>1023</v>
      </c>
      <c r="D458" s="505">
        <v>134</v>
      </c>
      <c r="E458" s="518">
        <f t="shared" si="56"/>
        <v>1.0390416004342263E-3</v>
      </c>
      <c r="F458" s="517">
        <f t="shared" si="57"/>
        <v>136</v>
      </c>
      <c r="G458" s="517">
        <f t="shared" si="58"/>
        <v>138</v>
      </c>
      <c r="H458" s="517">
        <f t="shared" si="59"/>
        <v>142</v>
      </c>
      <c r="I458" s="517">
        <f t="shared" si="60"/>
        <v>144</v>
      </c>
      <c r="J458" s="507"/>
    </row>
    <row r="459" spans="1:10" ht="17.100000000000001" customHeight="1">
      <c r="A459" s="585"/>
      <c r="B459" s="505" t="s">
        <v>1168</v>
      </c>
      <c r="C459" s="505" t="s">
        <v>1024</v>
      </c>
      <c r="D459" s="505">
        <v>300</v>
      </c>
      <c r="E459" s="518">
        <f t="shared" si="56"/>
        <v>2.3262125382855813E-3</v>
      </c>
      <c r="F459" s="517">
        <f t="shared" si="57"/>
        <v>303</v>
      </c>
      <c r="G459" s="517">
        <f t="shared" si="58"/>
        <v>310</v>
      </c>
      <c r="H459" s="517">
        <f t="shared" si="59"/>
        <v>317</v>
      </c>
      <c r="I459" s="517">
        <f t="shared" si="60"/>
        <v>322</v>
      </c>
      <c r="J459" s="507"/>
    </row>
    <row r="460" spans="1:10" ht="17.100000000000001" customHeight="1">
      <c r="A460" s="585"/>
      <c r="B460" s="505" t="s">
        <v>1086</v>
      </c>
      <c r="C460" s="505" t="s">
        <v>1025</v>
      </c>
      <c r="D460" s="505">
        <v>170</v>
      </c>
      <c r="E460" s="518">
        <f t="shared" si="56"/>
        <v>1.3181871050284961E-3</v>
      </c>
      <c r="F460" s="517">
        <f t="shared" si="57"/>
        <v>172</v>
      </c>
      <c r="G460" s="517">
        <f t="shared" si="58"/>
        <v>176</v>
      </c>
      <c r="H460" s="517">
        <f t="shared" si="59"/>
        <v>180</v>
      </c>
      <c r="I460" s="517">
        <f t="shared" si="60"/>
        <v>183</v>
      </c>
      <c r="J460" s="507"/>
    </row>
    <row r="461" spans="1:10" ht="17.100000000000001" customHeight="1">
      <c r="A461" s="585"/>
      <c r="B461" s="505" t="s">
        <v>1086</v>
      </c>
      <c r="C461" s="505" t="s">
        <v>1026</v>
      </c>
      <c r="D461" s="505">
        <v>155</v>
      </c>
      <c r="E461" s="518">
        <f t="shared" si="56"/>
        <v>1.201876478114217E-3</v>
      </c>
      <c r="F461" s="517">
        <f t="shared" si="57"/>
        <v>157</v>
      </c>
      <c r="G461" s="517">
        <f t="shared" si="58"/>
        <v>160</v>
      </c>
      <c r="H461" s="517">
        <f t="shared" si="59"/>
        <v>164</v>
      </c>
      <c r="I461" s="517">
        <f t="shared" si="60"/>
        <v>167</v>
      </c>
      <c r="J461" s="507"/>
    </row>
    <row r="462" spans="1:10" ht="17.100000000000001" customHeight="1">
      <c r="A462" s="585"/>
      <c r="B462" s="505" t="s">
        <v>1086</v>
      </c>
      <c r="C462" s="505" t="s">
        <v>1027</v>
      </c>
      <c r="D462" s="505">
        <v>125</v>
      </c>
      <c r="E462" s="518">
        <f t="shared" si="56"/>
        <v>9.6925522428565887E-4</v>
      </c>
      <c r="F462" s="517">
        <f t="shared" si="57"/>
        <v>126</v>
      </c>
      <c r="G462" s="517">
        <f t="shared" si="58"/>
        <v>129</v>
      </c>
      <c r="H462" s="517">
        <f t="shared" si="59"/>
        <v>132</v>
      </c>
      <c r="I462" s="517">
        <f t="shared" si="60"/>
        <v>134</v>
      </c>
      <c r="J462" s="507"/>
    </row>
    <row r="463" spans="1:10" ht="17.100000000000001" customHeight="1">
      <c r="A463" s="585"/>
      <c r="B463" s="505" t="s">
        <v>1086</v>
      </c>
      <c r="C463" s="505" t="s">
        <v>1028</v>
      </c>
      <c r="D463" s="505">
        <v>115</v>
      </c>
      <c r="E463" s="518">
        <f t="shared" si="56"/>
        <v>8.9171480634280616E-4</v>
      </c>
      <c r="F463" s="517">
        <f t="shared" si="57"/>
        <v>116</v>
      </c>
      <c r="G463" s="517">
        <f t="shared" si="58"/>
        <v>119</v>
      </c>
      <c r="H463" s="517">
        <f t="shared" si="59"/>
        <v>121</v>
      </c>
      <c r="I463" s="517">
        <f t="shared" si="60"/>
        <v>124</v>
      </c>
      <c r="J463" s="507"/>
    </row>
    <row r="464" spans="1:10" ht="17.100000000000001" customHeight="1">
      <c r="A464" s="585"/>
      <c r="B464" s="505" t="s">
        <v>1086</v>
      </c>
      <c r="C464" s="505" t="s">
        <v>1029</v>
      </c>
      <c r="D464" s="505">
        <v>192</v>
      </c>
      <c r="E464" s="518">
        <f t="shared" si="56"/>
        <v>1.488776024502772E-3</v>
      </c>
      <c r="F464" s="517">
        <f t="shared" si="57"/>
        <v>194</v>
      </c>
      <c r="G464" s="517">
        <f t="shared" si="58"/>
        <v>198</v>
      </c>
      <c r="H464" s="517">
        <f t="shared" si="59"/>
        <v>203</v>
      </c>
      <c r="I464" s="517">
        <f t="shared" si="60"/>
        <v>206</v>
      </c>
      <c r="J464" s="507"/>
    </row>
    <row r="465" spans="1:10" ht="17.100000000000001" customHeight="1">
      <c r="A465" s="585"/>
      <c r="B465" s="505" t="s">
        <v>1086</v>
      </c>
      <c r="C465" s="505" t="s">
        <v>1030</v>
      </c>
      <c r="D465" s="505">
        <v>211</v>
      </c>
      <c r="E465" s="518">
        <f t="shared" si="56"/>
        <v>1.6361028185941922E-3</v>
      </c>
      <c r="F465" s="517">
        <f t="shared" si="57"/>
        <v>213</v>
      </c>
      <c r="G465" s="517">
        <f t="shared" si="58"/>
        <v>218</v>
      </c>
      <c r="H465" s="517">
        <f t="shared" si="59"/>
        <v>223</v>
      </c>
      <c r="I465" s="517">
        <f t="shared" si="60"/>
        <v>227</v>
      </c>
      <c r="J465" s="507"/>
    </row>
    <row r="466" spans="1:10" ht="17.100000000000001" customHeight="1">
      <c r="A466" s="585"/>
      <c r="B466" s="505" t="s">
        <v>1086</v>
      </c>
      <c r="C466" s="505" t="s">
        <v>1031</v>
      </c>
      <c r="D466" s="505">
        <v>183</v>
      </c>
      <c r="E466" s="518">
        <f t="shared" si="56"/>
        <v>1.4189896483542046E-3</v>
      </c>
      <c r="F466" s="517">
        <f t="shared" si="57"/>
        <v>185</v>
      </c>
      <c r="G466" s="517">
        <f t="shared" si="58"/>
        <v>189</v>
      </c>
      <c r="H466" s="517">
        <f t="shared" si="59"/>
        <v>193</v>
      </c>
      <c r="I466" s="517">
        <f t="shared" si="60"/>
        <v>197</v>
      </c>
      <c r="J466" s="507"/>
    </row>
    <row r="467" spans="1:10" ht="17.100000000000001" customHeight="1">
      <c r="A467" s="585"/>
      <c r="B467" s="505" t="s">
        <v>1086</v>
      </c>
      <c r="C467" s="505" t="s">
        <v>1032</v>
      </c>
      <c r="D467" s="505">
        <v>217</v>
      </c>
      <c r="E467" s="518">
        <f t="shared" si="56"/>
        <v>1.6826270693599038E-3</v>
      </c>
      <c r="F467" s="517">
        <f t="shared" si="57"/>
        <v>220</v>
      </c>
      <c r="G467" s="517">
        <f t="shared" si="58"/>
        <v>224</v>
      </c>
      <c r="H467" s="517">
        <f t="shared" si="59"/>
        <v>229</v>
      </c>
      <c r="I467" s="517">
        <f t="shared" si="60"/>
        <v>233</v>
      </c>
      <c r="J467" s="507"/>
    </row>
    <row r="468" spans="1:10" ht="17.100000000000001" customHeight="1">
      <c r="A468" s="585"/>
      <c r="B468" s="505" t="s">
        <v>1086</v>
      </c>
      <c r="C468" s="505" t="s">
        <v>1033</v>
      </c>
      <c r="D468" s="505">
        <v>164</v>
      </c>
      <c r="E468" s="518">
        <f t="shared" si="56"/>
        <v>1.2716628542627844E-3</v>
      </c>
      <c r="F468" s="517">
        <f t="shared" si="57"/>
        <v>166</v>
      </c>
      <c r="G468" s="517">
        <f t="shared" si="58"/>
        <v>169</v>
      </c>
      <c r="H468" s="517">
        <f t="shared" si="59"/>
        <v>173</v>
      </c>
      <c r="I468" s="517">
        <f t="shared" si="60"/>
        <v>176</v>
      </c>
      <c r="J468" s="507"/>
    </row>
    <row r="469" spans="1:10" ht="17.100000000000001" customHeight="1">
      <c r="A469" s="585"/>
      <c r="B469" s="505" t="s">
        <v>1086</v>
      </c>
      <c r="C469" s="505" t="s">
        <v>1034</v>
      </c>
      <c r="D469" s="505">
        <v>156</v>
      </c>
      <c r="E469" s="518">
        <f t="shared" si="56"/>
        <v>1.2096305199085023E-3</v>
      </c>
      <c r="F469" s="517">
        <f t="shared" si="57"/>
        <v>158</v>
      </c>
      <c r="G469" s="517">
        <f t="shared" si="58"/>
        <v>161</v>
      </c>
      <c r="H469" s="517">
        <f t="shared" si="59"/>
        <v>165</v>
      </c>
      <c r="I469" s="517">
        <f t="shared" si="60"/>
        <v>168</v>
      </c>
      <c r="J469" s="507"/>
    </row>
    <row r="470" spans="1:10" ht="17.100000000000001" customHeight="1">
      <c r="A470" s="585"/>
      <c r="B470" s="505" t="s">
        <v>1086</v>
      </c>
      <c r="C470" s="505" t="s">
        <v>1035</v>
      </c>
      <c r="D470" s="505">
        <v>248</v>
      </c>
      <c r="E470" s="518">
        <f t="shared" si="56"/>
        <v>1.9230023649827472E-3</v>
      </c>
      <c r="F470" s="517">
        <f t="shared" si="57"/>
        <v>251</v>
      </c>
      <c r="G470" s="517">
        <f t="shared" si="58"/>
        <v>256</v>
      </c>
      <c r="H470" s="517">
        <f t="shared" si="59"/>
        <v>262</v>
      </c>
      <c r="I470" s="517">
        <f t="shared" si="60"/>
        <v>266</v>
      </c>
      <c r="J470" s="507"/>
    </row>
    <row r="471" spans="1:10" ht="17.100000000000001" customHeight="1">
      <c r="A471" s="585"/>
      <c r="B471" s="505" t="s">
        <v>1086</v>
      </c>
      <c r="C471" s="505" t="s">
        <v>1036</v>
      </c>
      <c r="D471" s="505">
        <v>107</v>
      </c>
      <c r="E471" s="518">
        <f t="shared" si="56"/>
        <v>8.2968247198852399E-4</v>
      </c>
      <c r="F471" s="517">
        <f t="shared" si="57"/>
        <v>108</v>
      </c>
      <c r="G471" s="517">
        <f t="shared" si="58"/>
        <v>111</v>
      </c>
      <c r="H471" s="517">
        <f t="shared" si="59"/>
        <v>113</v>
      </c>
      <c r="I471" s="517">
        <f t="shared" si="60"/>
        <v>115</v>
      </c>
      <c r="J471" s="507"/>
    </row>
    <row r="472" spans="1:10" ht="17.100000000000001" customHeight="1">
      <c r="A472" s="585"/>
      <c r="B472" s="505" t="s">
        <v>1086</v>
      </c>
      <c r="C472" s="505" t="s">
        <v>1037</v>
      </c>
      <c r="D472" s="505">
        <v>187</v>
      </c>
      <c r="E472" s="518">
        <f t="shared" si="56"/>
        <v>1.4500058155313457E-3</v>
      </c>
      <c r="F472" s="517">
        <f t="shared" si="57"/>
        <v>189</v>
      </c>
      <c r="G472" s="517">
        <f t="shared" si="58"/>
        <v>193</v>
      </c>
      <c r="H472" s="517">
        <f t="shared" si="59"/>
        <v>198</v>
      </c>
      <c r="I472" s="517">
        <f t="shared" si="60"/>
        <v>201</v>
      </c>
      <c r="J472" s="507"/>
    </row>
    <row r="473" spans="1:10" ht="17.100000000000001" customHeight="1">
      <c r="A473" s="585"/>
      <c r="B473" s="505" t="s">
        <v>1086</v>
      </c>
      <c r="C473" s="505" t="s">
        <v>1038</v>
      </c>
      <c r="D473" s="505">
        <v>239</v>
      </c>
      <c r="E473" s="518">
        <f t="shared" si="56"/>
        <v>1.8532159888341798E-3</v>
      </c>
      <c r="F473" s="517">
        <f t="shared" si="57"/>
        <v>242</v>
      </c>
      <c r="G473" s="517">
        <f t="shared" si="58"/>
        <v>247</v>
      </c>
      <c r="H473" s="517">
        <f t="shared" si="59"/>
        <v>252</v>
      </c>
      <c r="I473" s="517">
        <f t="shared" si="60"/>
        <v>257</v>
      </c>
      <c r="J473" s="507"/>
    </row>
    <row r="474" spans="1:10" ht="17.100000000000001" customHeight="1">
      <c r="A474" s="585"/>
      <c r="B474" s="505" t="s">
        <v>1086</v>
      </c>
      <c r="C474" s="505" t="s">
        <v>1039</v>
      </c>
      <c r="D474" s="505">
        <v>237</v>
      </c>
      <c r="E474" s="518">
        <f t="shared" si="56"/>
        <v>1.8377079052456092E-3</v>
      </c>
      <c r="F474" s="517">
        <f t="shared" si="57"/>
        <v>240</v>
      </c>
      <c r="G474" s="517">
        <f t="shared" si="58"/>
        <v>245</v>
      </c>
      <c r="H474" s="517">
        <f t="shared" si="59"/>
        <v>250</v>
      </c>
      <c r="I474" s="517">
        <f t="shared" si="60"/>
        <v>255</v>
      </c>
      <c r="J474" s="507"/>
    </row>
    <row r="475" spans="1:10" ht="17.100000000000001" customHeight="1">
      <c r="A475" s="585"/>
      <c r="B475" s="505" t="s">
        <v>1086</v>
      </c>
      <c r="C475" s="505" t="s">
        <v>1040</v>
      </c>
      <c r="D475" s="505">
        <v>163</v>
      </c>
      <c r="E475" s="518">
        <f t="shared" si="56"/>
        <v>1.2639088124684992E-3</v>
      </c>
      <c r="F475" s="517">
        <f t="shared" si="57"/>
        <v>165</v>
      </c>
      <c r="G475" s="517">
        <f t="shared" si="58"/>
        <v>168</v>
      </c>
      <c r="H475" s="517">
        <f t="shared" si="59"/>
        <v>172</v>
      </c>
      <c r="I475" s="517">
        <f t="shared" si="60"/>
        <v>175</v>
      </c>
      <c r="J475" s="507"/>
    </row>
    <row r="476" spans="1:10" ht="17.100000000000001" customHeight="1">
      <c r="A476" s="585"/>
      <c r="B476" s="505" t="s">
        <v>1086</v>
      </c>
      <c r="C476" s="505" t="s">
        <v>1041</v>
      </c>
      <c r="D476" s="505">
        <v>93</v>
      </c>
      <c r="E476" s="518">
        <f t="shared" si="56"/>
        <v>7.211258868685302E-4</v>
      </c>
      <c r="F476" s="517">
        <f t="shared" si="57"/>
        <v>94</v>
      </c>
      <c r="G476" s="517">
        <f t="shared" si="58"/>
        <v>96</v>
      </c>
      <c r="H476" s="517">
        <f t="shared" si="59"/>
        <v>98</v>
      </c>
      <c r="I476" s="517">
        <f t="shared" si="60"/>
        <v>100</v>
      </c>
      <c r="J476" s="507"/>
    </row>
    <row r="477" spans="1:10" ht="17.100000000000001" customHeight="1">
      <c r="A477" s="585"/>
      <c r="B477" s="505" t="s">
        <v>1086</v>
      </c>
      <c r="C477" s="505" t="s">
        <v>1042</v>
      </c>
      <c r="D477" s="505">
        <v>401</v>
      </c>
      <c r="E477" s="518">
        <f t="shared" si="56"/>
        <v>3.1093707595083939E-3</v>
      </c>
      <c r="F477" s="517">
        <f t="shared" si="57"/>
        <v>406</v>
      </c>
      <c r="G477" s="517">
        <f t="shared" si="58"/>
        <v>414</v>
      </c>
      <c r="H477" s="517">
        <f t="shared" si="59"/>
        <v>424</v>
      </c>
      <c r="I477" s="517">
        <f t="shared" si="60"/>
        <v>431</v>
      </c>
      <c r="J477" s="507"/>
    </row>
    <row r="478" spans="1:10" ht="17.100000000000001" customHeight="1">
      <c r="A478" s="585"/>
      <c r="B478" s="505" t="s">
        <v>1086</v>
      </c>
      <c r="C478" s="505" t="s">
        <v>1043</v>
      </c>
      <c r="D478" s="505">
        <v>71</v>
      </c>
      <c r="E478" s="518">
        <f t="shared" si="56"/>
        <v>5.5053696739425424E-4</v>
      </c>
      <c r="F478" s="517">
        <f t="shared" si="57"/>
        <v>72</v>
      </c>
      <c r="G478" s="517">
        <f t="shared" si="58"/>
        <v>73</v>
      </c>
      <c r="H478" s="517">
        <f t="shared" si="59"/>
        <v>75</v>
      </c>
      <c r="I478" s="517">
        <f t="shared" si="60"/>
        <v>76</v>
      </c>
      <c r="J478" s="507"/>
    </row>
    <row r="479" spans="1:10" ht="17.100000000000001" customHeight="1">
      <c r="A479" s="585"/>
      <c r="B479" s="505" t="s">
        <v>1086</v>
      </c>
      <c r="C479" s="505" t="s">
        <v>1044</v>
      </c>
      <c r="D479" s="505">
        <v>94</v>
      </c>
      <c r="E479" s="518">
        <f t="shared" si="56"/>
        <v>7.2887992866281547E-4</v>
      </c>
      <c r="F479" s="517">
        <f t="shared" si="57"/>
        <v>95</v>
      </c>
      <c r="G479" s="517">
        <f t="shared" si="58"/>
        <v>97</v>
      </c>
      <c r="H479" s="517">
        <f t="shared" si="59"/>
        <v>99</v>
      </c>
      <c r="I479" s="517">
        <f t="shared" si="60"/>
        <v>101</v>
      </c>
      <c r="J479" s="507"/>
    </row>
    <row r="480" spans="1:10" ht="17.100000000000001" customHeight="1">
      <c r="A480" s="585"/>
      <c r="B480" s="505" t="s">
        <v>1086</v>
      </c>
      <c r="C480" s="505" t="s">
        <v>1045</v>
      </c>
      <c r="D480" s="505">
        <v>154</v>
      </c>
      <c r="E480" s="518">
        <f t="shared" si="56"/>
        <v>1.1941224363199317E-3</v>
      </c>
      <c r="F480" s="517">
        <f t="shared" si="57"/>
        <v>156</v>
      </c>
      <c r="G480" s="517">
        <f t="shared" si="58"/>
        <v>159</v>
      </c>
      <c r="H480" s="517">
        <f t="shared" si="59"/>
        <v>163</v>
      </c>
      <c r="I480" s="517">
        <f t="shared" si="60"/>
        <v>165</v>
      </c>
      <c r="J480" s="507"/>
    </row>
    <row r="481" spans="1:10" ht="17.100000000000001" customHeight="1">
      <c r="A481" s="585"/>
      <c r="B481" s="505" t="s">
        <v>1086</v>
      </c>
      <c r="C481" s="505" t="s">
        <v>1046</v>
      </c>
      <c r="D481" s="505">
        <v>123</v>
      </c>
      <c r="E481" s="518">
        <f t="shared" si="56"/>
        <v>9.5374714069708833E-4</v>
      </c>
      <c r="F481" s="517">
        <f t="shared" si="57"/>
        <v>124</v>
      </c>
      <c r="G481" s="517">
        <f t="shared" si="58"/>
        <v>127</v>
      </c>
      <c r="H481" s="517">
        <f t="shared" si="59"/>
        <v>130</v>
      </c>
      <c r="I481" s="517">
        <f t="shared" si="60"/>
        <v>132</v>
      </c>
      <c r="J481" s="507"/>
    </row>
    <row r="482" spans="1:10" ht="17.100000000000001" customHeight="1">
      <c r="A482" s="585"/>
      <c r="B482" s="505" t="s">
        <v>1086</v>
      </c>
      <c r="C482" s="505" t="s">
        <v>1047</v>
      </c>
      <c r="D482" s="505">
        <v>82</v>
      </c>
      <c r="E482" s="518">
        <f t="shared" si="56"/>
        <v>6.3583142713139222E-4</v>
      </c>
      <c r="F482" s="517">
        <f t="shared" si="57"/>
        <v>83</v>
      </c>
      <c r="G482" s="517">
        <f t="shared" si="58"/>
        <v>85</v>
      </c>
      <c r="H482" s="517">
        <f t="shared" si="59"/>
        <v>87</v>
      </c>
      <c r="I482" s="517">
        <f t="shared" si="60"/>
        <v>88</v>
      </c>
      <c r="J482" s="507"/>
    </row>
    <row r="483" spans="1:10" ht="17.100000000000001" customHeight="1">
      <c r="A483" s="585"/>
      <c r="B483" s="505" t="s">
        <v>1086</v>
      </c>
      <c r="C483" s="505" t="s">
        <v>1048</v>
      </c>
      <c r="D483" s="505">
        <v>88</v>
      </c>
      <c r="E483" s="518">
        <f t="shared" si="56"/>
        <v>6.8235567789710384E-4</v>
      </c>
      <c r="F483" s="517">
        <f t="shared" si="57"/>
        <v>89</v>
      </c>
      <c r="G483" s="517">
        <f t="shared" si="58"/>
        <v>91</v>
      </c>
      <c r="H483" s="517">
        <f t="shared" si="59"/>
        <v>93</v>
      </c>
      <c r="I483" s="517">
        <f t="shared" si="60"/>
        <v>95</v>
      </c>
      <c r="J483" s="507"/>
    </row>
    <row r="484" spans="1:10" ht="17.100000000000001" customHeight="1">
      <c r="A484" s="585"/>
      <c r="B484" s="505" t="s">
        <v>1086</v>
      </c>
      <c r="C484" s="505" t="s">
        <v>1049</v>
      </c>
      <c r="D484" s="505">
        <v>162</v>
      </c>
      <c r="E484" s="518">
        <f t="shared" si="56"/>
        <v>1.2561547706742139E-3</v>
      </c>
      <c r="F484" s="517">
        <f t="shared" si="57"/>
        <v>164</v>
      </c>
      <c r="G484" s="517">
        <f t="shared" si="58"/>
        <v>167</v>
      </c>
      <c r="H484" s="517">
        <f t="shared" si="59"/>
        <v>171</v>
      </c>
      <c r="I484" s="517">
        <f t="shared" si="60"/>
        <v>174</v>
      </c>
      <c r="J484" s="507"/>
    </row>
    <row r="485" spans="1:10" ht="17.100000000000001" customHeight="1">
      <c r="A485" s="585"/>
      <c r="B485" s="505" t="s">
        <v>1086</v>
      </c>
      <c r="C485" s="505" t="s">
        <v>1050</v>
      </c>
      <c r="D485" s="505">
        <v>95</v>
      </c>
      <c r="E485" s="518">
        <f t="shared" si="56"/>
        <v>7.3663397045710074E-4</v>
      </c>
      <c r="F485" s="517">
        <f t="shared" si="57"/>
        <v>96</v>
      </c>
      <c r="G485" s="517">
        <f t="shared" si="58"/>
        <v>98</v>
      </c>
      <c r="H485" s="517">
        <f t="shared" si="59"/>
        <v>100</v>
      </c>
      <c r="I485" s="517">
        <f t="shared" si="60"/>
        <v>102</v>
      </c>
      <c r="J485" s="507"/>
    </row>
    <row r="486" spans="1:10" ht="17.100000000000001" customHeight="1">
      <c r="A486" s="585"/>
      <c r="B486" s="505" t="s">
        <v>1086</v>
      </c>
      <c r="C486" s="505" t="s">
        <v>1051</v>
      </c>
      <c r="D486" s="505">
        <v>115</v>
      </c>
      <c r="E486" s="518">
        <f t="shared" si="56"/>
        <v>8.9171480634280616E-4</v>
      </c>
      <c r="F486" s="517">
        <f t="shared" si="57"/>
        <v>116</v>
      </c>
      <c r="G486" s="517">
        <f t="shared" si="58"/>
        <v>119</v>
      </c>
      <c r="H486" s="517">
        <f t="shared" si="59"/>
        <v>121</v>
      </c>
      <c r="I486" s="517">
        <f t="shared" si="60"/>
        <v>124</v>
      </c>
      <c r="J486" s="507"/>
    </row>
    <row r="487" spans="1:10" ht="17.100000000000001" customHeight="1">
      <c r="A487" s="585"/>
      <c r="B487" s="505" t="s">
        <v>1086</v>
      </c>
      <c r="C487" s="505" t="s">
        <v>1052</v>
      </c>
      <c r="D487" s="505">
        <v>156</v>
      </c>
      <c r="E487" s="518">
        <f t="shared" si="56"/>
        <v>1.2096305199085023E-3</v>
      </c>
      <c r="F487" s="517">
        <f t="shared" si="57"/>
        <v>158</v>
      </c>
      <c r="G487" s="517">
        <f t="shared" si="58"/>
        <v>161</v>
      </c>
      <c r="H487" s="517">
        <f t="shared" si="59"/>
        <v>165</v>
      </c>
      <c r="I487" s="517">
        <f t="shared" si="60"/>
        <v>168</v>
      </c>
      <c r="J487" s="507"/>
    </row>
    <row r="488" spans="1:10" ht="17.100000000000001" customHeight="1">
      <c r="A488" s="585"/>
      <c r="B488" s="505" t="s">
        <v>1086</v>
      </c>
      <c r="C488" s="505" t="s">
        <v>1053</v>
      </c>
      <c r="D488" s="505">
        <v>150</v>
      </c>
      <c r="E488" s="518">
        <f t="shared" si="56"/>
        <v>1.1631062691427906E-3</v>
      </c>
      <c r="F488" s="517">
        <f t="shared" si="57"/>
        <v>152</v>
      </c>
      <c r="G488" s="517">
        <f t="shared" si="58"/>
        <v>155</v>
      </c>
      <c r="H488" s="517">
        <f t="shared" si="59"/>
        <v>158</v>
      </c>
      <c r="I488" s="517">
        <f t="shared" si="60"/>
        <v>161</v>
      </c>
      <c r="J488" s="507"/>
    </row>
    <row r="489" spans="1:10" ht="17.100000000000001" customHeight="1">
      <c r="A489" s="585"/>
      <c r="B489" s="505" t="s">
        <v>1086</v>
      </c>
      <c r="C489" s="505" t="s">
        <v>1054</v>
      </c>
      <c r="D489" s="505">
        <v>81</v>
      </c>
      <c r="E489" s="518">
        <f t="shared" si="56"/>
        <v>6.2807738533710695E-4</v>
      </c>
      <c r="F489" s="517">
        <f t="shared" si="57"/>
        <v>82</v>
      </c>
      <c r="G489" s="517">
        <f t="shared" si="58"/>
        <v>84</v>
      </c>
      <c r="H489" s="517">
        <f t="shared" si="59"/>
        <v>86</v>
      </c>
      <c r="I489" s="517">
        <f t="shared" si="60"/>
        <v>87</v>
      </c>
      <c r="J489" s="507"/>
    </row>
    <row r="490" spans="1:10" ht="17.100000000000001" customHeight="1">
      <c r="A490" s="585"/>
      <c r="B490" s="505" t="s">
        <v>1086</v>
      </c>
      <c r="C490" s="505" t="s">
        <v>1055</v>
      </c>
      <c r="D490" s="505">
        <v>120</v>
      </c>
      <c r="E490" s="518">
        <f t="shared" si="56"/>
        <v>9.3048501531423251E-4</v>
      </c>
      <c r="F490" s="517">
        <f t="shared" si="57"/>
        <v>121</v>
      </c>
      <c r="G490" s="517">
        <f t="shared" si="58"/>
        <v>124</v>
      </c>
      <c r="H490" s="517">
        <f t="shared" si="59"/>
        <v>127</v>
      </c>
      <c r="I490" s="517">
        <f t="shared" si="60"/>
        <v>129</v>
      </c>
      <c r="J490" s="507"/>
    </row>
    <row r="491" spans="1:10" ht="17.100000000000001" customHeight="1">
      <c r="A491" s="585"/>
      <c r="B491" s="505" t="s">
        <v>1086</v>
      </c>
      <c r="C491" s="505" t="s">
        <v>1056</v>
      </c>
      <c r="D491" s="505">
        <v>149</v>
      </c>
      <c r="E491" s="518">
        <f t="shared" si="56"/>
        <v>1.1553522273485054E-3</v>
      </c>
      <c r="F491" s="517">
        <f t="shared" si="57"/>
        <v>151</v>
      </c>
      <c r="G491" s="517">
        <f t="shared" si="58"/>
        <v>154</v>
      </c>
      <c r="H491" s="517">
        <f t="shared" si="59"/>
        <v>157</v>
      </c>
      <c r="I491" s="517">
        <f t="shared" si="60"/>
        <v>160</v>
      </c>
      <c r="J491" s="507"/>
    </row>
    <row r="492" spans="1:10" ht="17.100000000000001" customHeight="1">
      <c r="A492" s="455"/>
      <c r="B492" s="455"/>
      <c r="F492" s="456"/>
      <c r="G492" s="456"/>
      <c r="H492" s="456"/>
      <c r="I492" s="456"/>
      <c r="J492" s="457"/>
    </row>
    <row r="493" spans="1:10" ht="17.100000000000001" customHeight="1">
      <c r="A493" s="455"/>
      <c r="B493" s="455"/>
      <c r="F493" s="456"/>
      <c r="G493" s="456"/>
      <c r="H493" s="456"/>
      <c r="I493" s="456"/>
      <c r="J493" s="457"/>
    </row>
    <row r="494" spans="1:10" ht="17.100000000000001" customHeight="1">
      <c r="A494" s="455"/>
      <c r="F494" s="456"/>
      <c r="G494" s="456"/>
      <c r="H494" s="456"/>
      <c r="I494" s="456"/>
      <c r="J494" s="457"/>
    </row>
    <row r="495" spans="1:10" ht="17.100000000000001" customHeight="1">
      <c r="A495" s="455"/>
      <c r="F495" s="456"/>
      <c r="G495" s="456"/>
      <c r="H495" s="456"/>
      <c r="I495" s="456"/>
      <c r="J495" s="457"/>
    </row>
    <row r="496" spans="1:10" ht="17.100000000000001" customHeight="1">
      <c r="A496" s="455"/>
      <c r="F496" s="456"/>
      <c r="G496" s="456"/>
      <c r="H496" s="456"/>
      <c r="I496" s="456"/>
      <c r="J496" s="457"/>
    </row>
    <row r="497" spans="1:10" ht="17.100000000000001" customHeight="1">
      <c r="A497" s="455"/>
      <c r="F497" s="456"/>
      <c r="G497" s="456"/>
      <c r="H497" s="456"/>
      <c r="I497" s="456"/>
      <c r="J497" s="457"/>
    </row>
    <row r="498" spans="1:10" ht="17.100000000000001" customHeight="1">
      <c r="A498" s="455"/>
      <c r="F498" s="456"/>
      <c r="G498" s="456"/>
      <c r="H498" s="456"/>
      <c r="I498" s="456"/>
      <c r="J498" s="457"/>
    </row>
    <row r="499" spans="1:10" ht="17.100000000000001" customHeight="1"/>
    <row r="500" spans="1:10" ht="17.100000000000001" customHeight="1"/>
    <row r="501" spans="1:10" ht="17.100000000000001" customHeight="1"/>
    <row r="502" spans="1:10" ht="17.100000000000001" customHeight="1"/>
    <row r="503" spans="1:10" ht="17.100000000000001" customHeight="1"/>
    <row r="504" spans="1:10" ht="17.100000000000001" customHeight="1"/>
    <row r="505" spans="1:10" ht="17.100000000000001" customHeight="1"/>
    <row r="506" spans="1:10" ht="17.100000000000001" customHeight="1"/>
    <row r="507" spans="1:10" ht="17.100000000000001" customHeight="1"/>
    <row r="508" spans="1:10" ht="17.100000000000001" customHeight="1"/>
    <row r="509" spans="1:10" ht="17.100000000000001" customHeight="1"/>
    <row r="510" spans="1:10" ht="17.100000000000001" customHeight="1"/>
    <row r="511" spans="1:10" ht="17.100000000000001" customHeight="1"/>
    <row r="512" spans="1:10" ht="17.100000000000001" customHeight="1"/>
    <row r="513" ht="17.100000000000001" customHeight="1"/>
    <row r="514" ht="17.100000000000001" customHeight="1"/>
    <row r="515" ht="17.100000000000001" customHeight="1"/>
    <row r="516" ht="17.100000000000001" customHeight="1"/>
    <row r="517" ht="17.100000000000001" customHeight="1"/>
    <row r="518" ht="17.100000000000001" customHeight="1"/>
    <row r="519" ht="17.100000000000001" customHeight="1"/>
    <row r="520" ht="17.100000000000001" customHeight="1"/>
    <row r="521" ht="17.100000000000001" customHeight="1"/>
    <row r="522" ht="17.100000000000001" customHeight="1"/>
    <row r="523" ht="17.100000000000001" customHeight="1"/>
    <row r="524" ht="17.100000000000001" customHeight="1"/>
    <row r="525" ht="17.100000000000001" customHeight="1"/>
    <row r="526" ht="17.100000000000001" customHeight="1"/>
    <row r="527" ht="17.100000000000001" customHeight="1"/>
    <row r="528" ht="17.100000000000001" customHeight="1"/>
    <row r="529" ht="17.100000000000001" customHeight="1"/>
    <row r="530" ht="17.100000000000001" customHeight="1"/>
    <row r="531" ht="17.100000000000001" customHeight="1"/>
    <row r="532" ht="17.100000000000001" customHeight="1"/>
    <row r="533" ht="17.100000000000001" customHeight="1"/>
    <row r="534" ht="17.100000000000001" customHeight="1"/>
    <row r="535" ht="17.100000000000001" customHeight="1"/>
    <row r="536" ht="17.100000000000001" customHeight="1"/>
    <row r="537" ht="17.100000000000001" customHeight="1"/>
    <row r="538" ht="17.100000000000001" customHeight="1"/>
    <row r="539" ht="17.100000000000001" customHeight="1"/>
    <row r="540" ht="17.100000000000001" customHeight="1"/>
    <row r="541" ht="17.100000000000001" customHeight="1"/>
    <row r="542" ht="17.100000000000001" customHeight="1"/>
    <row r="543" ht="17.100000000000001" customHeight="1"/>
    <row r="544" ht="17.100000000000001" customHeight="1"/>
    <row r="545" ht="17.100000000000001" customHeight="1"/>
    <row r="546" ht="17.100000000000001" customHeight="1"/>
    <row r="547" ht="17.100000000000001" customHeight="1"/>
    <row r="548" ht="17.100000000000001" customHeight="1"/>
    <row r="549" ht="17.100000000000001" customHeight="1"/>
    <row r="550" ht="17.100000000000001" customHeight="1"/>
    <row r="551" ht="17.100000000000001" customHeight="1"/>
    <row r="552" ht="17.100000000000001" customHeight="1"/>
    <row r="553" ht="17.100000000000001" customHeight="1"/>
    <row r="554" ht="17.100000000000001" customHeight="1"/>
    <row r="555" ht="17.100000000000001" customHeight="1"/>
    <row r="556" ht="17.100000000000001" customHeight="1"/>
    <row r="557" ht="17.100000000000001" customHeight="1"/>
    <row r="558" ht="17.100000000000001" customHeight="1"/>
    <row r="559" ht="17.100000000000001" customHeight="1"/>
    <row r="560" ht="17.100000000000001" customHeight="1"/>
    <row r="561" ht="17.100000000000001" customHeight="1"/>
    <row r="562" ht="17.100000000000001" customHeight="1"/>
    <row r="563" ht="17.100000000000001" customHeight="1"/>
    <row r="564" ht="17.100000000000001" customHeight="1"/>
    <row r="565" ht="17.100000000000001" customHeight="1"/>
    <row r="566" ht="17.100000000000001" customHeight="1"/>
    <row r="567" ht="17.100000000000001" customHeight="1"/>
    <row r="568" ht="17.100000000000001" customHeight="1"/>
    <row r="569" ht="17.100000000000001" customHeight="1"/>
    <row r="570" ht="17.100000000000001" customHeight="1"/>
    <row r="571" ht="17.100000000000001" customHeight="1"/>
    <row r="572" ht="17.100000000000001" customHeight="1"/>
    <row r="573" ht="17.100000000000001" customHeight="1"/>
    <row r="574" ht="17.100000000000001" customHeight="1"/>
    <row r="575" ht="17.100000000000001" customHeight="1"/>
    <row r="576" ht="17.100000000000001" customHeight="1"/>
    <row r="577" ht="17.100000000000001" customHeight="1"/>
    <row r="578" ht="17.100000000000001" customHeight="1"/>
    <row r="579" ht="17.100000000000001" customHeight="1"/>
    <row r="580" ht="17.100000000000001" customHeight="1"/>
    <row r="581" ht="17.100000000000001" customHeight="1"/>
    <row r="582" ht="17.100000000000001" customHeight="1"/>
    <row r="583" ht="17.100000000000001" customHeight="1"/>
    <row r="584" ht="17.100000000000001" customHeight="1"/>
    <row r="585" ht="17.100000000000001" customHeight="1"/>
    <row r="586" ht="17.100000000000001" customHeight="1"/>
    <row r="587" ht="17.100000000000001" customHeight="1"/>
  </sheetData>
  <autoFilter ref="A4:O491"/>
  <mergeCells count="15">
    <mergeCell ref="A131:A235"/>
    <mergeCell ref="B428:C428"/>
    <mergeCell ref="A236:A374"/>
    <mergeCell ref="A375:A427"/>
    <mergeCell ref="A428:A491"/>
    <mergeCell ref="B131:C131"/>
    <mergeCell ref="B236:C236"/>
    <mergeCell ref="B375:C375"/>
    <mergeCell ref="A2:C2"/>
    <mergeCell ref="A3:C3"/>
    <mergeCell ref="B65:C65"/>
    <mergeCell ref="B92:C92"/>
    <mergeCell ref="A4:A64"/>
    <mergeCell ref="A65:A91"/>
    <mergeCell ref="A92:A130"/>
  </mergeCells>
  <phoneticPr fontId="10" type="noConversion"/>
  <printOptions horizontalCentered="1"/>
  <pageMargins left="0.62992125984251968" right="0.62992125984251968" top="0.62992125984251968" bottom="0.62992125984251968" header="0.51181102362204722" footer="0.51181102362204722"/>
  <pageSetup paperSize="9" orientation="portrait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>
  <sheetPr codeName="Sheet21">
    <tabColor rgb="FF92D050"/>
  </sheetPr>
  <dimension ref="A1:S324"/>
  <sheetViews>
    <sheetView view="pageBreakPreview" topLeftCell="G1" zoomScale="70" zoomScaleNormal="70" zoomScaleSheetLayoutView="70" workbookViewId="0">
      <selection activeCell="W16" sqref="W16"/>
    </sheetView>
  </sheetViews>
  <sheetFormatPr defaultRowHeight="13.5"/>
  <cols>
    <col min="1" max="1" width="4.33203125" customWidth="1"/>
    <col min="2" max="2" width="9.5546875" customWidth="1"/>
    <col min="3" max="5" width="9.5546875" style="8" customWidth="1"/>
    <col min="6" max="14" width="9.5546875" customWidth="1"/>
    <col min="16" max="19" width="10.88671875" customWidth="1"/>
  </cols>
  <sheetData>
    <row r="1" spans="1:19" ht="20.100000000000001" customHeight="1">
      <c r="A1" s="435" t="s">
        <v>603</v>
      </c>
      <c r="B1" s="283"/>
      <c r="C1" s="284"/>
      <c r="D1" s="284"/>
      <c r="E1" s="284"/>
      <c r="F1" s="283"/>
      <c r="G1" s="283"/>
      <c r="H1" s="283"/>
      <c r="I1" s="283"/>
      <c r="J1" s="283"/>
      <c r="K1" s="283"/>
      <c r="L1" s="283"/>
    </row>
    <row r="2" spans="1:19" ht="20.100000000000001" customHeight="1" thickBot="1">
      <c r="A2" s="283"/>
      <c r="B2" s="606" t="s">
        <v>1062</v>
      </c>
      <c r="C2" s="606"/>
      <c r="D2" s="606"/>
      <c r="E2" s="286"/>
      <c r="F2" s="287"/>
      <c r="G2" s="412" t="s">
        <v>120</v>
      </c>
      <c r="H2" s="287"/>
      <c r="I2" s="287"/>
      <c r="J2" s="287"/>
      <c r="K2" s="288"/>
      <c r="L2" s="287"/>
    </row>
    <row r="3" spans="1:19" ht="20.100000000000001" customHeight="1" thickBot="1">
      <c r="A3" s="283"/>
      <c r="B3" s="597" t="s">
        <v>2</v>
      </c>
      <c r="C3" s="596" t="s">
        <v>3</v>
      </c>
      <c r="D3" s="596"/>
      <c r="E3" s="599"/>
      <c r="F3" s="286"/>
      <c r="G3" s="283" t="s">
        <v>604</v>
      </c>
      <c r="H3" s="290"/>
      <c r="I3" s="286"/>
      <c r="J3" s="286"/>
      <c r="K3" s="291"/>
      <c r="L3" s="291"/>
      <c r="P3" s="597" t="s">
        <v>2</v>
      </c>
      <c r="Q3" s="596" t="s">
        <v>3</v>
      </c>
      <c r="R3" s="596"/>
      <c r="S3" s="599"/>
    </row>
    <row r="4" spans="1:19" ht="20.100000000000001" customHeight="1" thickBot="1">
      <c r="A4" s="283"/>
      <c r="B4" s="598"/>
      <c r="C4" s="417" t="s">
        <v>4</v>
      </c>
      <c r="D4" s="417" t="s">
        <v>5</v>
      </c>
      <c r="E4" s="418" t="s">
        <v>6</v>
      </c>
      <c r="F4" s="286"/>
      <c r="G4" s="419" t="s">
        <v>7</v>
      </c>
      <c r="H4" s="420" t="s">
        <v>8</v>
      </c>
      <c r="I4" s="420" t="s">
        <v>9</v>
      </c>
      <c r="J4" s="420" t="s">
        <v>10</v>
      </c>
      <c r="K4" s="421" t="s">
        <v>11</v>
      </c>
      <c r="L4" s="422" t="s">
        <v>118</v>
      </c>
      <c r="M4" s="467" t="s">
        <v>588</v>
      </c>
      <c r="N4" s="464" t="s">
        <v>589</v>
      </c>
      <c r="P4" s="598"/>
      <c r="Q4" s="417" t="s">
        <v>4</v>
      </c>
      <c r="R4" s="417" t="s">
        <v>5</v>
      </c>
      <c r="S4" s="418" t="s">
        <v>6</v>
      </c>
    </row>
    <row r="5" spans="1:19" ht="20.100000000000001" customHeight="1" thickTop="1">
      <c r="A5" s="283"/>
      <c r="B5" s="292" t="s">
        <v>12</v>
      </c>
      <c r="C5" s="471">
        <f t="shared" ref="C5:C25" si="0">SUM(D5:E5)</f>
        <v>98875</v>
      </c>
      <c r="D5" s="471">
        <f>ROUND(R5,0)</f>
        <v>50878</v>
      </c>
      <c r="E5" s="472">
        <f>ROUND(S5,0)</f>
        <v>47997</v>
      </c>
      <c r="F5" s="286"/>
      <c r="G5" s="292" t="s">
        <v>17</v>
      </c>
      <c r="H5" s="295">
        <f>'2.출산률'!B5</f>
        <v>2.65</v>
      </c>
      <c r="I5" s="295">
        <f>'2.출산률'!C5</f>
        <v>1.68</v>
      </c>
      <c r="J5" s="295">
        <f>'2.출산률'!D5</f>
        <v>1.91</v>
      </c>
      <c r="K5" s="408">
        <f>'2.출산률'!E5</f>
        <v>2.21</v>
      </c>
      <c r="L5" s="296">
        <f>'2.출산률'!F5</f>
        <v>2.36</v>
      </c>
      <c r="M5" s="468">
        <f>'2.출산률'!G5</f>
        <v>2.46</v>
      </c>
      <c r="N5" s="465">
        <f>'2.출산률'!H5</f>
        <v>2.5099999999999998</v>
      </c>
      <c r="P5" s="292" t="s">
        <v>12</v>
      </c>
      <c r="Q5" s="471">
        <f t="shared" ref="Q5:Q22" si="1">SUM(R5:S5)</f>
        <v>98875</v>
      </c>
      <c r="R5" s="471">
        <v>50878</v>
      </c>
      <c r="S5" s="472">
        <v>47997</v>
      </c>
    </row>
    <row r="6" spans="1:19" ht="20.100000000000001" customHeight="1">
      <c r="A6" s="283"/>
      <c r="B6" s="297" t="s">
        <v>13</v>
      </c>
      <c r="C6" s="473">
        <f t="shared" si="0"/>
        <v>98104</v>
      </c>
      <c r="D6" s="471">
        <f t="shared" ref="D6:D22" si="2">ROUND(R6,0)</f>
        <v>50725</v>
      </c>
      <c r="E6" s="472">
        <f t="shared" ref="E6:E22" si="3">ROUND(S6,0)</f>
        <v>47379</v>
      </c>
      <c r="F6" s="286"/>
      <c r="G6" s="297" t="s">
        <v>14</v>
      </c>
      <c r="H6" s="295">
        <f>'2.출산률'!B6</f>
        <v>29.89</v>
      </c>
      <c r="I6" s="295">
        <f>'2.출산률'!C6</f>
        <v>25.44</v>
      </c>
      <c r="J6" s="295">
        <f>'2.출산률'!D6</f>
        <v>24.48</v>
      </c>
      <c r="K6" s="408">
        <f>'2.출산률'!E6</f>
        <v>24.69</v>
      </c>
      <c r="L6" s="296">
        <f>'2.출산률'!F6</f>
        <v>25</v>
      </c>
      <c r="M6" s="468">
        <f>'2.출산률'!G6</f>
        <v>25.25</v>
      </c>
      <c r="N6" s="465">
        <f>'2.출산률'!H6</f>
        <v>25.44</v>
      </c>
      <c r="P6" s="297" t="s">
        <v>13</v>
      </c>
      <c r="Q6" s="473">
        <f t="shared" si="1"/>
        <v>98104</v>
      </c>
      <c r="R6" s="471">
        <v>50725</v>
      </c>
      <c r="S6" s="472">
        <v>47379</v>
      </c>
    </row>
    <row r="7" spans="1:19" ht="20.100000000000001" customHeight="1">
      <c r="A7" s="283"/>
      <c r="B7" s="297" t="s">
        <v>15</v>
      </c>
      <c r="C7" s="473">
        <f t="shared" si="0"/>
        <v>113458</v>
      </c>
      <c r="D7" s="471">
        <f t="shared" si="2"/>
        <v>59043</v>
      </c>
      <c r="E7" s="472">
        <f t="shared" si="3"/>
        <v>54415</v>
      </c>
      <c r="F7" s="286"/>
      <c r="G7" s="297" t="s">
        <v>16</v>
      </c>
      <c r="H7" s="295">
        <f>'2.출산률'!B7</f>
        <v>114.15</v>
      </c>
      <c r="I7" s="295">
        <f>'2.출산률'!C7</f>
        <v>102.3</v>
      </c>
      <c r="J7" s="295">
        <f>'2.출산률'!D7</f>
        <v>96.09</v>
      </c>
      <c r="K7" s="408">
        <f>'2.출산률'!E7</f>
        <v>92.68</v>
      </c>
      <c r="L7" s="296">
        <f>'2.출산률'!F7</f>
        <v>92.03</v>
      </c>
      <c r="M7" s="468">
        <f>'2.출산률'!G7</f>
        <v>91.8</v>
      </c>
      <c r="N7" s="465">
        <f>'2.출산률'!H7</f>
        <v>91.88</v>
      </c>
      <c r="P7" s="297" t="s">
        <v>15</v>
      </c>
      <c r="Q7" s="473">
        <f t="shared" si="1"/>
        <v>113458</v>
      </c>
      <c r="R7" s="471">
        <v>59043</v>
      </c>
      <c r="S7" s="472">
        <v>54415</v>
      </c>
    </row>
    <row r="8" spans="1:19" ht="20.100000000000001" customHeight="1">
      <c r="A8" s="283"/>
      <c r="B8" s="297" t="s">
        <v>17</v>
      </c>
      <c r="C8" s="473">
        <f t="shared" si="0"/>
        <v>130993</v>
      </c>
      <c r="D8" s="471">
        <f t="shared" si="2"/>
        <v>68837</v>
      </c>
      <c r="E8" s="472">
        <f t="shared" si="3"/>
        <v>62156</v>
      </c>
      <c r="F8" s="286"/>
      <c r="G8" s="297" t="s">
        <v>18</v>
      </c>
      <c r="H8" s="295">
        <f>'2.출산률'!B8</f>
        <v>113.24</v>
      </c>
      <c r="I8" s="295">
        <f>'2.출산률'!C8</f>
        <v>123.2</v>
      </c>
      <c r="J8" s="295">
        <f>'2.출산률'!D8</f>
        <v>127.89</v>
      </c>
      <c r="K8" s="408">
        <f>'2.출산률'!E8</f>
        <v>127.47</v>
      </c>
      <c r="L8" s="296">
        <f>'2.출산률'!F8</f>
        <v>128.02000000000001</v>
      </c>
      <c r="M8" s="468">
        <f>'2.출산률'!G8</f>
        <v>128.21</v>
      </c>
      <c r="N8" s="465">
        <f>'2.출산률'!H8</f>
        <v>128.15</v>
      </c>
      <c r="P8" s="297" t="s">
        <v>17</v>
      </c>
      <c r="Q8" s="473">
        <f t="shared" si="1"/>
        <v>130993</v>
      </c>
      <c r="R8" s="471">
        <v>68837</v>
      </c>
      <c r="S8" s="472">
        <v>62156</v>
      </c>
    </row>
    <row r="9" spans="1:19" ht="20.100000000000001" customHeight="1">
      <c r="A9" s="283"/>
      <c r="B9" s="297" t="s">
        <v>14</v>
      </c>
      <c r="C9" s="473">
        <f t="shared" si="0"/>
        <v>122775</v>
      </c>
      <c r="D9" s="471">
        <f t="shared" si="2"/>
        <v>65010</v>
      </c>
      <c r="E9" s="472">
        <f t="shared" si="3"/>
        <v>57765</v>
      </c>
      <c r="F9" s="286"/>
      <c r="G9" s="297" t="s">
        <v>19</v>
      </c>
      <c r="H9" s="295">
        <f>'2.출산률'!B9</f>
        <v>31.36</v>
      </c>
      <c r="I9" s="295">
        <f>'2.출산률'!C9</f>
        <v>48.7</v>
      </c>
      <c r="J9" s="295">
        <f>'2.출산률'!D9</f>
        <v>62.5</v>
      </c>
      <c r="K9" s="408">
        <f>'2.출산률'!E9</f>
        <v>69.05</v>
      </c>
      <c r="L9" s="296">
        <f>'2.출산률'!F9</f>
        <v>72.11</v>
      </c>
      <c r="M9" s="468">
        <f>'2.출산률'!G9</f>
        <v>73.58</v>
      </c>
      <c r="N9" s="465">
        <f>'2.출산률'!H9</f>
        <v>73.81</v>
      </c>
      <c r="P9" s="297" t="s">
        <v>14</v>
      </c>
      <c r="Q9" s="473">
        <f t="shared" si="1"/>
        <v>122775</v>
      </c>
      <c r="R9" s="471">
        <v>65010</v>
      </c>
      <c r="S9" s="472">
        <v>57765</v>
      </c>
    </row>
    <row r="10" spans="1:19" ht="20.100000000000001" customHeight="1">
      <c r="A10" s="283"/>
      <c r="B10" s="297" t="s">
        <v>16</v>
      </c>
      <c r="C10" s="473">
        <f t="shared" si="0"/>
        <v>117905</v>
      </c>
      <c r="D10" s="471">
        <f t="shared" si="2"/>
        <v>63295</v>
      </c>
      <c r="E10" s="472">
        <f t="shared" si="3"/>
        <v>54610</v>
      </c>
      <c r="F10" s="286"/>
      <c r="G10" s="297" t="s">
        <v>20</v>
      </c>
      <c r="H10" s="295">
        <f>'2.출산률'!B10</f>
        <v>4.09</v>
      </c>
      <c r="I10" s="295">
        <f>'2.출산률'!C10</f>
        <v>6.8</v>
      </c>
      <c r="J10" s="295">
        <f>'2.출산률'!D10</f>
        <v>11.99</v>
      </c>
      <c r="K10" s="408">
        <f>'2.출산률'!E10</f>
        <v>15.67</v>
      </c>
      <c r="L10" s="296">
        <f>'2.출산률'!F10</f>
        <v>17.45</v>
      </c>
      <c r="M10" s="468">
        <f>'2.출산률'!G10</f>
        <v>18.39</v>
      </c>
      <c r="N10" s="465">
        <f>'2.출산률'!H10</f>
        <v>18.600000000000001</v>
      </c>
      <c r="P10" s="297" t="s">
        <v>16</v>
      </c>
      <c r="Q10" s="473">
        <f t="shared" si="1"/>
        <v>117905</v>
      </c>
      <c r="R10" s="471">
        <v>63295</v>
      </c>
      <c r="S10" s="472">
        <v>54610</v>
      </c>
    </row>
    <row r="11" spans="1:19" ht="20.100000000000001" customHeight="1" thickBot="1">
      <c r="A11" s="283"/>
      <c r="B11" s="297" t="s">
        <v>18</v>
      </c>
      <c r="C11" s="473">
        <f t="shared" si="0"/>
        <v>155839</v>
      </c>
      <c r="D11" s="471">
        <f t="shared" si="2"/>
        <v>83365</v>
      </c>
      <c r="E11" s="472">
        <f t="shared" si="3"/>
        <v>72474</v>
      </c>
      <c r="F11" s="286"/>
      <c r="G11" s="299" t="s">
        <v>21</v>
      </c>
      <c r="H11" s="300">
        <f>'2.출산률'!B11</f>
        <v>0.33</v>
      </c>
      <c r="I11" s="300">
        <f>'2.출산률'!C11</f>
        <v>0.36</v>
      </c>
      <c r="J11" s="300">
        <f>'2.출산률'!D11</f>
        <v>0.96</v>
      </c>
      <c r="K11" s="409">
        <f>'2.출산률'!E11</f>
        <v>1.57</v>
      </c>
      <c r="L11" s="301">
        <f>'2.출산률'!F11</f>
        <v>1.91</v>
      </c>
      <c r="M11" s="469">
        <f>'2.출산률'!G11</f>
        <v>2.11</v>
      </c>
      <c r="N11" s="466">
        <f>'2.출산률'!H11</f>
        <v>2.16</v>
      </c>
      <c r="P11" s="297" t="s">
        <v>18</v>
      </c>
      <c r="Q11" s="473">
        <f t="shared" si="1"/>
        <v>155839</v>
      </c>
      <c r="R11" s="471">
        <v>83365</v>
      </c>
      <c r="S11" s="472">
        <v>72474</v>
      </c>
    </row>
    <row r="12" spans="1:19" ht="20.100000000000001" customHeight="1">
      <c r="A12" s="283"/>
      <c r="B12" s="297" t="s">
        <v>22</v>
      </c>
      <c r="C12" s="473">
        <f t="shared" si="0"/>
        <v>150941</v>
      </c>
      <c r="D12" s="471">
        <f t="shared" si="2"/>
        <v>80070</v>
      </c>
      <c r="E12" s="472">
        <f t="shared" si="3"/>
        <v>70871</v>
      </c>
      <c r="F12" s="286"/>
      <c r="G12" s="302" t="s">
        <v>606</v>
      </c>
      <c r="H12" s="286"/>
      <c r="I12" s="286"/>
      <c r="J12" s="291"/>
      <c r="K12" s="291"/>
      <c r="L12" s="283"/>
      <c r="P12" s="297" t="s">
        <v>19</v>
      </c>
      <c r="Q12" s="473">
        <f t="shared" si="1"/>
        <v>150941</v>
      </c>
      <c r="R12" s="471">
        <v>80070</v>
      </c>
      <c r="S12" s="472">
        <v>70871</v>
      </c>
    </row>
    <row r="13" spans="1:19" ht="20.100000000000001" customHeight="1">
      <c r="A13" s="283"/>
      <c r="B13" s="297" t="s">
        <v>361</v>
      </c>
      <c r="C13" s="473">
        <f t="shared" si="0"/>
        <v>170752</v>
      </c>
      <c r="D13" s="471">
        <f t="shared" si="2"/>
        <v>91230</v>
      </c>
      <c r="E13" s="472">
        <f t="shared" si="3"/>
        <v>79522</v>
      </c>
      <c r="F13" s="286"/>
      <c r="G13" s="302"/>
      <c r="H13" s="286"/>
      <c r="I13" s="286"/>
      <c r="J13" s="291"/>
      <c r="K13" s="291"/>
      <c r="L13" s="283"/>
      <c r="P13" s="297" t="s">
        <v>20</v>
      </c>
      <c r="Q13" s="473">
        <f t="shared" si="1"/>
        <v>170752</v>
      </c>
      <c r="R13" s="471">
        <v>91230</v>
      </c>
      <c r="S13" s="472">
        <v>79522</v>
      </c>
    </row>
    <row r="14" spans="1:19" ht="20.100000000000001" customHeight="1">
      <c r="A14" s="283"/>
      <c r="B14" s="297" t="s">
        <v>362</v>
      </c>
      <c r="C14" s="473">
        <f t="shared" si="0"/>
        <v>160519</v>
      </c>
      <c r="D14" s="471">
        <f t="shared" si="2"/>
        <v>85307</v>
      </c>
      <c r="E14" s="472">
        <f t="shared" si="3"/>
        <v>75212</v>
      </c>
      <c r="F14" s="286"/>
      <c r="G14" s="283"/>
      <c r="H14" s="283"/>
      <c r="I14" s="283"/>
      <c r="J14" s="283"/>
      <c r="K14" s="283"/>
      <c r="L14" s="283"/>
      <c r="P14" s="297" t="s">
        <v>21</v>
      </c>
      <c r="Q14" s="473">
        <f t="shared" si="1"/>
        <v>160519</v>
      </c>
      <c r="R14" s="471">
        <v>85307</v>
      </c>
      <c r="S14" s="472">
        <v>75212</v>
      </c>
    </row>
    <row r="15" spans="1:19" ht="20.100000000000001" customHeight="1">
      <c r="A15" s="283"/>
      <c r="B15" s="297" t="s">
        <v>363</v>
      </c>
      <c r="C15" s="473">
        <f t="shared" si="0"/>
        <v>166162</v>
      </c>
      <c r="D15" s="471">
        <f t="shared" si="2"/>
        <v>86748</v>
      </c>
      <c r="E15" s="472">
        <f t="shared" si="3"/>
        <v>79414</v>
      </c>
      <c r="F15" s="286"/>
      <c r="G15" s="283"/>
      <c r="H15" s="283"/>
      <c r="I15" s="283"/>
      <c r="J15" s="283"/>
      <c r="K15" s="283"/>
      <c r="L15" s="283"/>
      <c r="P15" s="297" t="s">
        <v>363</v>
      </c>
      <c r="Q15" s="473">
        <f t="shared" si="1"/>
        <v>166162</v>
      </c>
      <c r="R15" s="471">
        <v>86748</v>
      </c>
      <c r="S15" s="472">
        <v>79414</v>
      </c>
    </row>
    <row r="16" spans="1:19" ht="20.100000000000001" customHeight="1">
      <c r="A16" s="283"/>
      <c r="B16" s="297" t="s">
        <v>364</v>
      </c>
      <c r="C16" s="473">
        <f t="shared" si="0"/>
        <v>138840</v>
      </c>
      <c r="D16" s="471">
        <f t="shared" si="2"/>
        <v>70562</v>
      </c>
      <c r="E16" s="472">
        <f t="shared" si="3"/>
        <v>68278</v>
      </c>
      <c r="F16" s="286"/>
      <c r="G16" s="283"/>
      <c r="H16" s="283"/>
      <c r="I16" s="283"/>
      <c r="J16" s="283"/>
      <c r="K16" s="283"/>
      <c r="L16" s="283"/>
      <c r="P16" s="297" t="s">
        <v>364</v>
      </c>
      <c r="Q16" s="473">
        <f t="shared" si="1"/>
        <v>138840</v>
      </c>
      <c r="R16" s="471">
        <v>70562</v>
      </c>
      <c r="S16" s="472">
        <v>68278</v>
      </c>
    </row>
    <row r="17" spans="1:19" ht="20.100000000000001" customHeight="1">
      <c r="A17" s="283"/>
      <c r="B17" s="297" t="s">
        <v>365</v>
      </c>
      <c r="C17" s="473">
        <f t="shared" si="0"/>
        <v>102273</v>
      </c>
      <c r="D17" s="471">
        <f t="shared" si="2"/>
        <v>50396</v>
      </c>
      <c r="E17" s="472">
        <f t="shared" si="3"/>
        <v>51877</v>
      </c>
      <c r="F17" s="286"/>
      <c r="G17" s="303"/>
      <c r="H17" s="283"/>
      <c r="I17" s="283"/>
      <c r="J17" s="283"/>
      <c r="K17" s="283"/>
      <c r="L17" s="283"/>
      <c r="P17" s="297" t="s">
        <v>365</v>
      </c>
      <c r="Q17" s="473">
        <f t="shared" si="1"/>
        <v>102273</v>
      </c>
      <c r="R17" s="471">
        <v>50396</v>
      </c>
      <c r="S17" s="472">
        <v>51877</v>
      </c>
    </row>
    <row r="18" spans="1:19" ht="20.100000000000001" customHeight="1">
      <c r="A18" s="283"/>
      <c r="B18" s="297" t="s">
        <v>366</v>
      </c>
      <c r="C18" s="473">
        <f t="shared" si="0"/>
        <v>85361</v>
      </c>
      <c r="D18" s="471">
        <f t="shared" si="2"/>
        <v>40944</v>
      </c>
      <c r="E18" s="472">
        <f t="shared" si="3"/>
        <v>44417</v>
      </c>
      <c r="F18" s="286"/>
      <c r="G18" s="303" t="s">
        <v>605</v>
      </c>
      <c r="H18" s="283"/>
      <c r="I18" s="283"/>
      <c r="J18" s="283"/>
      <c r="K18" s="283"/>
      <c r="L18" s="283"/>
      <c r="P18" s="297" t="s">
        <v>366</v>
      </c>
      <c r="Q18" s="473">
        <f t="shared" si="1"/>
        <v>85361</v>
      </c>
      <c r="R18" s="471">
        <v>40944</v>
      </c>
      <c r="S18" s="472">
        <v>44417</v>
      </c>
    </row>
    <row r="19" spans="1:19" ht="20.100000000000001" customHeight="1" thickBot="1">
      <c r="A19" s="283"/>
      <c r="B19" s="297" t="s">
        <v>367</v>
      </c>
      <c r="C19" s="473">
        <f t="shared" si="0"/>
        <v>88685</v>
      </c>
      <c r="D19" s="471">
        <f t="shared" si="2"/>
        <v>38104</v>
      </c>
      <c r="E19" s="472">
        <f t="shared" si="3"/>
        <v>50581</v>
      </c>
      <c r="F19" s="286"/>
      <c r="G19" s="283"/>
      <c r="H19" s="283"/>
      <c r="I19" s="283"/>
      <c r="J19" s="283"/>
      <c r="L19" s="436" t="s">
        <v>368</v>
      </c>
      <c r="P19" s="297" t="s">
        <v>367</v>
      </c>
      <c r="Q19" s="473">
        <f t="shared" si="1"/>
        <v>88685</v>
      </c>
      <c r="R19" s="471">
        <v>38104</v>
      </c>
      <c r="S19" s="472">
        <v>50581</v>
      </c>
    </row>
    <row r="20" spans="1:19" ht="20.100000000000001" customHeight="1" thickBot="1">
      <c r="A20" s="283"/>
      <c r="B20" s="297" t="s">
        <v>369</v>
      </c>
      <c r="C20" s="473">
        <f t="shared" si="0"/>
        <v>74970</v>
      </c>
      <c r="D20" s="471">
        <f t="shared" si="2"/>
        <v>30038</v>
      </c>
      <c r="E20" s="472">
        <f t="shared" si="3"/>
        <v>44932</v>
      </c>
      <c r="F20" s="286"/>
      <c r="G20" s="423" t="s">
        <v>241</v>
      </c>
      <c r="H20" s="420" t="s">
        <v>8</v>
      </c>
      <c r="I20" s="420" t="s">
        <v>9</v>
      </c>
      <c r="J20" s="420" t="s">
        <v>10</v>
      </c>
      <c r="K20" s="421" t="s">
        <v>11</v>
      </c>
      <c r="L20" s="422" t="s">
        <v>118</v>
      </c>
      <c r="M20" s="467" t="s">
        <v>588</v>
      </c>
      <c r="N20" s="464" t="s">
        <v>589</v>
      </c>
      <c r="P20" s="297" t="s">
        <v>369</v>
      </c>
      <c r="Q20" s="473">
        <f t="shared" si="1"/>
        <v>74970</v>
      </c>
      <c r="R20" s="471">
        <v>30038</v>
      </c>
      <c r="S20" s="472">
        <v>44932</v>
      </c>
    </row>
    <row r="21" spans="1:19" ht="20.100000000000001" customHeight="1" thickTop="1" thickBot="1">
      <c r="A21" s="283"/>
      <c r="B21" s="297" t="s">
        <v>370</v>
      </c>
      <c r="C21" s="473">
        <f t="shared" si="0"/>
        <v>43213</v>
      </c>
      <c r="D21" s="471">
        <f t="shared" si="2"/>
        <v>15171</v>
      </c>
      <c r="E21" s="472">
        <f t="shared" si="3"/>
        <v>28042</v>
      </c>
      <c r="F21" s="286"/>
      <c r="G21" s="304" t="s">
        <v>23</v>
      </c>
      <c r="H21" s="305">
        <f>'2.출산률'!B30</f>
        <v>103.6802947571995</v>
      </c>
      <c r="I21" s="305">
        <f>'2.출산률'!C30</f>
        <v>104.30950443601368</v>
      </c>
      <c r="J21" s="306">
        <f>'2.출산률'!D30</f>
        <v>104.49099764908973</v>
      </c>
      <c r="K21" s="410">
        <f>'2.출산률'!E30</f>
        <v>104.62000631996992</v>
      </c>
      <c r="L21" s="307">
        <f>'2.출산률'!F30</f>
        <v>104.49868270898</v>
      </c>
      <c r="M21" s="307">
        <f>'2.출산률'!G30</f>
        <v>104.16982351388538</v>
      </c>
      <c r="N21" s="307">
        <f>'2.출산률'!H30</f>
        <v>103.75068997262171</v>
      </c>
      <c r="P21" s="297" t="s">
        <v>370</v>
      </c>
      <c r="Q21" s="473">
        <f t="shared" si="1"/>
        <v>43213</v>
      </c>
      <c r="R21" s="471">
        <v>15171</v>
      </c>
      <c r="S21" s="472">
        <v>28042</v>
      </c>
    </row>
    <row r="22" spans="1:19" ht="20.100000000000001" customHeight="1">
      <c r="A22" s="283"/>
      <c r="B22" s="297" t="s">
        <v>616</v>
      </c>
      <c r="C22" s="473">
        <f t="shared" si="0"/>
        <v>27966</v>
      </c>
      <c r="D22" s="471">
        <f t="shared" si="2"/>
        <v>7698</v>
      </c>
      <c r="E22" s="472">
        <f t="shared" si="3"/>
        <v>20268</v>
      </c>
      <c r="F22" s="286"/>
      <c r="G22" s="286" t="s">
        <v>25</v>
      </c>
      <c r="H22" s="308">
        <f t="shared" ref="H22:N22" si="4">H21/(H21+100)</f>
        <v>0.5090344889808478</v>
      </c>
      <c r="I22" s="308">
        <f t="shared" si="4"/>
        <v>0.51054650993332362</v>
      </c>
      <c r="J22" s="308">
        <f t="shared" si="4"/>
        <v>0.51098091774386167</v>
      </c>
      <c r="K22" s="308">
        <f t="shared" si="4"/>
        <v>0.51128923413467564</v>
      </c>
      <c r="L22" s="308">
        <f t="shared" si="4"/>
        <v>0.51099929507952391</v>
      </c>
      <c r="M22" s="308">
        <f t="shared" si="4"/>
        <v>0.51021165479334851</v>
      </c>
      <c r="N22" s="308">
        <f t="shared" si="4"/>
        <v>0.50920411600354754</v>
      </c>
      <c r="P22" s="297" t="s">
        <v>616</v>
      </c>
      <c r="Q22" s="473">
        <f t="shared" si="1"/>
        <v>27966</v>
      </c>
      <c r="R22" s="471">
        <v>7698</v>
      </c>
      <c r="S22" s="472">
        <v>20268</v>
      </c>
    </row>
    <row r="23" spans="1:19" ht="20.100000000000001" customHeight="1">
      <c r="A23" s="283"/>
      <c r="B23" s="297"/>
      <c r="C23" s="473"/>
      <c r="D23" s="471"/>
      <c r="E23" s="472"/>
      <c r="F23" s="286"/>
      <c r="G23" s="302" t="s">
        <v>606</v>
      </c>
      <c r="H23" s="284"/>
      <c r="I23" s="284"/>
      <c r="J23" s="284"/>
      <c r="K23" s="284"/>
      <c r="L23" s="283"/>
      <c r="P23" s="297"/>
      <c r="Q23" s="473"/>
      <c r="R23" s="471"/>
      <c r="S23" s="472"/>
    </row>
    <row r="24" spans="1:19" ht="20.100000000000001" customHeight="1" thickBot="1">
      <c r="A24" s="283"/>
      <c r="B24" s="309"/>
      <c r="C24" s="474"/>
      <c r="D24" s="471"/>
      <c r="E24" s="472"/>
      <c r="F24" s="283"/>
      <c r="G24" s="283"/>
      <c r="H24" s="283"/>
      <c r="I24" s="283"/>
      <c r="J24" s="283"/>
      <c r="K24" s="283"/>
      <c r="L24" s="283"/>
      <c r="P24" s="309"/>
      <c r="Q24" s="474"/>
      <c r="R24" s="471"/>
      <c r="S24" s="472"/>
    </row>
    <row r="25" spans="1:19" ht="20.100000000000001" customHeight="1" thickBot="1">
      <c r="A25" s="283"/>
      <c r="B25" s="311" t="s">
        <v>28</v>
      </c>
      <c r="C25" s="312">
        <f t="shared" si="0"/>
        <v>2047631</v>
      </c>
      <c r="D25" s="313">
        <f>SUM(D5:D24)</f>
        <v>1037421</v>
      </c>
      <c r="E25" s="314">
        <f>SUM(E5:E24)</f>
        <v>1010210</v>
      </c>
      <c r="F25" s="283"/>
      <c r="G25" s="283"/>
      <c r="H25" s="283"/>
      <c r="I25" s="283"/>
      <c r="J25" s="283"/>
      <c r="K25" s="283"/>
      <c r="L25" s="283"/>
      <c r="P25" s="311" t="s">
        <v>28</v>
      </c>
      <c r="Q25" s="312">
        <f>SUM(R25:S25)</f>
        <v>2047631</v>
      </c>
      <c r="R25" s="313">
        <f>SUM(R5:R24)</f>
        <v>1037421</v>
      </c>
      <c r="S25" s="314">
        <f>SUM(S5:S24)</f>
        <v>1010210</v>
      </c>
    </row>
    <row r="26" spans="1:19" ht="20.100000000000001" customHeight="1">
      <c r="A26" s="283"/>
      <c r="B26" s="302"/>
      <c r="C26" s="497"/>
      <c r="D26" s="283"/>
      <c r="E26" s="283"/>
      <c r="F26" s="283"/>
      <c r="G26" s="283"/>
      <c r="H26" s="283"/>
      <c r="I26" s="283"/>
      <c r="J26" s="283"/>
      <c r="K26" s="283"/>
      <c r="L26" s="283"/>
      <c r="P26" s="499" t="s">
        <v>1071</v>
      </c>
      <c r="Q26" s="497">
        <v>2097555</v>
      </c>
      <c r="R26" s="501">
        <f>ROUND(Q26*(R25/Q25),0)</f>
        <v>1062715</v>
      </c>
      <c r="S26" s="502">
        <f>Q26-R26</f>
        <v>1034840</v>
      </c>
    </row>
    <row r="27" spans="1:19" ht="20.100000000000001" customHeight="1" thickBot="1">
      <c r="A27" s="283"/>
      <c r="B27" s="283"/>
      <c r="C27" s="284"/>
      <c r="D27" s="284"/>
      <c r="E27" s="284"/>
      <c r="F27" s="283"/>
      <c r="G27" s="283"/>
      <c r="H27" s="283"/>
      <c r="I27" s="283"/>
      <c r="J27" s="283"/>
      <c r="K27" s="283"/>
      <c r="L27" s="283"/>
      <c r="P27" s="500" t="s">
        <v>1070</v>
      </c>
      <c r="Q27" s="317"/>
      <c r="R27" s="503">
        <f>R26/R25</f>
        <v>1.0243816155639802</v>
      </c>
      <c r="S27" s="504">
        <f>S26/S25</f>
        <v>1.0243810692826245</v>
      </c>
    </row>
    <row r="28" spans="1:19" ht="20.100000000000001" customHeight="1" thickBot="1">
      <c r="A28" s="283"/>
      <c r="B28" s="315" t="s">
        <v>379</v>
      </c>
      <c r="C28" s="316"/>
      <c r="D28" s="316"/>
      <c r="E28" s="316"/>
      <c r="F28" s="317"/>
      <c r="G28" s="317"/>
      <c r="H28" s="317"/>
      <c r="I28" s="317"/>
      <c r="J28" s="317"/>
      <c r="K28" s="317"/>
      <c r="L28" s="317"/>
    </row>
    <row r="29" spans="1:19" ht="20.100000000000001" customHeight="1">
      <c r="A29" s="283"/>
      <c r="B29" s="591" t="s">
        <v>344</v>
      </c>
      <c r="C29" s="600" t="s">
        <v>590</v>
      </c>
      <c r="D29" s="600"/>
      <c r="E29" s="600" t="s">
        <v>380</v>
      </c>
      <c r="F29" s="600"/>
      <c r="G29" s="600" t="s">
        <v>381</v>
      </c>
      <c r="H29" s="600"/>
      <c r="I29" s="600" t="s">
        <v>382</v>
      </c>
      <c r="J29" s="600" t="s">
        <v>377</v>
      </c>
      <c r="K29" s="600"/>
      <c r="L29" s="601"/>
    </row>
    <row r="30" spans="1:19" ht="20.100000000000001" customHeight="1" thickBot="1">
      <c r="A30" s="283"/>
      <c r="B30" s="592"/>
      <c r="C30" s="413" t="s">
        <v>346</v>
      </c>
      <c r="D30" s="413" t="s">
        <v>347</v>
      </c>
      <c r="E30" s="413" t="s">
        <v>346</v>
      </c>
      <c r="F30" s="413" t="s">
        <v>347</v>
      </c>
      <c r="G30" s="413" t="s">
        <v>346</v>
      </c>
      <c r="H30" s="413" t="s">
        <v>347</v>
      </c>
      <c r="I30" s="603"/>
      <c r="J30" s="413" t="s">
        <v>47</v>
      </c>
      <c r="K30" s="413" t="s">
        <v>346</v>
      </c>
      <c r="L30" s="424" t="s">
        <v>347</v>
      </c>
    </row>
    <row r="31" spans="1:19" ht="20.100000000000001" customHeight="1" thickTop="1">
      <c r="A31" s="283"/>
      <c r="B31" s="292" t="s">
        <v>353</v>
      </c>
      <c r="C31" s="319">
        <f t="shared" ref="C31:D50" si="5">D5</f>
        <v>50878</v>
      </c>
      <c r="D31" s="319">
        <f t="shared" si="5"/>
        <v>47997</v>
      </c>
      <c r="E31" s="336">
        <f>생잔율!F32</f>
        <v>0.99858599999999997</v>
      </c>
      <c r="F31" s="336">
        <f>생잔율!G32</f>
        <v>0.99855400000000005</v>
      </c>
      <c r="G31" s="319">
        <f>SUM(K34:K40)+ROUND(C31*E31^0.4*0.6,0)</f>
        <v>51042</v>
      </c>
      <c r="H31" s="319">
        <f>SUM(L34:L40)++ROUND(D31*F31^0.4*0.6,0)</f>
        <v>48467</v>
      </c>
      <c r="I31" s="318"/>
      <c r="J31" s="319"/>
      <c r="K31" s="319"/>
      <c r="L31" s="320"/>
      <c r="N31" s="337"/>
      <c r="O31" s="337"/>
    </row>
    <row r="32" spans="1:19" ht="20.100000000000001" customHeight="1">
      <c r="A32" s="283"/>
      <c r="B32" s="297" t="s">
        <v>355</v>
      </c>
      <c r="C32" s="319">
        <f t="shared" si="5"/>
        <v>50725</v>
      </c>
      <c r="D32" s="319">
        <f t="shared" si="5"/>
        <v>47379</v>
      </c>
      <c r="E32" s="336">
        <f>생잔율!F33</f>
        <v>0.99951999999999996</v>
      </c>
      <c r="F32" s="336">
        <f>생잔율!G33</f>
        <v>0.99951000000000001</v>
      </c>
      <c r="G32" s="321">
        <f>ROUND(C31*E31^0.4*0.4+C32*E32^0.4*0.6,0)</f>
        <v>50769</v>
      </c>
      <c r="H32" s="321">
        <f>ROUND(D31*F31^0.4*0.4+D32*F32^0.4*0.6,0)</f>
        <v>47610</v>
      </c>
      <c r="I32" s="322"/>
      <c r="J32" s="323"/>
      <c r="K32" s="323"/>
      <c r="L32" s="324"/>
      <c r="N32" s="337"/>
      <c r="O32" s="337"/>
    </row>
    <row r="33" spans="1:15" ht="20.100000000000001" customHeight="1">
      <c r="A33" s="283"/>
      <c r="B33" s="297" t="s">
        <v>357</v>
      </c>
      <c r="C33" s="319">
        <f t="shared" si="5"/>
        <v>59043</v>
      </c>
      <c r="D33" s="319">
        <f t="shared" si="5"/>
        <v>54415</v>
      </c>
      <c r="E33" s="336">
        <f>생잔율!F34</f>
        <v>0.99929000000000001</v>
      </c>
      <c r="F33" s="336">
        <f>생잔율!G34</f>
        <v>0.99939</v>
      </c>
      <c r="G33" s="321">
        <f t="shared" ref="G33:G50" si="6">ROUND(C32*E32^0.4*0.4+C33*E33^0.4*0.6,0)</f>
        <v>55702</v>
      </c>
      <c r="H33" s="321">
        <f t="shared" ref="H33:H50" si="7">ROUND(D32*F32^0.4*0.4+D33*F33^0.4*0.6,0)</f>
        <v>51589</v>
      </c>
      <c r="I33" s="322"/>
      <c r="J33" s="323"/>
      <c r="K33" s="323"/>
      <c r="L33" s="324"/>
      <c r="N33" s="337"/>
      <c r="O33" s="337"/>
    </row>
    <row r="34" spans="1:15" ht="20.100000000000001" customHeight="1">
      <c r="A34" s="283"/>
      <c r="B34" s="297" t="s">
        <v>354</v>
      </c>
      <c r="C34" s="319">
        <f t="shared" si="5"/>
        <v>68837</v>
      </c>
      <c r="D34" s="319">
        <f t="shared" si="5"/>
        <v>62156</v>
      </c>
      <c r="E34" s="336">
        <f>생잔율!F35</f>
        <v>0.99826999999999999</v>
      </c>
      <c r="F34" s="336">
        <f>생잔율!G35</f>
        <v>0.99921000000000004</v>
      </c>
      <c r="G34" s="321">
        <f t="shared" si="6"/>
        <v>64884</v>
      </c>
      <c r="H34" s="321">
        <f t="shared" si="7"/>
        <v>59043</v>
      </c>
      <c r="I34" s="325">
        <f t="shared" ref="I34:I40" si="8">I5</f>
        <v>1.68</v>
      </c>
      <c r="J34" s="326">
        <f>ROUND(I34*2*D34/1000,0)</f>
        <v>209</v>
      </c>
      <c r="K34" s="326">
        <f t="shared" ref="K34:K40" si="9">ROUND(J34*$I$22,0)</f>
        <v>107</v>
      </c>
      <c r="L34" s="327">
        <f t="shared" ref="L34:L40" si="10">J34-K34</f>
        <v>102</v>
      </c>
      <c r="N34" s="337"/>
      <c r="O34" s="337"/>
    </row>
    <row r="35" spans="1:15" ht="20.100000000000001" customHeight="1">
      <c r="A35" s="283"/>
      <c r="B35" s="297" t="s">
        <v>356</v>
      </c>
      <c r="C35" s="319">
        <f t="shared" si="5"/>
        <v>65010</v>
      </c>
      <c r="D35" s="319">
        <f t="shared" si="5"/>
        <v>57765</v>
      </c>
      <c r="E35" s="336">
        <f>생잔율!F36</f>
        <v>0.99712999999999996</v>
      </c>
      <c r="F35" s="336">
        <f>생잔율!G36</f>
        <v>0.99870999999999999</v>
      </c>
      <c r="G35" s="321">
        <f t="shared" si="6"/>
        <v>66477</v>
      </c>
      <c r="H35" s="321">
        <f t="shared" si="7"/>
        <v>59496</v>
      </c>
      <c r="I35" s="325">
        <f t="shared" si="8"/>
        <v>25.44</v>
      </c>
      <c r="J35" s="326">
        <f t="shared" ref="J35:J40" si="11">ROUND(I35*2*D35/1000,0)</f>
        <v>2939</v>
      </c>
      <c r="K35" s="326">
        <f t="shared" si="9"/>
        <v>1500</v>
      </c>
      <c r="L35" s="327">
        <f t="shared" si="10"/>
        <v>1439</v>
      </c>
      <c r="N35" s="337"/>
      <c r="O35" s="337"/>
    </row>
    <row r="36" spans="1:15" ht="20.100000000000001" customHeight="1">
      <c r="A36" s="283"/>
      <c r="B36" s="297" t="s">
        <v>358</v>
      </c>
      <c r="C36" s="319">
        <f t="shared" si="5"/>
        <v>63295</v>
      </c>
      <c r="D36" s="319">
        <f t="shared" si="5"/>
        <v>54610</v>
      </c>
      <c r="E36" s="336">
        <f>생잔율!F37</f>
        <v>0.99617999999999995</v>
      </c>
      <c r="F36" s="336">
        <f>생잔율!G37</f>
        <v>0.99809000000000003</v>
      </c>
      <c r="G36" s="321">
        <f t="shared" si="6"/>
        <v>63893</v>
      </c>
      <c r="H36" s="321">
        <f t="shared" si="7"/>
        <v>55835</v>
      </c>
      <c r="I36" s="325">
        <f t="shared" si="8"/>
        <v>102.3</v>
      </c>
      <c r="J36" s="326">
        <f t="shared" si="11"/>
        <v>11173</v>
      </c>
      <c r="K36" s="326">
        <f t="shared" si="9"/>
        <v>5704</v>
      </c>
      <c r="L36" s="327">
        <f t="shared" si="10"/>
        <v>5469</v>
      </c>
      <c r="N36" s="337"/>
      <c r="O36" s="337"/>
    </row>
    <row r="37" spans="1:15" ht="20.100000000000001" customHeight="1">
      <c r="A37" s="283"/>
      <c r="B37" s="297" t="s">
        <v>359</v>
      </c>
      <c r="C37" s="319">
        <f t="shared" si="5"/>
        <v>83365</v>
      </c>
      <c r="D37" s="319">
        <f t="shared" si="5"/>
        <v>72474</v>
      </c>
      <c r="E37" s="336">
        <f>생잔율!F38</f>
        <v>0.99555000000000005</v>
      </c>
      <c r="F37" s="336">
        <f>생잔율!G38</f>
        <v>0.99731000000000003</v>
      </c>
      <c r="G37" s="321">
        <f t="shared" si="6"/>
        <v>75209</v>
      </c>
      <c r="H37" s="321">
        <f t="shared" si="7"/>
        <v>65265</v>
      </c>
      <c r="I37" s="325">
        <f t="shared" si="8"/>
        <v>123.2</v>
      </c>
      <c r="J37" s="326">
        <f t="shared" si="11"/>
        <v>17858</v>
      </c>
      <c r="K37" s="326">
        <f t="shared" si="9"/>
        <v>9117</v>
      </c>
      <c r="L37" s="327">
        <f t="shared" si="10"/>
        <v>8741</v>
      </c>
      <c r="N37" s="337"/>
      <c r="O37" s="337"/>
    </row>
    <row r="38" spans="1:15" ht="20.100000000000001" customHeight="1">
      <c r="A38" s="283"/>
      <c r="B38" s="297" t="s">
        <v>360</v>
      </c>
      <c r="C38" s="319">
        <f t="shared" si="5"/>
        <v>80070</v>
      </c>
      <c r="D38" s="319">
        <f t="shared" si="5"/>
        <v>70871</v>
      </c>
      <c r="E38" s="336">
        <f>생잔율!F39</f>
        <v>0.99358000000000002</v>
      </c>
      <c r="F38" s="336">
        <f>생잔율!G39</f>
        <v>0.99631000000000003</v>
      </c>
      <c r="G38" s="321">
        <f t="shared" si="6"/>
        <v>81205</v>
      </c>
      <c r="H38" s="321">
        <f t="shared" si="7"/>
        <v>71418</v>
      </c>
      <c r="I38" s="325">
        <f t="shared" si="8"/>
        <v>48.7</v>
      </c>
      <c r="J38" s="326">
        <f t="shared" si="11"/>
        <v>6903</v>
      </c>
      <c r="K38" s="326">
        <f t="shared" si="9"/>
        <v>3524</v>
      </c>
      <c r="L38" s="327">
        <f t="shared" si="10"/>
        <v>3379</v>
      </c>
      <c r="N38" s="337"/>
      <c r="O38" s="337"/>
    </row>
    <row r="39" spans="1:15" ht="20.100000000000001" customHeight="1">
      <c r="A39" s="283"/>
      <c r="B39" s="297" t="s">
        <v>361</v>
      </c>
      <c r="C39" s="319">
        <f t="shared" si="5"/>
        <v>91230</v>
      </c>
      <c r="D39" s="319">
        <f t="shared" si="5"/>
        <v>79522</v>
      </c>
      <c r="E39" s="336">
        <f>생잔율!F40</f>
        <v>0.98919999999999997</v>
      </c>
      <c r="F39" s="336">
        <f>생잔율!G40</f>
        <v>0.99570000000000003</v>
      </c>
      <c r="G39" s="321">
        <f t="shared" si="6"/>
        <v>86446</v>
      </c>
      <c r="H39" s="321">
        <f t="shared" si="7"/>
        <v>75938</v>
      </c>
      <c r="I39" s="325">
        <f t="shared" si="8"/>
        <v>6.8</v>
      </c>
      <c r="J39" s="326">
        <f t="shared" si="11"/>
        <v>1081</v>
      </c>
      <c r="K39" s="326">
        <f t="shared" si="9"/>
        <v>552</v>
      </c>
      <c r="L39" s="327">
        <f t="shared" si="10"/>
        <v>529</v>
      </c>
      <c r="N39" s="337"/>
      <c r="O39" s="337"/>
    </row>
    <row r="40" spans="1:15" ht="20.100000000000001" customHeight="1">
      <c r="A40" s="283"/>
      <c r="B40" s="297" t="s">
        <v>362</v>
      </c>
      <c r="C40" s="319">
        <f t="shared" si="5"/>
        <v>85307</v>
      </c>
      <c r="D40" s="319">
        <f t="shared" si="5"/>
        <v>75212</v>
      </c>
      <c r="E40" s="336">
        <f>생잔율!F41</f>
        <v>0.98312999999999995</v>
      </c>
      <c r="F40" s="336">
        <f>생잔율!G41</f>
        <v>0.99358000000000002</v>
      </c>
      <c r="G40" s="321">
        <f t="shared" si="6"/>
        <v>87171</v>
      </c>
      <c r="H40" s="321">
        <f t="shared" si="7"/>
        <v>76765</v>
      </c>
      <c r="I40" s="325">
        <f t="shared" si="8"/>
        <v>0.36</v>
      </c>
      <c r="J40" s="326">
        <f t="shared" si="11"/>
        <v>54</v>
      </c>
      <c r="K40" s="326">
        <f t="shared" si="9"/>
        <v>28</v>
      </c>
      <c r="L40" s="327">
        <f t="shared" si="10"/>
        <v>26</v>
      </c>
      <c r="N40" s="337"/>
      <c r="O40" s="337"/>
    </row>
    <row r="41" spans="1:15" ht="20.100000000000001" customHeight="1">
      <c r="A41" s="283"/>
      <c r="B41" s="297" t="s">
        <v>363</v>
      </c>
      <c r="C41" s="319">
        <f t="shared" si="5"/>
        <v>86748</v>
      </c>
      <c r="D41" s="319">
        <f t="shared" si="5"/>
        <v>79414</v>
      </c>
      <c r="E41" s="336">
        <f>생잔율!F42</f>
        <v>0.97480999999999995</v>
      </c>
      <c r="F41" s="336">
        <f>생잔율!G42</f>
        <v>0.99087999999999998</v>
      </c>
      <c r="G41" s="321">
        <f t="shared" si="6"/>
        <v>85412</v>
      </c>
      <c r="H41" s="321">
        <f t="shared" si="7"/>
        <v>77481</v>
      </c>
      <c r="I41" s="322"/>
      <c r="J41" s="323"/>
      <c r="K41" s="323"/>
      <c r="L41" s="324"/>
      <c r="N41" s="337"/>
      <c r="O41" s="337"/>
    </row>
    <row r="42" spans="1:15" ht="20.100000000000001" customHeight="1">
      <c r="A42" s="283"/>
      <c r="B42" s="297" t="s">
        <v>364</v>
      </c>
      <c r="C42" s="319">
        <f t="shared" si="5"/>
        <v>70562</v>
      </c>
      <c r="D42" s="319">
        <f t="shared" si="5"/>
        <v>68278</v>
      </c>
      <c r="E42" s="336">
        <f>생잔율!F43</f>
        <v>0.96524999999999994</v>
      </c>
      <c r="F42" s="336">
        <f>생잔율!G43</f>
        <v>0.98814999999999997</v>
      </c>
      <c r="G42" s="321">
        <f t="shared" si="6"/>
        <v>76089</v>
      </c>
      <c r="H42" s="321">
        <f t="shared" si="7"/>
        <v>72421</v>
      </c>
      <c r="I42" s="322"/>
      <c r="J42" s="323"/>
      <c r="K42" s="323"/>
      <c r="L42" s="324"/>
      <c r="N42" s="337"/>
      <c r="O42" s="337"/>
    </row>
    <row r="43" spans="1:15" ht="20.100000000000001" customHeight="1">
      <c r="A43" s="283"/>
      <c r="B43" s="297" t="s">
        <v>365</v>
      </c>
      <c r="C43" s="319">
        <f t="shared" si="5"/>
        <v>50396</v>
      </c>
      <c r="D43" s="319">
        <f t="shared" si="5"/>
        <v>51877</v>
      </c>
      <c r="E43" s="336">
        <f>생잔율!F44</f>
        <v>0.95008999999999999</v>
      </c>
      <c r="F43" s="336">
        <f>생잔율!G44</f>
        <v>0.98185</v>
      </c>
      <c r="G43" s="321">
        <f t="shared" si="6"/>
        <v>57453</v>
      </c>
      <c r="H43" s="321">
        <f t="shared" si="7"/>
        <v>58080</v>
      </c>
      <c r="I43" s="322"/>
      <c r="J43" s="475"/>
      <c r="K43" s="323"/>
      <c r="L43" s="324"/>
      <c r="N43" s="337"/>
      <c r="O43" s="337"/>
    </row>
    <row r="44" spans="1:15" ht="20.100000000000001" customHeight="1">
      <c r="A44" s="283"/>
      <c r="B44" s="297" t="s">
        <v>366</v>
      </c>
      <c r="C44" s="319">
        <f t="shared" si="5"/>
        <v>40944</v>
      </c>
      <c r="D44" s="319">
        <f t="shared" si="5"/>
        <v>44417</v>
      </c>
      <c r="E44" s="336">
        <f>생잔율!F45</f>
        <v>0.91910999999999998</v>
      </c>
      <c r="F44" s="336">
        <f>생잔율!G45</f>
        <v>0.96828999999999998</v>
      </c>
      <c r="G44" s="321">
        <f t="shared" si="6"/>
        <v>43501</v>
      </c>
      <c r="H44" s="321">
        <f t="shared" si="7"/>
        <v>46908</v>
      </c>
      <c r="I44" s="322"/>
      <c r="J44" s="475"/>
      <c r="K44" s="323"/>
      <c r="L44" s="324"/>
      <c r="N44" s="337"/>
      <c r="O44" s="337"/>
    </row>
    <row r="45" spans="1:15" ht="20.100000000000001" customHeight="1">
      <c r="A45" s="283"/>
      <c r="B45" s="297" t="s">
        <v>367</v>
      </c>
      <c r="C45" s="319">
        <f t="shared" si="5"/>
        <v>38104</v>
      </c>
      <c r="D45" s="319">
        <f t="shared" si="5"/>
        <v>50581</v>
      </c>
      <c r="E45" s="336">
        <f>생잔율!F46</f>
        <v>0.87267000000000006</v>
      </c>
      <c r="F45" s="336">
        <f>생잔율!G46</f>
        <v>0.94223000000000001</v>
      </c>
      <c r="G45" s="321">
        <f t="shared" si="6"/>
        <v>37484</v>
      </c>
      <c r="H45" s="321">
        <f t="shared" si="7"/>
        <v>47174</v>
      </c>
      <c r="I45" s="322"/>
      <c r="J45" s="323"/>
      <c r="K45" s="323"/>
      <c r="L45" s="324"/>
      <c r="N45" s="337"/>
      <c r="O45" s="337"/>
    </row>
    <row r="46" spans="1:15" ht="20.100000000000001" customHeight="1">
      <c r="A46" s="283"/>
      <c r="B46" s="297" t="s">
        <v>369</v>
      </c>
      <c r="C46" s="319">
        <f t="shared" si="5"/>
        <v>30038</v>
      </c>
      <c r="D46" s="319">
        <f t="shared" si="5"/>
        <v>44932</v>
      </c>
      <c r="E46" s="336">
        <f>생잔율!F47</f>
        <v>0.80184999999999995</v>
      </c>
      <c r="F46" s="336">
        <f>생잔율!G47</f>
        <v>0.89569999999999994</v>
      </c>
      <c r="G46" s="321">
        <f t="shared" si="6"/>
        <v>30933</v>
      </c>
      <c r="H46" s="321">
        <f t="shared" si="7"/>
        <v>45554</v>
      </c>
      <c r="I46" s="322"/>
      <c r="J46" s="323"/>
      <c r="K46" s="323"/>
      <c r="L46" s="324"/>
      <c r="N46" s="337"/>
      <c r="O46" s="337"/>
    </row>
    <row r="47" spans="1:15" ht="20.100000000000001" customHeight="1">
      <c r="A47" s="283"/>
      <c r="B47" s="297" t="s">
        <v>378</v>
      </c>
      <c r="C47" s="319">
        <f t="shared" si="5"/>
        <v>15171</v>
      </c>
      <c r="D47" s="319">
        <f t="shared" si="5"/>
        <v>28042</v>
      </c>
      <c r="E47" s="336">
        <f>생잔율!F48</f>
        <v>0.70080999999999993</v>
      </c>
      <c r="F47" s="336">
        <f>생잔율!G48</f>
        <v>0.81664000000000003</v>
      </c>
      <c r="G47" s="321">
        <f t="shared" si="6"/>
        <v>18895</v>
      </c>
      <c r="H47" s="321">
        <f t="shared" si="7"/>
        <v>32714</v>
      </c>
      <c r="I47" s="322"/>
      <c r="J47" s="323"/>
      <c r="K47" s="323"/>
      <c r="L47" s="324"/>
      <c r="N47" s="337"/>
      <c r="O47" s="337"/>
    </row>
    <row r="48" spans="1:15" ht="20.100000000000001" customHeight="1">
      <c r="A48" s="283"/>
      <c r="B48" s="297" t="s">
        <v>372</v>
      </c>
      <c r="C48" s="319">
        <f t="shared" si="5"/>
        <v>7698</v>
      </c>
      <c r="D48" s="319">
        <f t="shared" si="5"/>
        <v>20268</v>
      </c>
      <c r="E48" s="336">
        <f>생잔율!F49</f>
        <v>0.56705000000000005</v>
      </c>
      <c r="F48" s="336">
        <f>생잔율!G49</f>
        <v>0.69120999999999999</v>
      </c>
      <c r="G48" s="321">
        <f t="shared" si="6"/>
        <v>8945</v>
      </c>
      <c r="H48" s="321">
        <f t="shared" si="7"/>
        <v>20835</v>
      </c>
      <c r="I48" s="328"/>
      <c r="J48" s="329"/>
      <c r="K48" s="329"/>
      <c r="L48" s="330"/>
      <c r="N48" s="337"/>
      <c r="O48" s="337"/>
    </row>
    <row r="49" spans="1:15" ht="20.100000000000001" customHeight="1">
      <c r="A49" s="283"/>
      <c r="B49" s="297" t="s">
        <v>374</v>
      </c>
      <c r="C49" s="319">
        <f t="shared" si="5"/>
        <v>0</v>
      </c>
      <c r="D49" s="319">
        <f t="shared" si="5"/>
        <v>0</v>
      </c>
      <c r="E49" s="336">
        <f>생잔율!F50</f>
        <v>0.40920999999999996</v>
      </c>
      <c r="F49" s="336">
        <f>생잔율!G50</f>
        <v>0.51499000000000006</v>
      </c>
      <c r="G49" s="321">
        <f t="shared" si="6"/>
        <v>2454</v>
      </c>
      <c r="H49" s="321">
        <f t="shared" si="7"/>
        <v>6994</v>
      </c>
      <c r="I49" s="328"/>
      <c r="J49" s="329"/>
      <c r="K49" s="329"/>
      <c r="L49" s="330"/>
      <c r="N49" s="337"/>
      <c r="O49" s="337"/>
    </row>
    <row r="50" spans="1:15" ht="20.100000000000001" customHeight="1" thickBot="1">
      <c r="A50" s="283"/>
      <c r="B50" s="309" t="s">
        <v>375</v>
      </c>
      <c r="C50" s="319">
        <f t="shared" si="5"/>
        <v>0</v>
      </c>
      <c r="D50" s="319">
        <f t="shared" si="5"/>
        <v>0</v>
      </c>
      <c r="E50" s="336">
        <f>생잔율!F51</f>
        <v>0.25133000000000005</v>
      </c>
      <c r="F50" s="336">
        <f>생잔율!G51</f>
        <v>0.31218000000000001</v>
      </c>
      <c r="G50" s="321">
        <f t="shared" si="6"/>
        <v>0</v>
      </c>
      <c r="H50" s="321">
        <f t="shared" si="7"/>
        <v>0</v>
      </c>
      <c r="I50" s="328"/>
      <c r="J50" s="329"/>
      <c r="K50" s="329"/>
      <c r="L50" s="330"/>
      <c r="N50" s="337"/>
      <c r="O50" s="337"/>
    </row>
    <row r="51" spans="1:15" ht="20.100000000000001" customHeight="1">
      <c r="A51" s="283"/>
      <c r="B51" s="604" t="s">
        <v>376</v>
      </c>
      <c r="C51" s="332">
        <f>SUM(C31:C50)</f>
        <v>1037421</v>
      </c>
      <c r="D51" s="332">
        <f>SUM(D31:D50)</f>
        <v>1010210</v>
      </c>
      <c r="E51" s="289"/>
      <c r="F51" s="289"/>
      <c r="G51" s="333">
        <f>SUM(G31:G50)</f>
        <v>1043964</v>
      </c>
      <c r="H51" s="333">
        <f>SUM(H31:H50)</f>
        <v>1019587</v>
      </c>
      <c r="I51" s="289"/>
      <c r="J51" s="332">
        <f>SUM(J34:J50)</f>
        <v>40217</v>
      </c>
      <c r="K51" s="332">
        <f>SUM(K34:K50)</f>
        <v>20532</v>
      </c>
      <c r="L51" s="334">
        <f>SUM(L34:L50)</f>
        <v>19685</v>
      </c>
    </row>
    <row r="52" spans="1:15" ht="20.100000000000001" customHeight="1" thickBot="1">
      <c r="A52" s="283"/>
      <c r="B52" s="605"/>
      <c r="C52" s="602">
        <f>SUM(C51:D51)</f>
        <v>2047631</v>
      </c>
      <c r="D52" s="602"/>
      <c r="E52" s="414"/>
      <c r="F52" s="331"/>
      <c r="G52" s="602">
        <f>SUM(G51:H51)</f>
        <v>2063551</v>
      </c>
      <c r="H52" s="602"/>
      <c r="I52" s="335"/>
      <c r="J52" s="415"/>
      <c r="K52" s="415"/>
      <c r="L52" s="416"/>
    </row>
    <row r="53" spans="1:15" ht="20.100000000000001" customHeight="1">
      <c r="A53" s="283"/>
      <c r="B53" s="283"/>
      <c r="C53" s="284"/>
      <c r="D53" s="284"/>
      <c r="E53" s="284"/>
      <c r="F53" s="283"/>
      <c r="G53" s="283"/>
      <c r="H53" s="283"/>
      <c r="I53" s="283"/>
      <c r="J53" s="283"/>
      <c r="K53" s="283"/>
      <c r="L53" s="283"/>
    </row>
    <row r="54" spans="1:15" ht="20.100000000000001" customHeight="1" thickBot="1">
      <c r="A54" s="283"/>
      <c r="B54" s="315" t="s">
        <v>383</v>
      </c>
      <c r="C54" s="316"/>
      <c r="D54" s="316"/>
      <c r="E54" s="316"/>
      <c r="F54" s="317"/>
      <c r="G54" s="317"/>
      <c r="H54" s="317"/>
      <c r="I54" s="317"/>
      <c r="J54" s="317"/>
      <c r="K54" s="317"/>
      <c r="L54" s="317"/>
    </row>
    <row r="55" spans="1:15" ht="20.100000000000001" customHeight="1">
      <c r="A55" s="283"/>
      <c r="B55" s="591" t="s">
        <v>344</v>
      </c>
      <c r="C55" s="600" t="s">
        <v>384</v>
      </c>
      <c r="D55" s="600"/>
      <c r="E55" s="600" t="s">
        <v>385</v>
      </c>
      <c r="F55" s="600"/>
      <c r="G55" s="600" t="s">
        <v>386</v>
      </c>
      <c r="H55" s="600"/>
      <c r="I55" s="600" t="s">
        <v>387</v>
      </c>
      <c r="J55" s="600" t="s">
        <v>377</v>
      </c>
      <c r="K55" s="600"/>
      <c r="L55" s="601"/>
    </row>
    <row r="56" spans="1:15" ht="20.100000000000001" customHeight="1" thickBot="1">
      <c r="A56" s="283"/>
      <c r="B56" s="592"/>
      <c r="C56" s="413" t="s">
        <v>346</v>
      </c>
      <c r="D56" s="413" t="s">
        <v>347</v>
      </c>
      <c r="E56" s="413" t="s">
        <v>346</v>
      </c>
      <c r="F56" s="413" t="s">
        <v>347</v>
      </c>
      <c r="G56" s="413" t="s">
        <v>346</v>
      </c>
      <c r="H56" s="413" t="s">
        <v>347</v>
      </c>
      <c r="I56" s="603"/>
      <c r="J56" s="413" t="s">
        <v>47</v>
      </c>
      <c r="K56" s="413" t="s">
        <v>346</v>
      </c>
      <c r="L56" s="424" t="s">
        <v>347</v>
      </c>
    </row>
    <row r="57" spans="1:15" ht="20.100000000000001" customHeight="1" thickTop="1">
      <c r="A57" s="283"/>
      <c r="B57" s="292" t="s">
        <v>353</v>
      </c>
      <c r="C57" s="319">
        <f t="shared" ref="C57:D76" si="12">G31</f>
        <v>51042</v>
      </c>
      <c r="D57" s="319">
        <f t="shared" si="12"/>
        <v>48467</v>
      </c>
      <c r="E57" s="336">
        <f>생잔율!H32</f>
        <v>0.99882400000000005</v>
      </c>
      <c r="F57" s="336">
        <f>생잔율!I32</f>
        <v>0.998838</v>
      </c>
      <c r="G57" s="319">
        <f>SUM(K60:K66)</f>
        <v>52960</v>
      </c>
      <c r="H57" s="319">
        <f>SUM(L60:L66)</f>
        <v>50684</v>
      </c>
      <c r="I57" s="318"/>
      <c r="J57" s="319"/>
      <c r="K57" s="319"/>
      <c r="L57" s="320"/>
      <c r="N57" s="337"/>
      <c r="O57" s="337"/>
    </row>
    <row r="58" spans="1:15" ht="20.100000000000001" customHeight="1">
      <c r="A58" s="283"/>
      <c r="B58" s="297" t="s">
        <v>355</v>
      </c>
      <c r="C58" s="319">
        <f t="shared" si="12"/>
        <v>50769</v>
      </c>
      <c r="D58" s="319">
        <f t="shared" si="12"/>
        <v>47610</v>
      </c>
      <c r="E58" s="336">
        <f>생잔율!H33</f>
        <v>0.99965999999999999</v>
      </c>
      <c r="F58" s="336">
        <f>생잔율!I33</f>
        <v>0.99965999999999999</v>
      </c>
      <c r="G58" s="321">
        <f>ROUND(C57*E57^1,0)</f>
        <v>50982</v>
      </c>
      <c r="H58" s="321">
        <f>ROUND(D57*F57^1,0)</f>
        <v>48411</v>
      </c>
      <c r="I58" s="322"/>
      <c r="J58" s="323"/>
      <c r="K58" s="323"/>
      <c r="L58" s="324"/>
      <c r="N58" s="337"/>
      <c r="O58" s="337"/>
    </row>
    <row r="59" spans="1:15" ht="20.100000000000001" customHeight="1">
      <c r="A59" s="283"/>
      <c r="B59" s="297" t="s">
        <v>357</v>
      </c>
      <c r="C59" s="319">
        <f t="shared" si="12"/>
        <v>55702</v>
      </c>
      <c r="D59" s="319">
        <f t="shared" si="12"/>
        <v>51589</v>
      </c>
      <c r="E59" s="336">
        <f>생잔율!H34</f>
        <v>0.99948000000000004</v>
      </c>
      <c r="F59" s="336">
        <f>생잔율!I34</f>
        <v>0.99956</v>
      </c>
      <c r="G59" s="321">
        <f t="shared" ref="G59:G76" si="13">ROUND(C58*E58^1,0)</f>
        <v>50752</v>
      </c>
      <c r="H59" s="321">
        <f t="shared" ref="H59:H76" si="14">ROUND(D58*F58^1,0)</f>
        <v>47594</v>
      </c>
      <c r="I59" s="322"/>
      <c r="J59" s="323"/>
      <c r="K59" s="323"/>
      <c r="L59" s="324"/>
      <c r="N59" s="337"/>
      <c r="O59" s="337"/>
    </row>
    <row r="60" spans="1:15" ht="20.100000000000001" customHeight="1">
      <c r="A60" s="283"/>
      <c r="B60" s="297" t="s">
        <v>354</v>
      </c>
      <c r="C60" s="319">
        <f t="shared" si="12"/>
        <v>64884</v>
      </c>
      <c r="D60" s="319">
        <f t="shared" si="12"/>
        <v>59043</v>
      </c>
      <c r="E60" s="336">
        <f>생잔율!H35</f>
        <v>0.99868000000000001</v>
      </c>
      <c r="F60" s="336">
        <f>생잔율!I35</f>
        <v>0.99939999999999996</v>
      </c>
      <c r="G60" s="321">
        <f t="shared" si="13"/>
        <v>55673</v>
      </c>
      <c r="H60" s="321">
        <f t="shared" si="14"/>
        <v>51566</v>
      </c>
      <c r="I60" s="325">
        <f t="shared" ref="I60:I66" si="15">J5</f>
        <v>1.91</v>
      </c>
      <c r="J60" s="326">
        <f t="shared" ref="J60:J66" si="16">ROUND(I60*5*D60/1000,0)</f>
        <v>564</v>
      </c>
      <c r="K60" s="326">
        <f t="shared" ref="K60:K66" si="17">ROUND(J60*$J$22,0)</f>
        <v>288</v>
      </c>
      <c r="L60" s="327">
        <f t="shared" ref="L60:L66" si="18">J60-K60</f>
        <v>276</v>
      </c>
      <c r="N60" s="337"/>
      <c r="O60" s="337"/>
    </row>
    <row r="61" spans="1:15" ht="20.100000000000001" customHeight="1">
      <c r="A61" s="283"/>
      <c r="B61" s="297" t="s">
        <v>356</v>
      </c>
      <c r="C61" s="319">
        <f t="shared" si="12"/>
        <v>66477</v>
      </c>
      <c r="D61" s="319">
        <f t="shared" si="12"/>
        <v>59496</v>
      </c>
      <c r="E61" s="336">
        <f>생잔율!H36</f>
        <v>0.99775999999999998</v>
      </c>
      <c r="F61" s="336">
        <f>생잔율!I36</f>
        <v>0.99899000000000004</v>
      </c>
      <c r="G61" s="321">
        <f t="shared" si="13"/>
        <v>64798</v>
      </c>
      <c r="H61" s="321">
        <f t="shared" si="14"/>
        <v>59008</v>
      </c>
      <c r="I61" s="325">
        <f t="shared" si="15"/>
        <v>24.48</v>
      </c>
      <c r="J61" s="326">
        <f t="shared" si="16"/>
        <v>7282</v>
      </c>
      <c r="K61" s="326">
        <f t="shared" si="17"/>
        <v>3721</v>
      </c>
      <c r="L61" s="327">
        <f t="shared" si="18"/>
        <v>3561</v>
      </c>
      <c r="N61" s="337"/>
      <c r="O61" s="337"/>
    </row>
    <row r="62" spans="1:15" ht="20.100000000000001" customHeight="1">
      <c r="A62" s="283"/>
      <c r="B62" s="297" t="s">
        <v>358</v>
      </c>
      <c r="C62" s="319">
        <f t="shared" si="12"/>
        <v>63893</v>
      </c>
      <c r="D62" s="319">
        <f t="shared" si="12"/>
        <v>55835</v>
      </c>
      <c r="E62" s="336">
        <f>생잔율!H37</f>
        <v>0.99692999999999998</v>
      </c>
      <c r="F62" s="336">
        <f>생잔율!I37</f>
        <v>0.99846999999999997</v>
      </c>
      <c r="G62" s="321">
        <f t="shared" si="13"/>
        <v>66328</v>
      </c>
      <c r="H62" s="321">
        <f t="shared" si="14"/>
        <v>59436</v>
      </c>
      <c r="I62" s="325">
        <f t="shared" si="15"/>
        <v>96.09</v>
      </c>
      <c r="J62" s="326">
        <f t="shared" si="16"/>
        <v>26826</v>
      </c>
      <c r="K62" s="326">
        <f t="shared" si="17"/>
        <v>13708</v>
      </c>
      <c r="L62" s="327">
        <f t="shared" si="18"/>
        <v>13118</v>
      </c>
      <c r="N62" s="337"/>
      <c r="O62" s="337"/>
    </row>
    <row r="63" spans="1:15" ht="20.100000000000001" customHeight="1">
      <c r="A63" s="283"/>
      <c r="B63" s="297" t="s">
        <v>359</v>
      </c>
      <c r="C63" s="319">
        <f t="shared" si="12"/>
        <v>75209</v>
      </c>
      <c r="D63" s="319">
        <f t="shared" si="12"/>
        <v>65265</v>
      </c>
      <c r="E63" s="336">
        <f>생잔율!H38</f>
        <v>0.99636999999999998</v>
      </c>
      <c r="F63" s="336">
        <f>생잔율!I38</f>
        <v>0.99782000000000004</v>
      </c>
      <c r="G63" s="321">
        <f t="shared" si="13"/>
        <v>63697</v>
      </c>
      <c r="H63" s="321">
        <f t="shared" si="14"/>
        <v>55750</v>
      </c>
      <c r="I63" s="325">
        <f t="shared" si="15"/>
        <v>127.89</v>
      </c>
      <c r="J63" s="326">
        <f t="shared" si="16"/>
        <v>41734</v>
      </c>
      <c r="K63" s="326">
        <f t="shared" si="17"/>
        <v>21325</v>
      </c>
      <c r="L63" s="327">
        <f t="shared" si="18"/>
        <v>20409</v>
      </c>
      <c r="N63" s="337"/>
      <c r="O63" s="337"/>
    </row>
    <row r="64" spans="1:15" ht="20.100000000000001" customHeight="1">
      <c r="A64" s="283"/>
      <c r="B64" s="297" t="s">
        <v>360</v>
      </c>
      <c r="C64" s="319">
        <f t="shared" si="12"/>
        <v>81205</v>
      </c>
      <c r="D64" s="319">
        <f t="shared" si="12"/>
        <v>71418</v>
      </c>
      <c r="E64" s="336">
        <f>생잔율!H39</f>
        <v>0.99463999999999997</v>
      </c>
      <c r="F64" s="336">
        <f>생잔율!I39</f>
        <v>0.99694000000000005</v>
      </c>
      <c r="G64" s="321">
        <f t="shared" si="13"/>
        <v>74936</v>
      </c>
      <c r="H64" s="321">
        <f t="shared" si="14"/>
        <v>65123</v>
      </c>
      <c r="I64" s="325">
        <f t="shared" si="15"/>
        <v>62.5</v>
      </c>
      <c r="J64" s="326">
        <f t="shared" si="16"/>
        <v>22318</v>
      </c>
      <c r="K64" s="326">
        <f t="shared" si="17"/>
        <v>11404</v>
      </c>
      <c r="L64" s="327">
        <f t="shared" si="18"/>
        <v>10914</v>
      </c>
      <c r="N64" s="337"/>
      <c r="O64" s="337"/>
    </row>
    <row r="65" spans="1:15" ht="20.100000000000001" customHeight="1">
      <c r="A65" s="283"/>
      <c r="B65" s="297" t="s">
        <v>361</v>
      </c>
      <c r="C65" s="319">
        <f t="shared" si="12"/>
        <v>86446</v>
      </c>
      <c r="D65" s="319">
        <f t="shared" si="12"/>
        <v>75938</v>
      </c>
      <c r="E65" s="336">
        <f>생잔율!H40</f>
        <v>0.99089000000000005</v>
      </c>
      <c r="F65" s="336">
        <f>생잔율!I40</f>
        <v>0.99639</v>
      </c>
      <c r="G65" s="321">
        <f t="shared" si="13"/>
        <v>80770</v>
      </c>
      <c r="H65" s="321">
        <f t="shared" si="14"/>
        <v>71199</v>
      </c>
      <c r="I65" s="325">
        <f t="shared" si="15"/>
        <v>11.99</v>
      </c>
      <c r="J65" s="326">
        <f t="shared" si="16"/>
        <v>4552</v>
      </c>
      <c r="K65" s="326">
        <f t="shared" si="17"/>
        <v>2326</v>
      </c>
      <c r="L65" s="327">
        <f t="shared" si="18"/>
        <v>2226</v>
      </c>
      <c r="N65" s="337"/>
      <c r="O65" s="337"/>
    </row>
    <row r="66" spans="1:15" ht="20.100000000000001" customHeight="1">
      <c r="A66" s="283"/>
      <c r="B66" s="297" t="s">
        <v>362</v>
      </c>
      <c r="C66" s="319">
        <f t="shared" si="12"/>
        <v>87171</v>
      </c>
      <c r="D66" s="319">
        <f t="shared" si="12"/>
        <v>76765</v>
      </c>
      <c r="E66" s="336">
        <f>생잔율!H41</f>
        <v>0.98565999999999998</v>
      </c>
      <c r="F66" s="336">
        <f>생잔율!I41</f>
        <v>0.99456</v>
      </c>
      <c r="G66" s="321">
        <f t="shared" si="13"/>
        <v>85658</v>
      </c>
      <c r="H66" s="321">
        <f t="shared" si="14"/>
        <v>75664</v>
      </c>
      <c r="I66" s="325">
        <f t="shared" si="15"/>
        <v>0.96</v>
      </c>
      <c r="J66" s="326">
        <f t="shared" si="16"/>
        <v>368</v>
      </c>
      <c r="K66" s="326">
        <f t="shared" si="17"/>
        <v>188</v>
      </c>
      <c r="L66" s="327">
        <f t="shared" si="18"/>
        <v>180</v>
      </c>
      <c r="N66" s="337"/>
      <c r="O66" s="337"/>
    </row>
    <row r="67" spans="1:15" ht="20.100000000000001" customHeight="1">
      <c r="A67" s="283"/>
      <c r="B67" s="297" t="s">
        <v>363</v>
      </c>
      <c r="C67" s="319">
        <f t="shared" si="12"/>
        <v>85412</v>
      </c>
      <c r="D67" s="319">
        <f t="shared" si="12"/>
        <v>77481</v>
      </c>
      <c r="E67" s="336">
        <f>생잔율!H42</f>
        <v>0.97860999999999998</v>
      </c>
      <c r="F67" s="336">
        <f>생잔율!I42</f>
        <v>0.99229000000000001</v>
      </c>
      <c r="G67" s="321">
        <f t="shared" si="13"/>
        <v>85921</v>
      </c>
      <c r="H67" s="321">
        <f t="shared" si="14"/>
        <v>76347</v>
      </c>
      <c r="I67" s="322"/>
      <c r="J67" s="323"/>
      <c r="K67" s="323"/>
      <c r="L67" s="324"/>
      <c r="N67" s="337"/>
      <c r="O67" s="337"/>
    </row>
    <row r="68" spans="1:15" ht="20.100000000000001" customHeight="1">
      <c r="A68" s="283"/>
      <c r="B68" s="297" t="s">
        <v>364</v>
      </c>
      <c r="C68" s="319">
        <f t="shared" si="12"/>
        <v>76089</v>
      </c>
      <c r="D68" s="319">
        <f t="shared" si="12"/>
        <v>72421</v>
      </c>
      <c r="E68" s="336">
        <f>생잔율!H43</f>
        <v>0.97045000000000003</v>
      </c>
      <c r="F68" s="336">
        <f>생잔율!I43</f>
        <v>0.98997000000000002</v>
      </c>
      <c r="G68" s="321">
        <f t="shared" si="13"/>
        <v>83585</v>
      </c>
      <c r="H68" s="321">
        <f t="shared" si="14"/>
        <v>76884</v>
      </c>
      <c r="I68" s="322"/>
      <c r="J68" s="323"/>
      <c r="K68" s="323"/>
      <c r="L68" s="324"/>
      <c r="N68" s="337"/>
      <c r="O68" s="337"/>
    </row>
    <row r="69" spans="1:15" ht="20.100000000000001" customHeight="1">
      <c r="A69" s="283"/>
      <c r="B69" s="297" t="s">
        <v>365</v>
      </c>
      <c r="C69" s="319">
        <f t="shared" si="12"/>
        <v>57453</v>
      </c>
      <c r="D69" s="319">
        <f t="shared" si="12"/>
        <v>58080</v>
      </c>
      <c r="E69" s="336">
        <f>생잔율!H44</f>
        <v>0.95742000000000005</v>
      </c>
      <c r="F69" s="336">
        <f>생잔율!I44</f>
        <v>0.98456999999999995</v>
      </c>
      <c r="G69" s="321">
        <f t="shared" si="13"/>
        <v>73841</v>
      </c>
      <c r="H69" s="321">
        <f t="shared" si="14"/>
        <v>71695</v>
      </c>
      <c r="I69" s="322"/>
      <c r="J69" s="323"/>
      <c r="K69" s="323"/>
      <c r="L69" s="324"/>
      <c r="N69" s="337"/>
      <c r="O69" s="337"/>
    </row>
    <row r="70" spans="1:15" ht="20.100000000000001" customHeight="1">
      <c r="A70" s="283"/>
      <c r="B70" s="297" t="s">
        <v>366</v>
      </c>
      <c r="C70" s="319">
        <f t="shared" si="12"/>
        <v>43501</v>
      </c>
      <c r="D70" s="319">
        <f t="shared" si="12"/>
        <v>46908</v>
      </c>
      <c r="E70" s="336">
        <f>생잔율!H45</f>
        <v>0.92968000000000006</v>
      </c>
      <c r="F70" s="336">
        <f>생잔율!I45</f>
        <v>0.97253000000000001</v>
      </c>
      <c r="G70" s="321">
        <f t="shared" si="13"/>
        <v>55007</v>
      </c>
      <c r="H70" s="321">
        <f t="shared" si="14"/>
        <v>57184</v>
      </c>
      <c r="I70" s="322"/>
      <c r="J70" s="323"/>
      <c r="K70" s="323"/>
      <c r="L70" s="324"/>
      <c r="N70" s="337"/>
      <c r="O70" s="337"/>
    </row>
    <row r="71" spans="1:15" ht="20.100000000000001" customHeight="1">
      <c r="A71" s="283"/>
      <c r="B71" s="297" t="s">
        <v>367</v>
      </c>
      <c r="C71" s="319">
        <f t="shared" si="12"/>
        <v>37484</v>
      </c>
      <c r="D71" s="319">
        <f t="shared" si="12"/>
        <v>47174</v>
      </c>
      <c r="E71" s="336">
        <f>생잔율!H46</f>
        <v>0.88668000000000002</v>
      </c>
      <c r="F71" s="336">
        <f>생잔율!I46</f>
        <v>0.94877999999999996</v>
      </c>
      <c r="G71" s="321">
        <f t="shared" si="13"/>
        <v>40442</v>
      </c>
      <c r="H71" s="321">
        <f t="shared" si="14"/>
        <v>45619</v>
      </c>
      <c r="I71" s="322"/>
      <c r="J71" s="323"/>
      <c r="K71" s="323"/>
      <c r="L71" s="324"/>
      <c r="N71" s="337"/>
      <c r="O71" s="337"/>
    </row>
    <row r="72" spans="1:15" ht="20.100000000000001" customHeight="1">
      <c r="A72" s="283"/>
      <c r="B72" s="297" t="s">
        <v>369</v>
      </c>
      <c r="C72" s="319">
        <f t="shared" si="12"/>
        <v>30933</v>
      </c>
      <c r="D72" s="319">
        <f t="shared" si="12"/>
        <v>45554</v>
      </c>
      <c r="E72" s="336">
        <f>생잔율!H47</f>
        <v>0.81932000000000005</v>
      </c>
      <c r="F72" s="336">
        <f>생잔율!I47</f>
        <v>0.90531000000000006</v>
      </c>
      <c r="G72" s="321">
        <f t="shared" si="13"/>
        <v>33236</v>
      </c>
      <c r="H72" s="321">
        <f t="shared" si="14"/>
        <v>44758</v>
      </c>
      <c r="I72" s="322"/>
      <c r="J72" s="323"/>
      <c r="K72" s="323"/>
      <c r="L72" s="324"/>
      <c r="N72" s="337"/>
      <c r="O72" s="337"/>
    </row>
    <row r="73" spans="1:15" ht="20.100000000000001" customHeight="1">
      <c r="A73" s="283"/>
      <c r="B73" s="297" t="s">
        <v>378</v>
      </c>
      <c r="C73" s="319">
        <f t="shared" si="12"/>
        <v>18895</v>
      </c>
      <c r="D73" s="319">
        <f t="shared" si="12"/>
        <v>32714</v>
      </c>
      <c r="E73" s="336">
        <f>생잔율!H48</f>
        <v>0.72049000000000007</v>
      </c>
      <c r="F73" s="336">
        <f>생잔율!I48</f>
        <v>0.82940999999999998</v>
      </c>
      <c r="G73" s="321">
        <f t="shared" si="13"/>
        <v>25344</v>
      </c>
      <c r="H73" s="321">
        <f t="shared" si="14"/>
        <v>41240</v>
      </c>
      <c r="I73" s="322"/>
      <c r="J73" s="323"/>
      <c r="K73" s="323"/>
      <c r="L73" s="324"/>
      <c r="N73" s="337"/>
      <c r="O73" s="337"/>
    </row>
    <row r="74" spans="1:15" ht="20.100000000000001" customHeight="1">
      <c r="A74" s="283"/>
      <c r="B74" s="297" t="s">
        <v>372</v>
      </c>
      <c r="C74" s="319">
        <f t="shared" si="12"/>
        <v>8945</v>
      </c>
      <c r="D74" s="319">
        <f t="shared" si="12"/>
        <v>20835</v>
      </c>
      <c r="E74" s="336">
        <f>생잔율!H49</f>
        <v>0.58606000000000003</v>
      </c>
      <c r="F74" s="336">
        <f>생잔율!I49</f>
        <v>0.70589999999999997</v>
      </c>
      <c r="G74" s="321">
        <f t="shared" si="13"/>
        <v>13614</v>
      </c>
      <c r="H74" s="321">
        <f t="shared" si="14"/>
        <v>27133</v>
      </c>
      <c r="I74" s="328"/>
      <c r="J74" s="329"/>
      <c r="K74" s="329"/>
      <c r="L74" s="330"/>
      <c r="N74" s="337"/>
      <c r="O74" s="337"/>
    </row>
    <row r="75" spans="1:15" ht="20.100000000000001" customHeight="1">
      <c r="A75" s="283"/>
      <c r="B75" s="297" t="s">
        <v>374</v>
      </c>
      <c r="C75" s="319">
        <f t="shared" si="12"/>
        <v>2454</v>
      </c>
      <c r="D75" s="319">
        <f t="shared" si="12"/>
        <v>6994</v>
      </c>
      <c r="E75" s="336">
        <f>생잔율!H50</f>
        <v>0.42390000000000005</v>
      </c>
      <c r="F75" s="336">
        <f>생잔율!I50</f>
        <v>0.52841000000000005</v>
      </c>
      <c r="G75" s="321">
        <f t="shared" si="13"/>
        <v>5242</v>
      </c>
      <c r="H75" s="321">
        <f t="shared" si="14"/>
        <v>14707</v>
      </c>
      <c r="I75" s="328"/>
      <c r="J75" s="329"/>
      <c r="K75" s="329"/>
      <c r="L75" s="330"/>
      <c r="N75" s="337"/>
      <c r="O75" s="337"/>
    </row>
    <row r="76" spans="1:15" ht="20.100000000000001" customHeight="1" thickBot="1">
      <c r="A76" s="283"/>
      <c r="B76" s="309" t="s">
        <v>375</v>
      </c>
      <c r="C76" s="319">
        <f t="shared" si="12"/>
        <v>0</v>
      </c>
      <c r="D76" s="319">
        <f t="shared" si="12"/>
        <v>0</v>
      </c>
      <c r="E76" s="336">
        <f>생잔율!H51</f>
        <v>0.25914999999999999</v>
      </c>
      <c r="F76" s="336">
        <f>생잔율!I51</f>
        <v>0.32021999999999995</v>
      </c>
      <c r="G76" s="321">
        <f t="shared" si="13"/>
        <v>1040</v>
      </c>
      <c r="H76" s="321">
        <f t="shared" si="14"/>
        <v>3696</v>
      </c>
      <c r="I76" s="328"/>
      <c r="J76" s="329"/>
      <c r="K76" s="329"/>
      <c r="L76" s="330"/>
      <c r="N76" s="337"/>
      <c r="O76" s="337"/>
    </row>
    <row r="77" spans="1:15" ht="20.100000000000001" customHeight="1">
      <c r="A77" s="283"/>
      <c r="B77" s="604" t="s">
        <v>376</v>
      </c>
      <c r="C77" s="332">
        <f>SUM(C57:C76)</f>
        <v>1043964</v>
      </c>
      <c r="D77" s="332">
        <f>SUM(D57:D76)</f>
        <v>1019587</v>
      </c>
      <c r="E77" s="289"/>
      <c r="F77" s="289"/>
      <c r="G77" s="333">
        <f>SUM(G57:G76)</f>
        <v>1063826</v>
      </c>
      <c r="H77" s="333">
        <f>SUM(H57:H76)</f>
        <v>1043698</v>
      </c>
      <c r="I77" s="289"/>
      <c r="J77" s="332">
        <f>SUM(J60:J76)</f>
        <v>103644</v>
      </c>
      <c r="K77" s="332">
        <f>SUM(K60:K76)</f>
        <v>52960</v>
      </c>
      <c r="L77" s="334">
        <f>SUM(L60:L76)</f>
        <v>50684</v>
      </c>
    </row>
    <row r="78" spans="1:15" ht="20.100000000000001" customHeight="1" thickBot="1">
      <c r="A78" s="283"/>
      <c r="B78" s="605"/>
      <c r="C78" s="602">
        <f>SUM(C77:D77)</f>
        <v>2063551</v>
      </c>
      <c r="D78" s="602"/>
      <c r="E78" s="414"/>
      <c r="F78" s="331"/>
      <c r="G78" s="602">
        <f>SUM(G77:H77)</f>
        <v>2107524</v>
      </c>
      <c r="H78" s="602"/>
      <c r="I78" s="335"/>
      <c r="J78" s="415"/>
      <c r="K78" s="415"/>
      <c r="L78" s="416"/>
    </row>
    <row r="79" spans="1:15" ht="20.100000000000001" customHeight="1">
      <c r="A79" s="283"/>
      <c r="B79" s="283"/>
      <c r="C79" s="284"/>
      <c r="D79" s="284"/>
      <c r="E79" s="284"/>
      <c r="F79" s="283"/>
      <c r="G79" s="283"/>
      <c r="H79" s="283"/>
      <c r="I79" s="283"/>
      <c r="J79" s="283"/>
      <c r="K79" s="283"/>
      <c r="L79" s="283"/>
    </row>
    <row r="80" spans="1:15" ht="20.100000000000001" customHeight="1" thickBot="1">
      <c r="A80" s="283"/>
      <c r="B80" s="315" t="s">
        <v>388</v>
      </c>
      <c r="C80" s="316"/>
      <c r="D80" s="316"/>
      <c r="E80" s="316"/>
      <c r="F80" s="317"/>
      <c r="G80" s="317"/>
      <c r="H80" s="317"/>
      <c r="I80" s="317"/>
      <c r="J80" s="317"/>
      <c r="K80" s="317"/>
      <c r="L80" s="317"/>
    </row>
    <row r="81" spans="1:12" ht="20.100000000000001" customHeight="1">
      <c r="A81" s="283"/>
      <c r="B81" s="591" t="s">
        <v>344</v>
      </c>
      <c r="C81" s="600" t="s">
        <v>389</v>
      </c>
      <c r="D81" s="600"/>
      <c r="E81" s="600" t="s">
        <v>390</v>
      </c>
      <c r="F81" s="600"/>
      <c r="G81" s="600" t="s">
        <v>391</v>
      </c>
      <c r="H81" s="600"/>
      <c r="I81" s="600" t="s">
        <v>392</v>
      </c>
      <c r="J81" s="600" t="s">
        <v>377</v>
      </c>
      <c r="K81" s="600"/>
      <c r="L81" s="601"/>
    </row>
    <row r="82" spans="1:12" ht="20.100000000000001" customHeight="1" thickBot="1">
      <c r="A82" s="283"/>
      <c r="B82" s="592"/>
      <c r="C82" s="413" t="s">
        <v>346</v>
      </c>
      <c r="D82" s="413" t="s">
        <v>347</v>
      </c>
      <c r="E82" s="413" t="s">
        <v>346</v>
      </c>
      <c r="F82" s="413" t="s">
        <v>347</v>
      </c>
      <c r="G82" s="413" t="s">
        <v>346</v>
      </c>
      <c r="H82" s="413" t="s">
        <v>347</v>
      </c>
      <c r="I82" s="603"/>
      <c r="J82" s="413" t="s">
        <v>47</v>
      </c>
      <c r="K82" s="413" t="s">
        <v>346</v>
      </c>
      <c r="L82" s="424" t="s">
        <v>347</v>
      </c>
    </row>
    <row r="83" spans="1:12" ht="20.100000000000001" customHeight="1" thickTop="1">
      <c r="A83" s="283"/>
      <c r="B83" s="292" t="s">
        <v>353</v>
      </c>
      <c r="C83" s="319">
        <f t="shared" ref="C83:D102" si="19">G57</f>
        <v>52960</v>
      </c>
      <c r="D83" s="319">
        <f t="shared" si="19"/>
        <v>50684</v>
      </c>
      <c r="E83" s="336">
        <f>생잔율!J32</f>
        <v>0.99900800000000001</v>
      </c>
      <c r="F83" s="336">
        <f>생잔율!K32</f>
        <v>0.99904400000000004</v>
      </c>
      <c r="G83" s="319">
        <f>SUM(K86:K92)</f>
        <v>50917</v>
      </c>
      <c r="H83" s="319">
        <f>SUM(L86:L92)</f>
        <v>48669</v>
      </c>
      <c r="I83" s="318"/>
      <c r="J83" s="319"/>
      <c r="K83" s="319"/>
      <c r="L83" s="320"/>
    </row>
    <row r="84" spans="1:12" ht="20.100000000000001" customHeight="1">
      <c r="A84" s="283"/>
      <c r="B84" s="297" t="s">
        <v>355</v>
      </c>
      <c r="C84" s="319">
        <f t="shared" si="19"/>
        <v>50982</v>
      </c>
      <c r="D84" s="319">
        <f t="shared" si="19"/>
        <v>48411</v>
      </c>
      <c r="E84" s="336">
        <f>생잔율!J33</f>
        <v>0.99975999999999998</v>
      </c>
      <c r="F84" s="336">
        <f>생잔율!K33</f>
        <v>0.99975999999999998</v>
      </c>
      <c r="G84" s="321">
        <f>ROUND(C83*E83^1,0)</f>
        <v>52907</v>
      </c>
      <c r="H84" s="321">
        <f>ROUND(D83*F83^1,0)</f>
        <v>50636</v>
      </c>
      <c r="I84" s="322"/>
      <c r="J84" s="323"/>
      <c r="K84" s="323"/>
      <c r="L84" s="324"/>
    </row>
    <row r="85" spans="1:12" ht="20.100000000000001" customHeight="1">
      <c r="A85" s="283"/>
      <c r="B85" s="297" t="s">
        <v>357</v>
      </c>
      <c r="C85" s="319">
        <f t="shared" si="19"/>
        <v>50752</v>
      </c>
      <c r="D85" s="319">
        <f t="shared" si="19"/>
        <v>47594</v>
      </c>
      <c r="E85" s="336">
        <f>생잔율!J34</f>
        <v>0.99961999999999995</v>
      </c>
      <c r="F85" s="336">
        <f>생잔율!K34</f>
        <v>0.99968000000000001</v>
      </c>
      <c r="G85" s="321">
        <f t="shared" ref="G85:G101" si="20">ROUND(C84*E84^1,0)</f>
        <v>50970</v>
      </c>
      <c r="H85" s="321">
        <f t="shared" ref="H85:H101" si="21">ROUND(D84*F84^1,0)</f>
        <v>48399</v>
      </c>
      <c r="I85" s="322"/>
      <c r="J85" s="323"/>
      <c r="K85" s="323"/>
      <c r="L85" s="324"/>
    </row>
    <row r="86" spans="1:12" ht="20.100000000000001" customHeight="1">
      <c r="A86" s="283"/>
      <c r="B86" s="297" t="s">
        <v>354</v>
      </c>
      <c r="C86" s="319">
        <f t="shared" si="19"/>
        <v>55673</v>
      </c>
      <c r="D86" s="319">
        <f t="shared" si="19"/>
        <v>51566</v>
      </c>
      <c r="E86" s="336">
        <f>생잔율!J35</f>
        <v>0.99897999999999998</v>
      </c>
      <c r="F86" s="336">
        <f>생잔율!K35</f>
        <v>0.99953999999999998</v>
      </c>
      <c r="G86" s="321">
        <f t="shared" si="20"/>
        <v>50733</v>
      </c>
      <c r="H86" s="321">
        <f t="shared" si="21"/>
        <v>47579</v>
      </c>
      <c r="I86" s="325">
        <f t="shared" ref="I86:I92" si="22">K5</f>
        <v>2.21</v>
      </c>
      <c r="J86" s="326">
        <f t="shared" ref="J86:J92" si="23">ROUND(I86*5*D86/1000,0)</f>
        <v>570</v>
      </c>
      <c r="K86" s="326">
        <f t="shared" ref="K86:K92" si="24">ROUND(J86*$K$22,0)</f>
        <v>291</v>
      </c>
      <c r="L86" s="327">
        <f t="shared" ref="L86:L92" si="25">J86-K86</f>
        <v>279</v>
      </c>
    </row>
    <row r="87" spans="1:12" ht="20.100000000000001" customHeight="1">
      <c r="A87" s="283"/>
      <c r="B87" s="297" t="s">
        <v>356</v>
      </c>
      <c r="C87" s="319">
        <f t="shared" si="19"/>
        <v>64798</v>
      </c>
      <c r="D87" s="319">
        <f t="shared" si="19"/>
        <v>59008</v>
      </c>
      <c r="E87" s="336">
        <f>생잔율!J36</f>
        <v>0.99822</v>
      </c>
      <c r="F87" s="336">
        <f>생잔율!K36</f>
        <v>0.99921000000000004</v>
      </c>
      <c r="G87" s="321">
        <f t="shared" si="20"/>
        <v>55616</v>
      </c>
      <c r="H87" s="321">
        <f t="shared" si="21"/>
        <v>51542</v>
      </c>
      <c r="I87" s="325">
        <f t="shared" si="22"/>
        <v>24.69</v>
      </c>
      <c r="J87" s="326">
        <f t="shared" si="23"/>
        <v>7285</v>
      </c>
      <c r="K87" s="323">
        <f t="shared" si="24"/>
        <v>3725</v>
      </c>
      <c r="L87" s="324">
        <f t="shared" si="25"/>
        <v>3560</v>
      </c>
    </row>
    <row r="88" spans="1:12" ht="20.100000000000001" customHeight="1">
      <c r="A88" s="283"/>
      <c r="B88" s="297" t="s">
        <v>358</v>
      </c>
      <c r="C88" s="319">
        <f t="shared" si="19"/>
        <v>66328</v>
      </c>
      <c r="D88" s="319">
        <f t="shared" si="19"/>
        <v>59436</v>
      </c>
      <c r="E88" s="336">
        <f>생잔율!J37</f>
        <v>0.99750000000000005</v>
      </c>
      <c r="F88" s="336">
        <f>생잔율!K37</f>
        <v>0.99875999999999998</v>
      </c>
      <c r="G88" s="321">
        <f t="shared" si="20"/>
        <v>64683</v>
      </c>
      <c r="H88" s="321">
        <f t="shared" si="21"/>
        <v>58961</v>
      </c>
      <c r="I88" s="325">
        <f t="shared" si="22"/>
        <v>92.68</v>
      </c>
      <c r="J88" s="323">
        <f t="shared" si="23"/>
        <v>27543</v>
      </c>
      <c r="K88" s="323">
        <f t="shared" si="24"/>
        <v>14082</v>
      </c>
      <c r="L88" s="324">
        <f t="shared" si="25"/>
        <v>13461</v>
      </c>
    </row>
    <row r="89" spans="1:12" ht="20.100000000000001" customHeight="1">
      <c r="A89" s="283"/>
      <c r="B89" s="297" t="s">
        <v>359</v>
      </c>
      <c r="C89" s="319">
        <f t="shared" si="19"/>
        <v>63697</v>
      </c>
      <c r="D89" s="319">
        <f t="shared" si="19"/>
        <v>55750</v>
      </c>
      <c r="E89" s="336">
        <f>생잔율!J38</f>
        <v>0.997</v>
      </c>
      <c r="F89" s="336">
        <f>생잔율!K38</f>
        <v>0.99821000000000004</v>
      </c>
      <c r="G89" s="321">
        <f t="shared" si="20"/>
        <v>66162</v>
      </c>
      <c r="H89" s="321">
        <f t="shared" si="21"/>
        <v>59362</v>
      </c>
      <c r="I89" s="325">
        <f t="shared" si="22"/>
        <v>127.47</v>
      </c>
      <c r="J89" s="323">
        <f t="shared" si="23"/>
        <v>35532</v>
      </c>
      <c r="K89" s="323">
        <f t="shared" si="24"/>
        <v>18167</v>
      </c>
      <c r="L89" s="324">
        <f t="shared" si="25"/>
        <v>17365</v>
      </c>
    </row>
    <row r="90" spans="1:12" ht="20.100000000000001" customHeight="1">
      <c r="A90" s="283"/>
      <c r="B90" s="297" t="s">
        <v>360</v>
      </c>
      <c r="C90" s="319">
        <f t="shared" si="19"/>
        <v>74936</v>
      </c>
      <c r="D90" s="319">
        <f t="shared" si="19"/>
        <v>65123</v>
      </c>
      <c r="E90" s="336">
        <f>생잔율!J39</f>
        <v>0.99548000000000003</v>
      </c>
      <c r="F90" s="336">
        <f>생잔율!K39</f>
        <v>0.99743000000000004</v>
      </c>
      <c r="G90" s="321">
        <f t="shared" si="20"/>
        <v>63506</v>
      </c>
      <c r="H90" s="321">
        <f t="shared" si="21"/>
        <v>55650</v>
      </c>
      <c r="I90" s="325">
        <f t="shared" si="22"/>
        <v>69.05</v>
      </c>
      <c r="J90" s="323">
        <f t="shared" si="23"/>
        <v>22484</v>
      </c>
      <c r="K90" s="323">
        <f t="shared" si="24"/>
        <v>11496</v>
      </c>
      <c r="L90" s="324">
        <f t="shared" si="25"/>
        <v>10988</v>
      </c>
    </row>
    <row r="91" spans="1:12" ht="20.100000000000001" customHeight="1">
      <c r="A91" s="283"/>
      <c r="B91" s="297" t="s">
        <v>361</v>
      </c>
      <c r="C91" s="319">
        <f t="shared" si="19"/>
        <v>80770</v>
      </c>
      <c r="D91" s="319">
        <f t="shared" si="19"/>
        <v>71199</v>
      </c>
      <c r="E91" s="336">
        <f>생잔율!J40</f>
        <v>0.99224000000000001</v>
      </c>
      <c r="F91" s="336">
        <f>생잔율!K40</f>
        <v>0.99694000000000005</v>
      </c>
      <c r="G91" s="321">
        <f t="shared" si="20"/>
        <v>74597</v>
      </c>
      <c r="H91" s="321">
        <f t="shared" si="21"/>
        <v>64956</v>
      </c>
      <c r="I91" s="325">
        <f t="shared" si="22"/>
        <v>15.67</v>
      </c>
      <c r="J91" s="323">
        <f t="shared" si="23"/>
        <v>5578</v>
      </c>
      <c r="K91" s="323">
        <f t="shared" si="24"/>
        <v>2852</v>
      </c>
      <c r="L91" s="324">
        <f t="shared" si="25"/>
        <v>2726</v>
      </c>
    </row>
    <row r="92" spans="1:12" ht="20.100000000000001" customHeight="1">
      <c r="A92" s="283"/>
      <c r="B92" s="297" t="s">
        <v>362</v>
      </c>
      <c r="C92" s="319">
        <f t="shared" si="19"/>
        <v>85658</v>
      </c>
      <c r="D92" s="319">
        <f t="shared" si="19"/>
        <v>75664</v>
      </c>
      <c r="E92" s="336">
        <f>생잔율!J41</f>
        <v>0.98770000000000002</v>
      </c>
      <c r="F92" s="336">
        <f>생잔율!K41</f>
        <v>0.99536000000000002</v>
      </c>
      <c r="G92" s="321">
        <f t="shared" si="20"/>
        <v>80143</v>
      </c>
      <c r="H92" s="321">
        <f t="shared" si="21"/>
        <v>70981</v>
      </c>
      <c r="I92" s="325">
        <f t="shared" si="22"/>
        <v>1.57</v>
      </c>
      <c r="J92" s="323">
        <f t="shared" si="23"/>
        <v>594</v>
      </c>
      <c r="K92" s="323">
        <f t="shared" si="24"/>
        <v>304</v>
      </c>
      <c r="L92" s="324">
        <f t="shared" si="25"/>
        <v>290</v>
      </c>
    </row>
    <row r="93" spans="1:12" ht="20.100000000000001" customHeight="1">
      <c r="A93" s="283"/>
      <c r="B93" s="297" t="s">
        <v>363</v>
      </c>
      <c r="C93" s="319">
        <f t="shared" si="19"/>
        <v>85921</v>
      </c>
      <c r="D93" s="319">
        <f t="shared" si="19"/>
        <v>76347</v>
      </c>
      <c r="E93" s="336">
        <f>생잔율!J42</f>
        <v>0.98165999999999998</v>
      </c>
      <c r="F93" s="336">
        <f>생잔율!K42</f>
        <v>0.99341999999999997</v>
      </c>
      <c r="G93" s="321">
        <f t="shared" si="20"/>
        <v>84604</v>
      </c>
      <c r="H93" s="321">
        <f t="shared" si="21"/>
        <v>75313</v>
      </c>
      <c r="I93" s="322"/>
      <c r="J93" s="323"/>
      <c r="K93" s="323"/>
      <c r="L93" s="324"/>
    </row>
    <row r="94" spans="1:12" ht="20.100000000000001" customHeight="1">
      <c r="A94" s="283"/>
      <c r="B94" s="297" t="s">
        <v>364</v>
      </c>
      <c r="C94" s="319">
        <f t="shared" si="19"/>
        <v>83585</v>
      </c>
      <c r="D94" s="319">
        <f t="shared" si="19"/>
        <v>76884</v>
      </c>
      <c r="E94" s="336">
        <f>생잔율!J43</f>
        <v>0.97465000000000002</v>
      </c>
      <c r="F94" s="336">
        <f>생잔율!K43</f>
        <v>0.99143000000000003</v>
      </c>
      <c r="G94" s="321">
        <f t="shared" si="20"/>
        <v>84345</v>
      </c>
      <c r="H94" s="321">
        <f t="shared" si="21"/>
        <v>75845</v>
      </c>
      <c r="I94" s="322"/>
      <c r="J94" s="323"/>
      <c r="K94" s="323"/>
      <c r="L94" s="324"/>
    </row>
    <row r="95" spans="1:12" ht="20.100000000000001" customHeight="1">
      <c r="A95" s="283"/>
      <c r="B95" s="297" t="s">
        <v>365</v>
      </c>
      <c r="C95" s="319">
        <f t="shared" si="19"/>
        <v>73841</v>
      </c>
      <c r="D95" s="319">
        <f t="shared" si="19"/>
        <v>71695</v>
      </c>
      <c r="E95" s="336">
        <f>생잔율!J44</f>
        <v>0.96331</v>
      </c>
      <c r="F95" s="336">
        <f>생잔율!K44</f>
        <v>0.98677999999999999</v>
      </c>
      <c r="G95" s="321">
        <f t="shared" si="20"/>
        <v>81466</v>
      </c>
      <c r="H95" s="321">
        <f t="shared" si="21"/>
        <v>76225</v>
      </c>
      <c r="I95" s="322"/>
      <c r="J95" s="323"/>
      <c r="K95" s="323"/>
      <c r="L95" s="324"/>
    </row>
    <row r="96" spans="1:12" ht="20.100000000000001" customHeight="1">
      <c r="A96" s="283"/>
      <c r="B96" s="297" t="s">
        <v>366</v>
      </c>
      <c r="C96" s="319">
        <f t="shared" si="19"/>
        <v>55007</v>
      </c>
      <c r="D96" s="319">
        <f t="shared" si="19"/>
        <v>57184</v>
      </c>
      <c r="E96" s="336">
        <f>생잔율!J45</f>
        <v>0.93835000000000002</v>
      </c>
      <c r="F96" s="336">
        <f>생잔율!K45</f>
        <v>0.97604999999999997</v>
      </c>
      <c r="G96" s="321">
        <f t="shared" si="20"/>
        <v>71132</v>
      </c>
      <c r="H96" s="321">
        <f t="shared" si="21"/>
        <v>70747</v>
      </c>
      <c r="I96" s="322"/>
      <c r="J96" s="323"/>
      <c r="K96" s="323"/>
      <c r="L96" s="324"/>
    </row>
    <row r="97" spans="1:12" ht="20.100000000000001" customHeight="1">
      <c r="A97" s="283"/>
      <c r="B97" s="297" t="s">
        <v>367</v>
      </c>
      <c r="C97" s="319">
        <f t="shared" si="19"/>
        <v>40442</v>
      </c>
      <c r="D97" s="319">
        <f t="shared" si="19"/>
        <v>45619</v>
      </c>
      <c r="E97" s="336">
        <f>생잔율!J46</f>
        <v>0.89844999999999997</v>
      </c>
      <c r="F97" s="336">
        <f>생잔율!K46</f>
        <v>0.95433999999999997</v>
      </c>
      <c r="G97" s="321">
        <f t="shared" si="20"/>
        <v>51616</v>
      </c>
      <c r="H97" s="321">
        <f t="shared" si="21"/>
        <v>55814</v>
      </c>
      <c r="I97" s="322"/>
      <c r="J97" s="323"/>
      <c r="K97" s="323"/>
      <c r="L97" s="324"/>
    </row>
    <row r="98" spans="1:12" ht="20.100000000000001" customHeight="1">
      <c r="A98" s="283"/>
      <c r="B98" s="297" t="s">
        <v>369</v>
      </c>
      <c r="C98" s="319">
        <f t="shared" si="19"/>
        <v>33236</v>
      </c>
      <c r="D98" s="319">
        <f t="shared" si="19"/>
        <v>44758</v>
      </c>
      <c r="E98" s="336">
        <f>생잔율!J47</f>
        <v>0.83448999999999995</v>
      </c>
      <c r="F98" s="336">
        <f>생잔율!K47</f>
        <v>0.91373000000000004</v>
      </c>
      <c r="G98" s="321">
        <f t="shared" si="20"/>
        <v>36335</v>
      </c>
      <c r="H98" s="321">
        <f t="shared" si="21"/>
        <v>43536</v>
      </c>
      <c r="I98" s="322"/>
      <c r="J98" s="323"/>
      <c r="K98" s="323"/>
      <c r="L98" s="324"/>
    </row>
    <row r="99" spans="1:12" ht="20.100000000000001" customHeight="1">
      <c r="A99" s="283"/>
      <c r="B99" s="297" t="s">
        <v>378</v>
      </c>
      <c r="C99" s="319">
        <f t="shared" si="19"/>
        <v>25344</v>
      </c>
      <c r="D99" s="319">
        <f t="shared" si="19"/>
        <v>41240</v>
      </c>
      <c r="E99" s="336">
        <f>생잔율!J48</f>
        <v>0.73807</v>
      </c>
      <c r="F99" s="336">
        <f>생잔율!K48</f>
        <v>0.84099999999999997</v>
      </c>
      <c r="G99" s="321">
        <f t="shared" si="20"/>
        <v>27735</v>
      </c>
      <c r="H99" s="321">
        <f t="shared" si="21"/>
        <v>40897</v>
      </c>
      <c r="I99" s="322"/>
      <c r="J99" s="323"/>
      <c r="K99" s="323"/>
      <c r="L99" s="324"/>
    </row>
    <row r="100" spans="1:12" ht="20.100000000000001" customHeight="1">
      <c r="A100" s="283"/>
      <c r="B100" s="297" t="s">
        <v>372</v>
      </c>
      <c r="C100" s="319">
        <f t="shared" si="19"/>
        <v>13614</v>
      </c>
      <c r="D100" s="319">
        <f t="shared" si="19"/>
        <v>27133</v>
      </c>
      <c r="E100" s="336">
        <f>생잔율!J49</f>
        <v>0.60348000000000002</v>
      </c>
      <c r="F100" s="336">
        <f>생잔율!K49</f>
        <v>0.71957000000000004</v>
      </c>
      <c r="G100" s="321">
        <f t="shared" si="20"/>
        <v>18706</v>
      </c>
      <c r="H100" s="321">
        <f t="shared" si="21"/>
        <v>34683</v>
      </c>
      <c r="I100" s="328"/>
      <c r="J100" s="329"/>
      <c r="K100" s="329"/>
      <c r="L100" s="330"/>
    </row>
    <row r="101" spans="1:12" ht="20.100000000000001" customHeight="1">
      <c r="A101" s="283"/>
      <c r="B101" s="297" t="s">
        <v>374</v>
      </c>
      <c r="C101" s="319">
        <f t="shared" si="19"/>
        <v>5242</v>
      </c>
      <c r="D101" s="319">
        <f t="shared" si="19"/>
        <v>14707</v>
      </c>
      <c r="E101" s="336">
        <f>생잔율!J50</f>
        <v>0.43762999999999996</v>
      </c>
      <c r="F101" s="336">
        <f>생잔율!K50</f>
        <v>0.54103999999999997</v>
      </c>
      <c r="G101" s="321">
        <f t="shared" si="20"/>
        <v>8216</v>
      </c>
      <c r="H101" s="321">
        <f t="shared" si="21"/>
        <v>19524</v>
      </c>
      <c r="I101" s="328"/>
      <c r="J101" s="329"/>
      <c r="K101" s="329"/>
      <c r="L101" s="330"/>
    </row>
    <row r="102" spans="1:12" ht="20.100000000000001" customHeight="1" thickBot="1">
      <c r="A102" s="283"/>
      <c r="B102" s="309" t="s">
        <v>375</v>
      </c>
      <c r="C102" s="319">
        <f t="shared" si="19"/>
        <v>1040</v>
      </c>
      <c r="D102" s="319">
        <f t="shared" si="19"/>
        <v>3696</v>
      </c>
      <c r="E102" s="336">
        <f>생잔율!J51</f>
        <v>0.26668000000000003</v>
      </c>
      <c r="F102" s="336">
        <f>생잔율!K51</f>
        <v>0.32803000000000004</v>
      </c>
      <c r="G102" s="321">
        <f>ROUND(C101*E101^1+C102*E102^1,0)</f>
        <v>2571</v>
      </c>
      <c r="H102" s="321">
        <f>ROUND(D101*F101^1+D102*F102^1,0)</f>
        <v>9169</v>
      </c>
      <c r="I102" s="328"/>
      <c r="J102" s="329"/>
      <c r="K102" s="329"/>
      <c r="L102" s="330"/>
    </row>
    <row r="103" spans="1:12" ht="20.100000000000001" customHeight="1">
      <c r="A103" s="283"/>
      <c r="B103" s="604" t="s">
        <v>376</v>
      </c>
      <c r="C103" s="332">
        <f>SUM(C83:C102)</f>
        <v>1063826</v>
      </c>
      <c r="D103" s="332">
        <f>SUM(D83:D102)</f>
        <v>1043698</v>
      </c>
      <c r="E103" s="289"/>
      <c r="F103" s="289"/>
      <c r="G103" s="333">
        <f>SUM(G83:G102)</f>
        <v>1076960</v>
      </c>
      <c r="H103" s="333">
        <f>SUM(H83:H102)</f>
        <v>1058488</v>
      </c>
      <c r="I103" s="289"/>
      <c r="J103" s="332">
        <f>SUM(J86:J102)</f>
        <v>99586</v>
      </c>
      <c r="K103" s="332">
        <f>SUM(K86:K102)</f>
        <v>50917</v>
      </c>
      <c r="L103" s="334">
        <f>SUM(L86:L102)</f>
        <v>48669</v>
      </c>
    </row>
    <row r="104" spans="1:12" ht="20.100000000000001" customHeight="1" thickBot="1">
      <c r="A104" s="283"/>
      <c r="B104" s="605"/>
      <c r="C104" s="602">
        <f>SUM(C103:D103)</f>
        <v>2107524</v>
      </c>
      <c r="D104" s="602"/>
      <c r="E104" s="414"/>
      <c r="F104" s="331"/>
      <c r="G104" s="602">
        <f>SUM(G103:H103)</f>
        <v>2135448</v>
      </c>
      <c r="H104" s="602"/>
      <c r="I104" s="335"/>
      <c r="J104" s="415"/>
      <c r="K104" s="415"/>
      <c r="L104" s="416"/>
    </row>
    <row r="105" spans="1:12" ht="20.100000000000001" customHeight="1">
      <c r="A105" s="283"/>
      <c r="B105" s="283"/>
      <c r="C105" s="284"/>
      <c r="D105" s="284"/>
      <c r="E105" s="284"/>
      <c r="F105" s="283"/>
      <c r="G105" s="283"/>
      <c r="H105" s="283"/>
      <c r="I105" s="283"/>
      <c r="J105" s="283"/>
      <c r="K105" s="283"/>
      <c r="L105" s="283"/>
    </row>
    <row r="106" spans="1:12" ht="20.100000000000001" customHeight="1" thickBot="1">
      <c r="A106" s="283"/>
      <c r="B106" s="315" t="s">
        <v>116</v>
      </c>
      <c r="C106" s="316"/>
      <c r="D106" s="316"/>
      <c r="E106" s="316"/>
      <c r="F106" s="317"/>
      <c r="G106" s="317"/>
      <c r="H106" s="317"/>
      <c r="I106" s="317"/>
      <c r="J106" s="317"/>
      <c r="K106" s="317"/>
      <c r="L106" s="317"/>
    </row>
    <row r="107" spans="1:12" ht="20.100000000000001" customHeight="1">
      <c r="A107" s="283"/>
      <c r="B107" s="591" t="s">
        <v>344</v>
      </c>
      <c r="C107" s="600" t="s">
        <v>123</v>
      </c>
      <c r="D107" s="600"/>
      <c r="E107" s="600" t="s">
        <v>117</v>
      </c>
      <c r="F107" s="600"/>
      <c r="G107" s="600" t="s">
        <v>391</v>
      </c>
      <c r="H107" s="600"/>
      <c r="I107" s="600" t="s">
        <v>119</v>
      </c>
      <c r="J107" s="600" t="s">
        <v>377</v>
      </c>
      <c r="K107" s="600"/>
      <c r="L107" s="601"/>
    </row>
    <row r="108" spans="1:12" ht="20.100000000000001" customHeight="1" thickBot="1">
      <c r="A108" s="283"/>
      <c r="B108" s="592"/>
      <c r="C108" s="413" t="s">
        <v>346</v>
      </c>
      <c r="D108" s="413" t="s">
        <v>347</v>
      </c>
      <c r="E108" s="413" t="s">
        <v>346</v>
      </c>
      <c r="F108" s="413" t="s">
        <v>347</v>
      </c>
      <c r="G108" s="413" t="s">
        <v>346</v>
      </c>
      <c r="H108" s="413" t="s">
        <v>347</v>
      </c>
      <c r="I108" s="603"/>
      <c r="J108" s="413" t="s">
        <v>47</v>
      </c>
      <c r="K108" s="413" t="s">
        <v>346</v>
      </c>
      <c r="L108" s="424" t="s">
        <v>347</v>
      </c>
    </row>
    <row r="109" spans="1:12" ht="20.100000000000001" customHeight="1" thickTop="1">
      <c r="A109" s="283"/>
      <c r="B109" s="292" t="s">
        <v>353</v>
      </c>
      <c r="C109" s="319">
        <f t="shared" ref="C109:C128" si="26">G83</f>
        <v>50917</v>
      </c>
      <c r="D109" s="319">
        <f t="shared" ref="D109:D128" si="27">H83</f>
        <v>48669</v>
      </c>
      <c r="E109" s="336">
        <f>생잔율!L32</f>
        <v>0.99914800000000004</v>
      </c>
      <c r="F109" s="336">
        <f>생잔율!M32</f>
        <v>0.99920600000000004</v>
      </c>
      <c r="G109" s="319">
        <f>SUM(K112:K118)</f>
        <v>50384</v>
      </c>
      <c r="H109" s="319">
        <f>SUM(L112:L118)</f>
        <v>48159</v>
      </c>
      <c r="I109" s="318"/>
      <c r="J109" s="319"/>
      <c r="K109" s="319"/>
      <c r="L109" s="320"/>
    </row>
    <row r="110" spans="1:12" ht="20.100000000000001" customHeight="1">
      <c r="A110" s="283"/>
      <c r="B110" s="297" t="s">
        <v>355</v>
      </c>
      <c r="C110" s="319">
        <f t="shared" si="26"/>
        <v>52907</v>
      </c>
      <c r="D110" s="319">
        <f t="shared" si="27"/>
        <v>50636</v>
      </c>
      <c r="E110" s="336">
        <f>생잔율!L33</f>
        <v>0.99983</v>
      </c>
      <c r="F110" s="336">
        <f>생잔율!M33</f>
        <v>0.99983</v>
      </c>
      <c r="G110" s="321">
        <f>ROUND(C109*E109^1,0)</f>
        <v>50874</v>
      </c>
      <c r="H110" s="321">
        <f>ROUND(D109*F109^1,0)</f>
        <v>48630</v>
      </c>
      <c r="I110" s="322"/>
      <c r="J110" s="323"/>
      <c r="K110" s="323"/>
      <c r="L110" s="324"/>
    </row>
    <row r="111" spans="1:12" ht="20.100000000000001" customHeight="1">
      <c r="A111" s="283"/>
      <c r="B111" s="297" t="s">
        <v>357</v>
      </c>
      <c r="C111" s="319">
        <f t="shared" si="26"/>
        <v>50970</v>
      </c>
      <c r="D111" s="319">
        <f t="shared" si="27"/>
        <v>48399</v>
      </c>
      <c r="E111" s="336">
        <f>생잔율!L34</f>
        <v>0.99972000000000005</v>
      </c>
      <c r="F111" s="336">
        <f>생잔율!M34</f>
        <v>0.99977000000000005</v>
      </c>
      <c r="G111" s="321">
        <f t="shared" ref="G111:G127" si="28">ROUND(C110*E110^1,0)</f>
        <v>52898</v>
      </c>
      <c r="H111" s="321">
        <f t="shared" ref="H111:H127" si="29">ROUND(D110*F110^1,0)</f>
        <v>50627</v>
      </c>
      <c r="I111" s="322"/>
      <c r="J111" s="323"/>
      <c r="K111" s="323"/>
      <c r="L111" s="324"/>
    </row>
    <row r="112" spans="1:12" ht="20.100000000000001" customHeight="1">
      <c r="A112" s="283"/>
      <c r="B112" s="297" t="s">
        <v>354</v>
      </c>
      <c r="C112" s="319">
        <f t="shared" si="26"/>
        <v>50733</v>
      </c>
      <c r="D112" s="319">
        <f t="shared" si="27"/>
        <v>47579</v>
      </c>
      <c r="E112" s="336">
        <f>생잔율!L35</f>
        <v>0.99922</v>
      </c>
      <c r="F112" s="336">
        <f>생잔율!M35</f>
        <v>0.99965000000000004</v>
      </c>
      <c r="G112" s="321">
        <f t="shared" si="28"/>
        <v>50956</v>
      </c>
      <c r="H112" s="321">
        <f t="shared" si="29"/>
        <v>48388</v>
      </c>
      <c r="I112" s="325">
        <f>L5</f>
        <v>2.36</v>
      </c>
      <c r="J112" s="326">
        <f t="shared" ref="J112:J118" si="30">ROUND(I112*5*D112/1000,0)</f>
        <v>561</v>
      </c>
      <c r="K112" s="326">
        <f t="shared" ref="K112:K118" si="31">ROUND(J112*$K$22,0)</f>
        <v>287</v>
      </c>
      <c r="L112" s="327">
        <f t="shared" ref="L112:L118" si="32">J112-K112</f>
        <v>274</v>
      </c>
    </row>
    <row r="113" spans="1:12" ht="20.100000000000001" customHeight="1">
      <c r="A113" s="283"/>
      <c r="B113" s="297" t="s">
        <v>356</v>
      </c>
      <c r="C113" s="319">
        <f t="shared" si="26"/>
        <v>55616</v>
      </c>
      <c r="D113" s="319">
        <f t="shared" si="27"/>
        <v>51542</v>
      </c>
      <c r="E113" s="336">
        <f>생잔율!L36</f>
        <v>0.99861</v>
      </c>
      <c r="F113" s="336">
        <f>생잔율!M36</f>
        <v>0.99938000000000005</v>
      </c>
      <c r="G113" s="321">
        <f t="shared" si="28"/>
        <v>50693</v>
      </c>
      <c r="H113" s="321">
        <f t="shared" si="29"/>
        <v>47562</v>
      </c>
      <c r="I113" s="325">
        <f t="shared" ref="I113:I118" si="33">L6</f>
        <v>25</v>
      </c>
      <c r="J113" s="326">
        <f t="shared" si="30"/>
        <v>6443</v>
      </c>
      <c r="K113" s="323">
        <f t="shared" si="31"/>
        <v>3294</v>
      </c>
      <c r="L113" s="324">
        <f t="shared" si="32"/>
        <v>3149</v>
      </c>
    </row>
    <row r="114" spans="1:12" ht="20.100000000000001" customHeight="1">
      <c r="A114" s="283"/>
      <c r="B114" s="297" t="s">
        <v>358</v>
      </c>
      <c r="C114" s="319">
        <f t="shared" si="26"/>
        <v>64683</v>
      </c>
      <c r="D114" s="319">
        <f t="shared" si="27"/>
        <v>58961</v>
      </c>
      <c r="E114" s="336">
        <f>생잔율!L37</f>
        <v>0.998</v>
      </c>
      <c r="F114" s="336">
        <f>생잔율!M37</f>
        <v>0.99900999999999995</v>
      </c>
      <c r="G114" s="321">
        <f t="shared" si="28"/>
        <v>55539</v>
      </c>
      <c r="H114" s="321">
        <f t="shared" si="29"/>
        <v>51510</v>
      </c>
      <c r="I114" s="325">
        <f t="shared" si="33"/>
        <v>92.03</v>
      </c>
      <c r="J114" s="323">
        <f t="shared" si="30"/>
        <v>27131</v>
      </c>
      <c r="K114" s="323">
        <f t="shared" si="31"/>
        <v>13872</v>
      </c>
      <c r="L114" s="324">
        <f t="shared" si="32"/>
        <v>13259</v>
      </c>
    </row>
    <row r="115" spans="1:12" ht="20.100000000000001" customHeight="1">
      <c r="A115" s="283"/>
      <c r="B115" s="297" t="s">
        <v>359</v>
      </c>
      <c r="C115" s="319">
        <f t="shared" si="26"/>
        <v>66162</v>
      </c>
      <c r="D115" s="319">
        <f t="shared" si="27"/>
        <v>59362</v>
      </c>
      <c r="E115" s="336">
        <f>생잔율!L38</f>
        <v>0.99756</v>
      </c>
      <c r="F115" s="336">
        <f>생잔율!M38</f>
        <v>0.99853999999999998</v>
      </c>
      <c r="G115" s="321">
        <f t="shared" si="28"/>
        <v>64554</v>
      </c>
      <c r="H115" s="321">
        <f t="shared" si="29"/>
        <v>58903</v>
      </c>
      <c r="I115" s="325">
        <f t="shared" si="33"/>
        <v>128.02000000000001</v>
      </c>
      <c r="J115" s="323">
        <f t="shared" si="30"/>
        <v>37998</v>
      </c>
      <c r="K115" s="323">
        <f t="shared" si="31"/>
        <v>19428</v>
      </c>
      <c r="L115" s="324">
        <f t="shared" si="32"/>
        <v>18570</v>
      </c>
    </row>
    <row r="116" spans="1:12" ht="20.100000000000001" customHeight="1">
      <c r="A116" s="283"/>
      <c r="B116" s="297" t="s">
        <v>360</v>
      </c>
      <c r="C116" s="319">
        <f t="shared" si="26"/>
        <v>63506</v>
      </c>
      <c r="D116" s="319">
        <f t="shared" si="27"/>
        <v>55650</v>
      </c>
      <c r="E116" s="336">
        <f>생잔율!L39</f>
        <v>0.99624000000000001</v>
      </c>
      <c r="F116" s="336">
        <f>생잔율!M39</f>
        <v>0.99787000000000003</v>
      </c>
      <c r="G116" s="321">
        <f t="shared" si="28"/>
        <v>66001</v>
      </c>
      <c r="H116" s="321">
        <f t="shared" si="29"/>
        <v>59275</v>
      </c>
      <c r="I116" s="325">
        <f t="shared" si="33"/>
        <v>72.11</v>
      </c>
      <c r="J116" s="323">
        <f t="shared" si="30"/>
        <v>20065</v>
      </c>
      <c r="K116" s="323">
        <f t="shared" si="31"/>
        <v>10259</v>
      </c>
      <c r="L116" s="324">
        <f t="shared" si="32"/>
        <v>9806</v>
      </c>
    </row>
    <row r="117" spans="1:12" ht="20.100000000000001" customHeight="1">
      <c r="A117" s="283"/>
      <c r="B117" s="297" t="s">
        <v>361</v>
      </c>
      <c r="C117" s="319">
        <f t="shared" si="26"/>
        <v>74597</v>
      </c>
      <c r="D117" s="319">
        <f t="shared" si="27"/>
        <v>64956</v>
      </c>
      <c r="E117" s="336">
        <f>생잔율!L40</f>
        <v>0.99346000000000001</v>
      </c>
      <c r="F117" s="336">
        <f>생잔율!M40</f>
        <v>0.99743000000000004</v>
      </c>
      <c r="G117" s="321">
        <f t="shared" si="28"/>
        <v>63267</v>
      </c>
      <c r="H117" s="321">
        <f t="shared" si="29"/>
        <v>55531</v>
      </c>
      <c r="I117" s="325">
        <f t="shared" si="33"/>
        <v>17.45</v>
      </c>
      <c r="J117" s="323">
        <f t="shared" si="30"/>
        <v>5667</v>
      </c>
      <c r="K117" s="323">
        <f t="shared" si="31"/>
        <v>2897</v>
      </c>
      <c r="L117" s="324">
        <f t="shared" si="32"/>
        <v>2770</v>
      </c>
    </row>
    <row r="118" spans="1:12" ht="20.100000000000001" customHeight="1">
      <c r="A118" s="283"/>
      <c r="B118" s="297" t="s">
        <v>362</v>
      </c>
      <c r="C118" s="319">
        <f t="shared" si="26"/>
        <v>80143</v>
      </c>
      <c r="D118" s="319">
        <f t="shared" si="27"/>
        <v>70981</v>
      </c>
      <c r="E118" s="336">
        <f>생잔율!L41</f>
        <v>0.98955000000000004</v>
      </c>
      <c r="F118" s="336">
        <f>생잔율!M41</f>
        <v>0.99607000000000001</v>
      </c>
      <c r="G118" s="321">
        <f t="shared" si="28"/>
        <v>74109</v>
      </c>
      <c r="H118" s="321">
        <f t="shared" si="29"/>
        <v>64789</v>
      </c>
      <c r="I118" s="325">
        <f t="shared" si="33"/>
        <v>1.91</v>
      </c>
      <c r="J118" s="323">
        <f t="shared" si="30"/>
        <v>678</v>
      </c>
      <c r="K118" s="323">
        <f t="shared" si="31"/>
        <v>347</v>
      </c>
      <c r="L118" s="324">
        <f t="shared" si="32"/>
        <v>331</v>
      </c>
    </row>
    <row r="119" spans="1:12" ht="20.100000000000001" customHeight="1">
      <c r="A119" s="283"/>
      <c r="B119" s="297" t="s">
        <v>363</v>
      </c>
      <c r="C119" s="319">
        <f t="shared" si="26"/>
        <v>84604</v>
      </c>
      <c r="D119" s="319">
        <f t="shared" si="27"/>
        <v>75313</v>
      </c>
      <c r="E119" s="336">
        <f>생잔율!L42</f>
        <v>0.98443000000000003</v>
      </c>
      <c r="F119" s="336">
        <f>생잔율!M42</f>
        <v>0.99443000000000004</v>
      </c>
      <c r="G119" s="321">
        <f t="shared" si="28"/>
        <v>79306</v>
      </c>
      <c r="H119" s="321">
        <f t="shared" si="29"/>
        <v>70702</v>
      </c>
      <c r="I119" s="322"/>
      <c r="J119" s="323"/>
      <c r="K119" s="323"/>
      <c r="L119" s="324"/>
    </row>
    <row r="120" spans="1:12" ht="20.100000000000001" customHeight="1">
      <c r="A120" s="283"/>
      <c r="B120" s="297" t="s">
        <v>364</v>
      </c>
      <c r="C120" s="319">
        <f t="shared" si="26"/>
        <v>84345</v>
      </c>
      <c r="D120" s="319">
        <f t="shared" si="27"/>
        <v>75845</v>
      </c>
      <c r="E120" s="336">
        <f>생잔율!L43</f>
        <v>0.97848000000000002</v>
      </c>
      <c r="F120" s="336">
        <f>생잔율!M43</f>
        <v>0.99273999999999996</v>
      </c>
      <c r="G120" s="321">
        <f t="shared" si="28"/>
        <v>83287</v>
      </c>
      <c r="H120" s="321">
        <f t="shared" si="29"/>
        <v>74894</v>
      </c>
      <c r="I120" s="322"/>
      <c r="J120" s="323"/>
      <c r="K120" s="323"/>
      <c r="L120" s="324"/>
    </row>
    <row r="121" spans="1:12" ht="20.100000000000001" customHeight="1">
      <c r="A121" s="283"/>
      <c r="B121" s="297" t="s">
        <v>365</v>
      </c>
      <c r="C121" s="319">
        <f t="shared" si="26"/>
        <v>81466</v>
      </c>
      <c r="D121" s="319">
        <f t="shared" si="27"/>
        <v>76225</v>
      </c>
      <c r="E121" s="336">
        <f>생잔율!L44</f>
        <v>0.96872999999999998</v>
      </c>
      <c r="F121" s="336">
        <f>생잔율!M44</f>
        <v>0.98875999999999997</v>
      </c>
      <c r="G121" s="321">
        <f t="shared" si="28"/>
        <v>82530</v>
      </c>
      <c r="H121" s="321">
        <f t="shared" si="29"/>
        <v>75294</v>
      </c>
      <c r="I121" s="322"/>
      <c r="J121" s="323"/>
      <c r="K121" s="323"/>
      <c r="L121" s="324"/>
    </row>
    <row r="122" spans="1:12" ht="20.100000000000001" customHeight="1">
      <c r="A122" s="283"/>
      <c r="B122" s="297" t="s">
        <v>366</v>
      </c>
      <c r="C122" s="319">
        <f t="shared" si="26"/>
        <v>71132</v>
      </c>
      <c r="D122" s="319">
        <f t="shared" si="27"/>
        <v>70747</v>
      </c>
      <c r="E122" s="336">
        <f>생잔율!L45</f>
        <v>0.94643999999999995</v>
      </c>
      <c r="F122" s="336">
        <f>생잔율!M45</f>
        <v>0.97926999999999997</v>
      </c>
      <c r="G122" s="321">
        <f t="shared" si="28"/>
        <v>78919</v>
      </c>
      <c r="H122" s="321">
        <f t="shared" si="29"/>
        <v>75368</v>
      </c>
      <c r="I122" s="322"/>
      <c r="J122" s="323"/>
      <c r="K122" s="323"/>
      <c r="L122" s="324"/>
    </row>
    <row r="123" spans="1:12" ht="20.100000000000001" customHeight="1">
      <c r="A123" s="283"/>
      <c r="B123" s="297" t="s">
        <v>367</v>
      </c>
      <c r="C123" s="319">
        <f t="shared" si="26"/>
        <v>51616</v>
      </c>
      <c r="D123" s="319">
        <f t="shared" si="27"/>
        <v>55814</v>
      </c>
      <c r="E123" s="336">
        <f>생잔율!L46</f>
        <v>0.90975000000000006</v>
      </c>
      <c r="F123" s="336">
        <f>생잔율!M46</f>
        <v>0.95957000000000003</v>
      </c>
      <c r="G123" s="321">
        <f t="shared" si="28"/>
        <v>67322</v>
      </c>
      <c r="H123" s="321">
        <f t="shared" si="29"/>
        <v>69280</v>
      </c>
      <c r="I123" s="322"/>
      <c r="J123" s="323"/>
      <c r="K123" s="323"/>
      <c r="L123" s="324"/>
    </row>
    <row r="124" spans="1:12" ht="20.100000000000001" customHeight="1">
      <c r="A124" s="283"/>
      <c r="B124" s="297" t="s">
        <v>369</v>
      </c>
      <c r="C124" s="319">
        <f t="shared" si="26"/>
        <v>36335</v>
      </c>
      <c r="D124" s="319">
        <f t="shared" si="27"/>
        <v>43536</v>
      </c>
      <c r="E124" s="336">
        <f>생잔율!L47</f>
        <v>0.84938000000000002</v>
      </c>
      <c r="F124" s="336">
        <f>생잔율!M47</f>
        <v>0.92181999999999997</v>
      </c>
      <c r="G124" s="321">
        <f t="shared" si="28"/>
        <v>46958</v>
      </c>
      <c r="H124" s="321">
        <f t="shared" si="29"/>
        <v>53557</v>
      </c>
      <c r="I124" s="322"/>
      <c r="J124" s="323"/>
      <c r="K124" s="323"/>
      <c r="L124" s="324"/>
    </row>
    <row r="125" spans="1:12" ht="20.100000000000001" customHeight="1">
      <c r="A125" s="283"/>
      <c r="B125" s="297" t="s">
        <v>378</v>
      </c>
      <c r="C125" s="319">
        <f t="shared" si="26"/>
        <v>27735</v>
      </c>
      <c r="D125" s="319">
        <f t="shared" si="27"/>
        <v>40897</v>
      </c>
      <c r="E125" s="336">
        <f>생잔율!L48</f>
        <v>0.75567000000000006</v>
      </c>
      <c r="F125" s="336">
        <f>생잔율!M48</f>
        <v>0.85238000000000003</v>
      </c>
      <c r="G125" s="321">
        <f t="shared" si="28"/>
        <v>30862</v>
      </c>
      <c r="H125" s="321">
        <f t="shared" si="29"/>
        <v>40132</v>
      </c>
      <c r="I125" s="322"/>
      <c r="J125" s="323"/>
      <c r="K125" s="323"/>
      <c r="L125" s="324"/>
    </row>
    <row r="126" spans="1:12" ht="20.100000000000001" customHeight="1">
      <c r="A126" s="283"/>
      <c r="B126" s="297" t="s">
        <v>372</v>
      </c>
      <c r="C126" s="319">
        <f t="shared" si="26"/>
        <v>18706</v>
      </c>
      <c r="D126" s="319">
        <f t="shared" si="27"/>
        <v>34683</v>
      </c>
      <c r="E126" s="336">
        <f>생잔율!L49</f>
        <v>0.62156999999999996</v>
      </c>
      <c r="F126" s="336">
        <f>생잔율!M49</f>
        <v>0.73343999999999998</v>
      </c>
      <c r="G126" s="321">
        <f t="shared" si="28"/>
        <v>20959</v>
      </c>
      <c r="H126" s="321">
        <f t="shared" si="29"/>
        <v>34860</v>
      </c>
      <c r="I126" s="328"/>
      <c r="J126" s="329"/>
      <c r="K126" s="329"/>
      <c r="L126" s="330"/>
    </row>
    <row r="127" spans="1:12" ht="20.100000000000001" customHeight="1">
      <c r="A127" s="283"/>
      <c r="B127" s="297" t="s">
        <v>374</v>
      </c>
      <c r="C127" s="319">
        <f t="shared" si="26"/>
        <v>8216</v>
      </c>
      <c r="D127" s="319">
        <f t="shared" si="27"/>
        <v>19524</v>
      </c>
      <c r="E127" s="336">
        <f>생잔율!L50</f>
        <v>0.45245000000000002</v>
      </c>
      <c r="F127" s="336">
        <f>생잔율!M50</f>
        <v>0.55438999999999994</v>
      </c>
      <c r="G127" s="321">
        <f t="shared" si="28"/>
        <v>11627</v>
      </c>
      <c r="H127" s="321">
        <f t="shared" si="29"/>
        <v>25438</v>
      </c>
      <c r="I127" s="328"/>
      <c r="J127" s="329"/>
      <c r="K127" s="329"/>
      <c r="L127" s="330"/>
    </row>
    <row r="128" spans="1:12" ht="20.100000000000001" customHeight="1" thickBot="1">
      <c r="A128" s="283"/>
      <c r="B128" s="309" t="s">
        <v>375</v>
      </c>
      <c r="C128" s="319">
        <f t="shared" si="26"/>
        <v>2571</v>
      </c>
      <c r="D128" s="319">
        <f t="shared" si="27"/>
        <v>9169</v>
      </c>
      <c r="E128" s="336">
        <f>생잔율!L51</f>
        <v>0.27500000000000002</v>
      </c>
      <c r="F128" s="336">
        <f>생잔율!M51</f>
        <v>0.33648999999999996</v>
      </c>
      <c r="G128" s="321">
        <f>ROUND(C127*E127^1+C128*E128^1,0)</f>
        <v>4424</v>
      </c>
      <c r="H128" s="321">
        <f>ROUND(D127*F127^1+D128*F128^1,0)</f>
        <v>13909</v>
      </c>
      <c r="I128" s="328"/>
      <c r="J128" s="329"/>
      <c r="K128" s="329"/>
      <c r="L128" s="330"/>
    </row>
    <row r="129" spans="1:12" ht="20.100000000000001" customHeight="1">
      <c r="A129" s="283"/>
      <c r="B129" s="604" t="s">
        <v>376</v>
      </c>
      <c r="C129" s="332">
        <f>SUM(C109:C128)</f>
        <v>1076960</v>
      </c>
      <c r="D129" s="332">
        <f>SUM(D109:D128)</f>
        <v>1058488</v>
      </c>
      <c r="E129" s="289"/>
      <c r="F129" s="289"/>
      <c r="G129" s="333">
        <f>SUM(G109:G128)</f>
        <v>1085469</v>
      </c>
      <c r="H129" s="333">
        <f>SUM(H109:H128)</f>
        <v>1066808</v>
      </c>
      <c r="I129" s="289"/>
      <c r="J129" s="332">
        <f>SUM(J112:J128)</f>
        <v>98543</v>
      </c>
      <c r="K129" s="332">
        <f>SUM(K112:K128)</f>
        <v>50384</v>
      </c>
      <c r="L129" s="334">
        <f>SUM(L112:L128)</f>
        <v>48159</v>
      </c>
    </row>
    <row r="130" spans="1:12" ht="20.100000000000001" customHeight="1" thickBot="1">
      <c r="A130" s="283"/>
      <c r="B130" s="605"/>
      <c r="C130" s="602">
        <f>SUM(C129:D129)</f>
        <v>2135448</v>
      </c>
      <c r="D130" s="602"/>
      <c r="E130" s="414"/>
      <c r="F130" s="331"/>
      <c r="G130" s="602">
        <f>SUM(G129:H129)</f>
        <v>2152277</v>
      </c>
      <c r="H130" s="602"/>
      <c r="I130" s="335"/>
      <c r="J130" s="415"/>
      <c r="K130" s="415"/>
      <c r="L130" s="416"/>
    </row>
    <row r="131" spans="1:12" ht="20.100000000000001" customHeight="1">
      <c r="A131" s="283"/>
      <c r="B131" s="283"/>
      <c r="C131" s="284"/>
      <c r="D131" s="284"/>
      <c r="E131" s="284"/>
      <c r="F131" s="283"/>
      <c r="G131" s="283"/>
      <c r="H131" s="283"/>
      <c r="I131" s="283"/>
      <c r="J131" s="283"/>
      <c r="K131" s="283"/>
      <c r="L131" s="283"/>
    </row>
    <row r="132" spans="1:12" ht="20.100000000000001" customHeight="1" thickBot="1">
      <c r="A132" s="283"/>
      <c r="B132" s="315" t="s">
        <v>591</v>
      </c>
      <c r="C132" s="316"/>
      <c r="D132" s="316"/>
      <c r="E132" s="316"/>
      <c r="F132" s="317"/>
      <c r="G132" s="317"/>
      <c r="H132" s="317"/>
      <c r="I132" s="317"/>
      <c r="J132" s="317"/>
      <c r="K132" s="317"/>
      <c r="L132" s="317"/>
    </row>
    <row r="133" spans="1:12" ht="20.100000000000001" customHeight="1">
      <c r="A133" s="283"/>
      <c r="B133" s="591" t="s">
        <v>2</v>
      </c>
      <c r="C133" s="600" t="s">
        <v>593</v>
      </c>
      <c r="D133" s="600"/>
      <c r="E133" s="600" t="s">
        <v>594</v>
      </c>
      <c r="F133" s="600"/>
      <c r="G133" s="600" t="s">
        <v>595</v>
      </c>
      <c r="H133" s="600"/>
      <c r="I133" s="600" t="s">
        <v>596</v>
      </c>
      <c r="J133" s="600" t="s">
        <v>377</v>
      </c>
      <c r="K133" s="600"/>
      <c r="L133" s="601"/>
    </row>
    <row r="134" spans="1:12" ht="20.100000000000001" customHeight="1" thickBot="1">
      <c r="A134" s="283"/>
      <c r="B134" s="592"/>
      <c r="C134" s="413" t="s">
        <v>5</v>
      </c>
      <c r="D134" s="413" t="s">
        <v>6</v>
      </c>
      <c r="E134" s="413" t="s">
        <v>5</v>
      </c>
      <c r="F134" s="413" t="s">
        <v>6</v>
      </c>
      <c r="G134" s="413" t="s">
        <v>5</v>
      </c>
      <c r="H134" s="413" t="s">
        <v>6</v>
      </c>
      <c r="I134" s="603"/>
      <c r="J134" s="413" t="s">
        <v>47</v>
      </c>
      <c r="K134" s="413" t="s">
        <v>5</v>
      </c>
      <c r="L134" s="424" t="s">
        <v>6</v>
      </c>
    </row>
    <row r="135" spans="1:12" ht="20.100000000000001" customHeight="1" thickTop="1">
      <c r="A135" s="283"/>
      <c r="B135" s="292" t="s">
        <v>12</v>
      </c>
      <c r="C135" s="319">
        <f t="shared" ref="C135:D154" si="34">G109</f>
        <v>50384</v>
      </c>
      <c r="D135" s="319">
        <f t="shared" si="34"/>
        <v>48159</v>
      </c>
      <c r="E135" s="336">
        <f>생잔율!N32</f>
        <v>0.99926000000000004</v>
      </c>
      <c r="F135" s="336">
        <f>생잔율!O32</f>
        <v>0.999332</v>
      </c>
      <c r="G135" s="319">
        <f>SUM(K138:K144)</f>
        <v>48879</v>
      </c>
      <c r="H135" s="319">
        <f>SUM(L138:L144)</f>
        <v>46721</v>
      </c>
      <c r="I135" s="318"/>
      <c r="J135" s="319"/>
      <c r="K135" s="319"/>
      <c r="L135" s="320"/>
    </row>
    <row r="136" spans="1:12" ht="20.100000000000001" customHeight="1">
      <c r="A136" s="283"/>
      <c r="B136" s="297" t="s">
        <v>13</v>
      </c>
      <c r="C136" s="319">
        <f t="shared" si="34"/>
        <v>50874</v>
      </c>
      <c r="D136" s="319">
        <f t="shared" si="34"/>
        <v>48630</v>
      </c>
      <c r="E136" s="336">
        <f>생잔율!N33</f>
        <v>0.99987999999999999</v>
      </c>
      <c r="F136" s="336">
        <f>생잔율!O33</f>
        <v>0.99987999999999999</v>
      </c>
      <c r="G136" s="321">
        <f>ROUND(C135*E135^1,0)</f>
        <v>50347</v>
      </c>
      <c r="H136" s="321">
        <f>ROUND(D135*F135^1,0)</f>
        <v>48127</v>
      </c>
      <c r="I136" s="322"/>
      <c r="J136" s="323"/>
      <c r="K136" s="323"/>
      <c r="L136" s="324"/>
    </row>
    <row r="137" spans="1:12" ht="20.100000000000001" customHeight="1">
      <c r="A137" s="283"/>
      <c r="B137" s="297" t="s">
        <v>15</v>
      </c>
      <c r="C137" s="319">
        <f t="shared" si="34"/>
        <v>52898</v>
      </c>
      <c r="D137" s="319">
        <f t="shared" si="34"/>
        <v>50627</v>
      </c>
      <c r="E137" s="336">
        <f>생잔율!N34</f>
        <v>0.99980000000000002</v>
      </c>
      <c r="F137" s="336">
        <f>생잔율!O34</f>
        <v>0.99983</v>
      </c>
      <c r="G137" s="321">
        <f t="shared" ref="G137:G153" si="35">ROUND(C136*E136^1,0)</f>
        <v>50868</v>
      </c>
      <c r="H137" s="321">
        <f t="shared" ref="H137:H153" si="36">ROUND(D136*F136^1,0)</f>
        <v>48624</v>
      </c>
      <c r="I137" s="322"/>
      <c r="J137" s="323"/>
      <c r="K137" s="323"/>
      <c r="L137" s="324"/>
    </row>
    <row r="138" spans="1:12" ht="20.100000000000001" customHeight="1">
      <c r="A138" s="283"/>
      <c r="B138" s="297" t="s">
        <v>17</v>
      </c>
      <c r="C138" s="319">
        <f t="shared" si="34"/>
        <v>50956</v>
      </c>
      <c r="D138" s="319">
        <f t="shared" si="34"/>
        <v>48388</v>
      </c>
      <c r="E138" s="336">
        <f>생잔율!N35</f>
        <v>0.99941000000000002</v>
      </c>
      <c r="F138" s="336">
        <f>생잔율!O35</f>
        <v>0.99973000000000001</v>
      </c>
      <c r="G138" s="321">
        <f t="shared" si="35"/>
        <v>52887</v>
      </c>
      <c r="H138" s="321">
        <f t="shared" si="36"/>
        <v>50618</v>
      </c>
      <c r="I138" s="325">
        <f>M5</f>
        <v>2.46</v>
      </c>
      <c r="J138" s="326">
        <f t="shared" ref="J138:J144" si="37">ROUND(I138*5*D138/1000,0)</f>
        <v>595</v>
      </c>
      <c r="K138" s="326">
        <f t="shared" ref="K138:K144" si="38">ROUND(J138*$K$22,0)</f>
        <v>304</v>
      </c>
      <c r="L138" s="327">
        <f t="shared" ref="L138:L144" si="39">J138-K138</f>
        <v>291</v>
      </c>
    </row>
    <row r="139" spans="1:12" ht="20.100000000000001" customHeight="1">
      <c r="A139" s="283"/>
      <c r="B139" s="297" t="s">
        <v>14</v>
      </c>
      <c r="C139" s="319">
        <f t="shared" si="34"/>
        <v>50693</v>
      </c>
      <c r="D139" s="319">
        <f t="shared" si="34"/>
        <v>47562</v>
      </c>
      <c r="E139" s="336">
        <f>생잔율!N36</f>
        <v>0.99890999999999996</v>
      </c>
      <c r="F139" s="336">
        <f>생잔율!O36</f>
        <v>0.99951000000000001</v>
      </c>
      <c r="G139" s="321">
        <f t="shared" si="35"/>
        <v>50926</v>
      </c>
      <c r="H139" s="321">
        <f t="shared" si="36"/>
        <v>48375</v>
      </c>
      <c r="I139" s="325">
        <f t="shared" ref="I139:I144" si="40">M6</f>
        <v>25.25</v>
      </c>
      <c r="J139" s="326">
        <f t="shared" si="37"/>
        <v>6005</v>
      </c>
      <c r="K139" s="323">
        <f t="shared" si="38"/>
        <v>3070</v>
      </c>
      <c r="L139" s="324">
        <f t="shared" si="39"/>
        <v>2935</v>
      </c>
    </row>
    <row r="140" spans="1:12" ht="20.100000000000001" customHeight="1">
      <c r="A140" s="283"/>
      <c r="B140" s="297" t="s">
        <v>16</v>
      </c>
      <c r="C140" s="319">
        <f t="shared" si="34"/>
        <v>55539</v>
      </c>
      <c r="D140" s="319">
        <f t="shared" si="34"/>
        <v>51510</v>
      </c>
      <c r="E140" s="336">
        <f>생잔율!N37</f>
        <v>0.99839</v>
      </c>
      <c r="F140" s="336">
        <f>생잔율!O37</f>
        <v>0.99921000000000004</v>
      </c>
      <c r="G140" s="321">
        <f t="shared" si="35"/>
        <v>50638</v>
      </c>
      <c r="H140" s="321">
        <f t="shared" si="36"/>
        <v>47539</v>
      </c>
      <c r="I140" s="325">
        <f t="shared" si="40"/>
        <v>91.8</v>
      </c>
      <c r="J140" s="323">
        <f t="shared" si="37"/>
        <v>23643</v>
      </c>
      <c r="K140" s="323">
        <f t="shared" si="38"/>
        <v>12088</v>
      </c>
      <c r="L140" s="324">
        <f t="shared" si="39"/>
        <v>11555</v>
      </c>
    </row>
    <row r="141" spans="1:12" ht="20.100000000000001" customHeight="1">
      <c r="A141" s="283"/>
      <c r="B141" s="297" t="s">
        <v>18</v>
      </c>
      <c r="C141" s="319">
        <f t="shared" si="34"/>
        <v>64554</v>
      </c>
      <c r="D141" s="319">
        <f t="shared" si="34"/>
        <v>58903</v>
      </c>
      <c r="E141" s="336">
        <f>생잔율!N38</f>
        <v>0.99800999999999995</v>
      </c>
      <c r="F141" s="336">
        <f>생잔율!O38</f>
        <v>0.99880999999999998</v>
      </c>
      <c r="G141" s="321">
        <f t="shared" si="35"/>
        <v>55450</v>
      </c>
      <c r="H141" s="321">
        <f t="shared" si="36"/>
        <v>51469</v>
      </c>
      <c r="I141" s="325">
        <f t="shared" si="40"/>
        <v>128.21</v>
      </c>
      <c r="J141" s="323">
        <f t="shared" si="37"/>
        <v>37760</v>
      </c>
      <c r="K141" s="323">
        <f t="shared" si="38"/>
        <v>19306</v>
      </c>
      <c r="L141" s="324">
        <f t="shared" si="39"/>
        <v>18454</v>
      </c>
    </row>
    <row r="142" spans="1:12" ht="20.100000000000001" customHeight="1">
      <c r="A142" s="283"/>
      <c r="B142" s="297" t="s">
        <v>19</v>
      </c>
      <c r="C142" s="319">
        <f t="shared" si="34"/>
        <v>66001</v>
      </c>
      <c r="D142" s="319">
        <f t="shared" si="34"/>
        <v>59275</v>
      </c>
      <c r="E142" s="336">
        <f>생잔율!N39</f>
        <v>0.99687000000000003</v>
      </c>
      <c r="F142" s="336">
        <f>생잔율!O39</f>
        <v>0.99822</v>
      </c>
      <c r="G142" s="321">
        <f t="shared" si="35"/>
        <v>64426</v>
      </c>
      <c r="H142" s="321">
        <f t="shared" si="36"/>
        <v>58833</v>
      </c>
      <c r="I142" s="325">
        <f t="shared" si="40"/>
        <v>73.58</v>
      </c>
      <c r="J142" s="323">
        <f t="shared" si="37"/>
        <v>21807</v>
      </c>
      <c r="K142" s="323">
        <f t="shared" si="38"/>
        <v>11150</v>
      </c>
      <c r="L142" s="324">
        <f t="shared" si="39"/>
        <v>10657</v>
      </c>
    </row>
    <row r="143" spans="1:12" ht="20.100000000000001" customHeight="1">
      <c r="A143" s="283"/>
      <c r="B143" s="297" t="s">
        <v>20</v>
      </c>
      <c r="C143" s="319">
        <f t="shared" si="34"/>
        <v>63267</v>
      </c>
      <c r="D143" s="319">
        <f t="shared" si="34"/>
        <v>55531</v>
      </c>
      <c r="E143" s="336">
        <f>생잔율!N40</f>
        <v>0.99448999999999999</v>
      </c>
      <c r="F143" s="336">
        <f>생잔율!O40</f>
        <v>0.99782999999999999</v>
      </c>
      <c r="G143" s="321">
        <f t="shared" si="35"/>
        <v>65794</v>
      </c>
      <c r="H143" s="321">
        <f t="shared" si="36"/>
        <v>59169</v>
      </c>
      <c r="I143" s="325">
        <f t="shared" si="40"/>
        <v>18.39</v>
      </c>
      <c r="J143" s="323">
        <f t="shared" si="37"/>
        <v>5106</v>
      </c>
      <c r="K143" s="323">
        <f t="shared" si="38"/>
        <v>2611</v>
      </c>
      <c r="L143" s="324">
        <f t="shared" si="39"/>
        <v>2495</v>
      </c>
    </row>
    <row r="144" spans="1:12" ht="20.100000000000001" customHeight="1">
      <c r="A144" s="283"/>
      <c r="B144" s="297" t="s">
        <v>21</v>
      </c>
      <c r="C144" s="319">
        <f t="shared" si="34"/>
        <v>74109</v>
      </c>
      <c r="D144" s="319">
        <f t="shared" si="34"/>
        <v>64789</v>
      </c>
      <c r="E144" s="336">
        <f>생잔율!N41</f>
        <v>0.99112999999999996</v>
      </c>
      <c r="F144" s="336">
        <f>생잔율!O41</f>
        <v>0.99665999999999999</v>
      </c>
      <c r="G144" s="321">
        <f t="shared" si="35"/>
        <v>62918</v>
      </c>
      <c r="H144" s="321">
        <f t="shared" si="36"/>
        <v>55410</v>
      </c>
      <c r="I144" s="325">
        <f t="shared" si="40"/>
        <v>2.11</v>
      </c>
      <c r="J144" s="323">
        <f t="shared" si="37"/>
        <v>684</v>
      </c>
      <c r="K144" s="323">
        <f t="shared" si="38"/>
        <v>350</v>
      </c>
      <c r="L144" s="324">
        <f t="shared" si="39"/>
        <v>334</v>
      </c>
    </row>
    <row r="145" spans="1:12" ht="20.100000000000001" customHeight="1">
      <c r="A145" s="283"/>
      <c r="B145" s="297" t="s">
        <v>363</v>
      </c>
      <c r="C145" s="319">
        <f t="shared" si="34"/>
        <v>79306</v>
      </c>
      <c r="D145" s="319">
        <f t="shared" si="34"/>
        <v>70702</v>
      </c>
      <c r="E145" s="336">
        <f>생잔율!N42</f>
        <v>0.98679000000000006</v>
      </c>
      <c r="F145" s="336">
        <f>생잔율!O42</f>
        <v>0.99526999999999999</v>
      </c>
      <c r="G145" s="321">
        <f t="shared" si="35"/>
        <v>73452</v>
      </c>
      <c r="H145" s="321">
        <f t="shared" si="36"/>
        <v>64573</v>
      </c>
      <c r="I145" s="322"/>
      <c r="J145" s="323"/>
      <c r="K145" s="323"/>
      <c r="L145" s="324"/>
    </row>
    <row r="146" spans="1:12" ht="20.100000000000001" customHeight="1">
      <c r="A146" s="283"/>
      <c r="B146" s="297" t="s">
        <v>364</v>
      </c>
      <c r="C146" s="319">
        <f t="shared" si="34"/>
        <v>83287</v>
      </c>
      <c r="D146" s="319">
        <f t="shared" si="34"/>
        <v>74894</v>
      </c>
      <c r="E146" s="336">
        <f>생잔율!N43</f>
        <v>0.98172000000000004</v>
      </c>
      <c r="F146" s="336">
        <f>생잔율!O43</f>
        <v>0.99383999999999995</v>
      </c>
      <c r="G146" s="321">
        <f t="shared" si="35"/>
        <v>78258</v>
      </c>
      <c r="H146" s="321">
        <f t="shared" si="36"/>
        <v>70368</v>
      </c>
      <c r="I146" s="322"/>
      <c r="J146" s="323"/>
      <c r="K146" s="323"/>
      <c r="L146" s="324"/>
    </row>
    <row r="147" spans="1:12" ht="20.100000000000001" customHeight="1">
      <c r="A147" s="283"/>
      <c r="B147" s="297" t="s">
        <v>365</v>
      </c>
      <c r="C147" s="319">
        <f t="shared" si="34"/>
        <v>82530</v>
      </c>
      <c r="D147" s="319">
        <f t="shared" si="34"/>
        <v>75294</v>
      </c>
      <c r="E147" s="336">
        <f>생잔율!N44</f>
        <v>0.97331999999999996</v>
      </c>
      <c r="F147" s="336">
        <f>생잔율!O44</f>
        <v>0.99041999999999997</v>
      </c>
      <c r="G147" s="321">
        <f t="shared" si="35"/>
        <v>81765</v>
      </c>
      <c r="H147" s="321">
        <f t="shared" si="36"/>
        <v>74433</v>
      </c>
      <c r="I147" s="322"/>
      <c r="J147" s="323"/>
      <c r="K147" s="323"/>
      <c r="L147" s="324"/>
    </row>
    <row r="148" spans="1:12" ht="20.100000000000001" customHeight="1">
      <c r="A148" s="283"/>
      <c r="B148" s="297" t="s">
        <v>366</v>
      </c>
      <c r="C148" s="319">
        <f t="shared" si="34"/>
        <v>78919</v>
      </c>
      <c r="D148" s="319">
        <f t="shared" si="34"/>
        <v>75368</v>
      </c>
      <c r="E148" s="336">
        <f>생잔율!N45</f>
        <v>0.95345000000000002</v>
      </c>
      <c r="F148" s="336">
        <f>생잔율!O45</f>
        <v>0.98202</v>
      </c>
      <c r="G148" s="321">
        <f t="shared" si="35"/>
        <v>80328</v>
      </c>
      <c r="H148" s="321">
        <f t="shared" si="36"/>
        <v>74573</v>
      </c>
      <c r="I148" s="322"/>
      <c r="J148" s="323"/>
      <c r="K148" s="323"/>
      <c r="L148" s="324"/>
    </row>
    <row r="149" spans="1:12" ht="20.100000000000001" customHeight="1">
      <c r="A149" s="283"/>
      <c r="B149" s="297" t="s">
        <v>367</v>
      </c>
      <c r="C149" s="319">
        <f t="shared" si="34"/>
        <v>67322</v>
      </c>
      <c r="D149" s="319">
        <f t="shared" si="34"/>
        <v>69280</v>
      </c>
      <c r="E149" s="336">
        <f>생잔율!N46</f>
        <v>0.91976000000000002</v>
      </c>
      <c r="F149" s="336">
        <f>생잔율!O46</f>
        <v>0.96414999999999995</v>
      </c>
      <c r="G149" s="321">
        <f t="shared" si="35"/>
        <v>75245</v>
      </c>
      <c r="H149" s="321">
        <f t="shared" si="36"/>
        <v>74013</v>
      </c>
      <c r="I149" s="322"/>
      <c r="J149" s="323"/>
      <c r="K149" s="323"/>
      <c r="L149" s="324"/>
    </row>
    <row r="150" spans="1:12" ht="20.100000000000001" customHeight="1">
      <c r="A150" s="283"/>
      <c r="B150" s="297" t="s">
        <v>369</v>
      </c>
      <c r="C150" s="319">
        <f t="shared" si="34"/>
        <v>46958</v>
      </c>
      <c r="D150" s="319">
        <f t="shared" si="34"/>
        <v>53557</v>
      </c>
      <c r="E150" s="336">
        <f>생잔율!N47</f>
        <v>0.86294000000000004</v>
      </c>
      <c r="F150" s="336">
        <f>생잔율!O47</f>
        <v>0.92908999999999997</v>
      </c>
      <c r="G150" s="321">
        <f t="shared" si="35"/>
        <v>61920</v>
      </c>
      <c r="H150" s="321">
        <f t="shared" si="36"/>
        <v>66796</v>
      </c>
      <c r="I150" s="322"/>
      <c r="J150" s="323"/>
      <c r="K150" s="323"/>
      <c r="L150" s="324"/>
    </row>
    <row r="151" spans="1:12" ht="20.100000000000001" customHeight="1">
      <c r="A151" s="283"/>
      <c r="B151" s="297" t="s">
        <v>378</v>
      </c>
      <c r="C151" s="319">
        <f t="shared" si="34"/>
        <v>30862</v>
      </c>
      <c r="D151" s="319">
        <f t="shared" si="34"/>
        <v>40132</v>
      </c>
      <c r="E151" s="336">
        <f>생잔율!N48</f>
        <v>0.77234999999999998</v>
      </c>
      <c r="F151" s="336">
        <f>생잔율!O48</f>
        <v>0.86285000000000001</v>
      </c>
      <c r="G151" s="321">
        <f t="shared" si="35"/>
        <v>40522</v>
      </c>
      <c r="H151" s="321">
        <f t="shared" si="36"/>
        <v>49759</v>
      </c>
      <c r="I151" s="322"/>
      <c r="J151" s="323"/>
      <c r="K151" s="323"/>
      <c r="L151" s="324"/>
    </row>
    <row r="152" spans="1:12" ht="20.100000000000001" customHeight="1">
      <c r="A152" s="283"/>
      <c r="B152" s="297" t="s">
        <v>24</v>
      </c>
      <c r="C152" s="319">
        <f t="shared" si="34"/>
        <v>20959</v>
      </c>
      <c r="D152" s="319">
        <f t="shared" si="34"/>
        <v>34860</v>
      </c>
      <c r="E152" s="336">
        <f>생잔율!N49</f>
        <v>0.63894000000000006</v>
      </c>
      <c r="F152" s="336">
        <f>생잔율!O49</f>
        <v>0.74641999999999997</v>
      </c>
      <c r="G152" s="321">
        <f t="shared" si="35"/>
        <v>23836</v>
      </c>
      <c r="H152" s="321">
        <f t="shared" si="36"/>
        <v>34628</v>
      </c>
      <c r="I152" s="328"/>
      <c r="J152" s="329"/>
      <c r="K152" s="329"/>
      <c r="L152" s="330"/>
    </row>
    <row r="153" spans="1:12" ht="20.100000000000001" customHeight="1">
      <c r="A153" s="283"/>
      <c r="B153" s="297" t="s">
        <v>26</v>
      </c>
      <c r="C153" s="319">
        <f t="shared" si="34"/>
        <v>11627</v>
      </c>
      <c r="D153" s="319">
        <f t="shared" si="34"/>
        <v>25438</v>
      </c>
      <c r="E153" s="336">
        <f>생잔율!N50</f>
        <v>0.46675</v>
      </c>
      <c r="F153" s="336">
        <f>생잔율!O50</f>
        <v>0.56708000000000003</v>
      </c>
      <c r="G153" s="321">
        <f t="shared" si="35"/>
        <v>13392</v>
      </c>
      <c r="H153" s="321">
        <f t="shared" si="36"/>
        <v>26020</v>
      </c>
      <c r="I153" s="328"/>
      <c r="J153" s="329"/>
      <c r="K153" s="329"/>
      <c r="L153" s="330"/>
    </row>
    <row r="154" spans="1:12" ht="20.100000000000001" customHeight="1" thickBot="1">
      <c r="A154" s="283"/>
      <c r="B154" s="309" t="s">
        <v>27</v>
      </c>
      <c r="C154" s="319">
        <f t="shared" si="34"/>
        <v>4424</v>
      </c>
      <c r="D154" s="319">
        <f t="shared" si="34"/>
        <v>13909</v>
      </c>
      <c r="E154" s="336">
        <f>생잔율!N51</f>
        <v>0.28308999999999995</v>
      </c>
      <c r="F154" s="336">
        <f>생잔율!O51</f>
        <v>0.34469000000000005</v>
      </c>
      <c r="G154" s="321">
        <f>ROUND(C153*E153^1+C154*E154^1,0)</f>
        <v>6679</v>
      </c>
      <c r="H154" s="321">
        <f>ROUND(D153*F153^1+D154*F154^1,0)</f>
        <v>19220</v>
      </c>
      <c r="I154" s="328"/>
      <c r="J154" s="329"/>
      <c r="K154" s="329"/>
      <c r="L154" s="330"/>
    </row>
    <row r="155" spans="1:12" ht="20.100000000000001" customHeight="1">
      <c r="A155" s="283"/>
      <c r="B155" s="604" t="s">
        <v>28</v>
      </c>
      <c r="C155" s="332">
        <f>SUM(C135:C154)</f>
        <v>1085469</v>
      </c>
      <c r="D155" s="332">
        <f>SUM(D135:D154)</f>
        <v>1066808</v>
      </c>
      <c r="E155" s="289"/>
      <c r="F155" s="289"/>
      <c r="G155" s="333">
        <f>SUM(G135:G154)</f>
        <v>1088530</v>
      </c>
      <c r="H155" s="333">
        <f>SUM(H135:H154)</f>
        <v>1069268</v>
      </c>
      <c r="I155" s="289"/>
      <c r="J155" s="332">
        <f>SUM(J138:J154)</f>
        <v>95600</v>
      </c>
      <c r="K155" s="332">
        <f>SUM(K138:K154)</f>
        <v>48879</v>
      </c>
      <c r="L155" s="334">
        <f>SUM(L138:L154)</f>
        <v>46721</v>
      </c>
    </row>
    <row r="156" spans="1:12" ht="20.100000000000001" customHeight="1" thickBot="1">
      <c r="A156" s="283"/>
      <c r="B156" s="605"/>
      <c r="C156" s="602">
        <f>SUM(C155:D155)</f>
        <v>2152277</v>
      </c>
      <c r="D156" s="602"/>
      <c r="E156" s="414"/>
      <c r="F156" s="331"/>
      <c r="G156" s="602">
        <f>SUM(G155:H155)</f>
        <v>2157798</v>
      </c>
      <c r="H156" s="602"/>
      <c r="I156" s="335"/>
      <c r="J156" s="415"/>
      <c r="K156" s="415"/>
      <c r="L156" s="416"/>
    </row>
    <row r="157" spans="1:12" ht="20.100000000000001" customHeight="1">
      <c r="A157" s="283"/>
      <c r="B157" s="283"/>
      <c r="C157" s="284"/>
      <c r="D157" s="284"/>
      <c r="E157" s="284"/>
      <c r="F157" s="283"/>
      <c r="G157" s="283"/>
      <c r="H157" s="283"/>
      <c r="I157" s="283"/>
      <c r="J157" s="283"/>
      <c r="K157" s="283"/>
      <c r="L157" s="283"/>
    </row>
    <row r="158" spans="1:12" ht="20.100000000000001" customHeight="1" thickBot="1">
      <c r="A158" s="283"/>
      <c r="B158" s="315" t="s">
        <v>592</v>
      </c>
      <c r="C158" s="316"/>
      <c r="D158" s="316"/>
      <c r="E158" s="316"/>
      <c r="F158" s="317"/>
      <c r="G158" s="317"/>
      <c r="H158" s="317"/>
      <c r="I158" s="317"/>
      <c r="J158" s="317"/>
      <c r="K158" s="317"/>
      <c r="L158" s="317"/>
    </row>
    <row r="159" spans="1:12" ht="20.100000000000001" customHeight="1">
      <c r="A159" s="283"/>
      <c r="B159" s="591" t="s">
        <v>2</v>
      </c>
      <c r="C159" s="600" t="s">
        <v>597</v>
      </c>
      <c r="D159" s="600"/>
      <c r="E159" s="600" t="s">
        <v>598</v>
      </c>
      <c r="F159" s="600"/>
      <c r="G159" s="600" t="s">
        <v>599</v>
      </c>
      <c r="H159" s="600"/>
      <c r="I159" s="600" t="s">
        <v>600</v>
      </c>
      <c r="J159" s="600" t="s">
        <v>377</v>
      </c>
      <c r="K159" s="600"/>
      <c r="L159" s="601"/>
    </row>
    <row r="160" spans="1:12" ht="20.100000000000001" customHeight="1" thickBot="1">
      <c r="A160" s="283"/>
      <c r="B160" s="592"/>
      <c r="C160" s="413" t="s">
        <v>5</v>
      </c>
      <c r="D160" s="413" t="s">
        <v>6</v>
      </c>
      <c r="E160" s="413" t="s">
        <v>5</v>
      </c>
      <c r="F160" s="413" t="s">
        <v>6</v>
      </c>
      <c r="G160" s="413" t="s">
        <v>5</v>
      </c>
      <c r="H160" s="413" t="s">
        <v>6</v>
      </c>
      <c r="I160" s="603"/>
      <c r="J160" s="413" t="s">
        <v>47</v>
      </c>
      <c r="K160" s="413" t="s">
        <v>5</v>
      </c>
      <c r="L160" s="424" t="s">
        <v>6</v>
      </c>
    </row>
    <row r="161" spans="1:12" ht="20.100000000000001" customHeight="1" thickTop="1">
      <c r="A161" s="283"/>
      <c r="B161" s="292" t="s">
        <v>12</v>
      </c>
      <c r="C161" s="319">
        <f t="shared" ref="C161:D180" si="41">G135</f>
        <v>48879</v>
      </c>
      <c r="D161" s="319">
        <f t="shared" si="41"/>
        <v>46721</v>
      </c>
      <c r="E161" s="336">
        <f>생잔율!P32</f>
        <v>0.99935200000000002</v>
      </c>
      <c r="F161" s="336">
        <f>생잔율!Q32</f>
        <v>0.99943000000000004</v>
      </c>
      <c r="G161" s="319">
        <f>SUM(K164:K170)</f>
        <v>45720</v>
      </c>
      <c r="H161" s="319">
        <f>SUM(L164:L170)</f>
        <v>43699</v>
      </c>
      <c r="I161" s="318"/>
      <c r="J161" s="319"/>
      <c r="K161" s="319"/>
      <c r="L161" s="320"/>
    </row>
    <row r="162" spans="1:12" ht="20.100000000000001" customHeight="1">
      <c r="A162" s="283"/>
      <c r="B162" s="297" t="s">
        <v>13</v>
      </c>
      <c r="C162" s="319">
        <f t="shared" si="41"/>
        <v>50347</v>
      </c>
      <c r="D162" s="319">
        <f t="shared" si="41"/>
        <v>48127</v>
      </c>
      <c r="E162" s="336">
        <f>생잔율!P33</f>
        <v>0.99990999999999997</v>
      </c>
      <c r="F162" s="336">
        <f>생잔율!Q33</f>
        <v>0.99990999999999997</v>
      </c>
      <c r="G162" s="321">
        <f>ROUND(C161*E161^1,0)</f>
        <v>48847</v>
      </c>
      <c r="H162" s="321">
        <f>ROUND(D161*F161^1,0)</f>
        <v>46694</v>
      </c>
      <c r="I162" s="322"/>
      <c r="J162" s="323"/>
      <c r="K162" s="323"/>
      <c r="L162" s="324"/>
    </row>
    <row r="163" spans="1:12" ht="20.100000000000001" customHeight="1">
      <c r="A163" s="283"/>
      <c r="B163" s="297" t="s">
        <v>15</v>
      </c>
      <c r="C163" s="319">
        <f t="shared" si="41"/>
        <v>50868</v>
      </c>
      <c r="D163" s="319">
        <f t="shared" si="41"/>
        <v>48624</v>
      </c>
      <c r="E163" s="336">
        <f>생잔율!P34</f>
        <v>0.99985000000000002</v>
      </c>
      <c r="F163" s="336">
        <f>생잔율!Q34</f>
        <v>0.99987999999999999</v>
      </c>
      <c r="G163" s="321">
        <f t="shared" ref="G163:G179" si="42">ROUND(C162*E162^1,0)</f>
        <v>50342</v>
      </c>
      <c r="H163" s="321">
        <f t="shared" ref="H163:H179" si="43">ROUND(D162*F162^1,0)</f>
        <v>48123</v>
      </c>
      <c r="I163" s="322"/>
      <c r="J163" s="323"/>
      <c r="K163" s="323"/>
      <c r="L163" s="324"/>
    </row>
    <row r="164" spans="1:12" ht="20.100000000000001" customHeight="1">
      <c r="A164" s="283"/>
      <c r="B164" s="297" t="s">
        <v>17</v>
      </c>
      <c r="C164" s="319">
        <f t="shared" si="41"/>
        <v>52887</v>
      </c>
      <c r="D164" s="319">
        <f t="shared" si="41"/>
        <v>50618</v>
      </c>
      <c r="E164" s="336">
        <f>생잔율!P35</f>
        <v>0.99953999999999998</v>
      </c>
      <c r="F164" s="336">
        <f>생잔율!Q35</f>
        <v>0.99978999999999996</v>
      </c>
      <c r="G164" s="321">
        <f t="shared" si="42"/>
        <v>50860</v>
      </c>
      <c r="H164" s="321">
        <f t="shared" si="43"/>
        <v>48618</v>
      </c>
      <c r="I164" s="325">
        <f>N5</f>
        <v>2.5099999999999998</v>
      </c>
      <c r="J164" s="326">
        <f t="shared" ref="J164:J170" si="44">ROUND(I164*5*D164/1000,0)</f>
        <v>635</v>
      </c>
      <c r="K164" s="326">
        <f t="shared" ref="K164:K170" si="45">ROUND(J164*$K$22,0)</f>
        <v>325</v>
      </c>
      <c r="L164" s="327">
        <f t="shared" ref="L164:L170" si="46">J164-K164</f>
        <v>310</v>
      </c>
    </row>
    <row r="165" spans="1:12" ht="20.100000000000001" customHeight="1">
      <c r="A165" s="283"/>
      <c r="B165" s="297" t="s">
        <v>14</v>
      </c>
      <c r="C165" s="319">
        <f t="shared" si="41"/>
        <v>50926</v>
      </c>
      <c r="D165" s="319">
        <f t="shared" si="41"/>
        <v>48375</v>
      </c>
      <c r="E165" s="336">
        <f>생잔율!P36</f>
        <v>0.99912999999999996</v>
      </c>
      <c r="F165" s="336">
        <f>생잔율!Q36</f>
        <v>0.99961</v>
      </c>
      <c r="G165" s="321">
        <f t="shared" si="42"/>
        <v>52863</v>
      </c>
      <c r="H165" s="321">
        <f t="shared" si="43"/>
        <v>50607</v>
      </c>
      <c r="I165" s="325">
        <f t="shared" ref="I165:I170" si="47">N6</f>
        <v>25.44</v>
      </c>
      <c r="J165" s="326">
        <f t="shared" si="44"/>
        <v>6153</v>
      </c>
      <c r="K165" s="323">
        <f t="shared" si="45"/>
        <v>3146</v>
      </c>
      <c r="L165" s="324">
        <f t="shared" si="46"/>
        <v>3007</v>
      </c>
    </row>
    <row r="166" spans="1:12" ht="20.100000000000001" customHeight="1">
      <c r="A166" s="283"/>
      <c r="B166" s="297" t="s">
        <v>16</v>
      </c>
      <c r="C166" s="319">
        <f t="shared" si="41"/>
        <v>50638</v>
      </c>
      <c r="D166" s="319">
        <f t="shared" si="41"/>
        <v>47539</v>
      </c>
      <c r="E166" s="336">
        <f>생잔율!P37</f>
        <v>0.99868000000000001</v>
      </c>
      <c r="F166" s="336">
        <f>생잔율!Q37</f>
        <v>0.99934999999999996</v>
      </c>
      <c r="G166" s="321">
        <f t="shared" si="42"/>
        <v>50882</v>
      </c>
      <c r="H166" s="321">
        <f t="shared" si="43"/>
        <v>48356</v>
      </c>
      <c r="I166" s="325">
        <f t="shared" si="47"/>
        <v>91.88</v>
      </c>
      <c r="J166" s="323">
        <f t="shared" si="44"/>
        <v>21839</v>
      </c>
      <c r="K166" s="323">
        <f t="shared" si="45"/>
        <v>11166</v>
      </c>
      <c r="L166" s="324">
        <f t="shared" si="46"/>
        <v>10673</v>
      </c>
    </row>
    <row r="167" spans="1:12" ht="20.100000000000001" customHeight="1">
      <c r="A167" s="283"/>
      <c r="B167" s="297" t="s">
        <v>18</v>
      </c>
      <c r="C167" s="319">
        <f t="shared" si="41"/>
        <v>55450</v>
      </c>
      <c r="D167" s="319">
        <f t="shared" si="41"/>
        <v>51469</v>
      </c>
      <c r="E167" s="336">
        <f>생잔율!P38</f>
        <v>0.99834999999999996</v>
      </c>
      <c r="F167" s="336">
        <f>생잔율!Q38</f>
        <v>0.99902000000000002</v>
      </c>
      <c r="G167" s="321">
        <f t="shared" si="42"/>
        <v>50571</v>
      </c>
      <c r="H167" s="321">
        <f t="shared" si="43"/>
        <v>47508</v>
      </c>
      <c r="I167" s="325">
        <f t="shared" si="47"/>
        <v>128.15</v>
      </c>
      <c r="J167" s="323">
        <f t="shared" si="44"/>
        <v>32979</v>
      </c>
      <c r="K167" s="323">
        <f t="shared" si="45"/>
        <v>16862</v>
      </c>
      <c r="L167" s="324">
        <f t="shared" si="46"/>
        <v>16117</v>
      </c>
    </row>
    <row r="168" spans="1:12" ht="20.100000000000001" customHeight="1">
      <c r="A168" s="283"/>
      <c r="B168" s="297" t="s">
        <v>19</v>
      </c>
      <c r="C168" s="319">
        <f t="shared" si="41"/>
        <v>64426</v>
      </c>
      <c r="D168" s="319">
        <f t="shared" si="41"/>
        <v>58833</v>
      </c>
      <c r="E168" s="336">
        <f>생잔율!P39</f>
        <v>0.99734</v>
      </c>
      <c r="F168" s="336">
        <f>생잔율!Q39</f>
        <v>0.99850000000000005</v>
      </c>
      <c r="G168" s="321">
        <f t="shared" si="42"/>
        <v>55359</v>
      </c>
      <c r="H168" s="321">
        <f t="shared" si="43"/>
        <v>51419</v>
      </c>
      <c r="I168" s="325">
        <f t="shared" si="47"/>
        <v>73.81</v>
      </c>
      <c r="J168" s="323">
        <f t="shared" si="44"/>
        <v>21712</v>
      </c>
      <c r="K168" s="323">
        <f t="shared" si="45"/>
        <v>11101</v>
      </c>
      <c r="L168" s="324">
        <f t="shared" si="46"/>
        <v>10611</v>
      </c>
    </row>
    <row r="169" spans="1:12" ht="20.100000000000001" customHeight="1">
      <c r="A169" s="283"/>
      <c r="B169" s="297" t="s">
        <v>20</v>
      </c>
      <c r="C169" s="319">
        <f t="shared" si="41"/>
        <v>65794</v>
      </c>
      <c r="D169" s="319">
        <f t="shared" si="41"/>
        <v>59169</v>
      </c>
      <c r="E169" s="336">
        <f>생잔율!P40</f>
        <v>0.99529000000000001</v>
      </c>
      <c r="F169" s="336">
        <f>생잔율!Q40</f>
        <v>0.99816000000000005</v>
      </c>
      <c r="G169" s="321">
        <f t="shared" si="42"/>
        <v>64255</v>
      </c>
      <c r="H169" s="321">
        <f t="shared" si="43"/>
        <v>58745</v>
      </c>
      <c r="I169" s="325">
        <f t="shared" si="47"/>
        <v>18.600000000000001</v>
      </c>
      <c r="J169" s="323">
        <f t="shared" si="44"/>
        <v>5503</v>
      </c>
      <c r="K169" s="323">
        <f t="shared" si="45"/>
        <v>2814</v>
      </c>
      <c r="L169" s="324">
        <f t="shared" si="46"/>
        <v>2689</v>
      </c>
    </row>
    <row r="170" spans="1:12" ht="20.100000000000001" customHeight="1">
      <c r="A170" s="283"/>
      <c r="B170" s="297" t="s">
        <v>21</v>
      </c>
      <c r="C170" s="319">
        <f t="shared" si="41"/>
        <v>62918</v>
      </c>
      <c r="D170" s="319">
        <f t="shared" si="41"/>
        <v>55410</v>
      </c>
      <c r="E170" s="336">
        <f>생잔율!P41</f>
        <v>0.99236000000000002</v>
      </c>
      <c r="F170" s="336">
        <f>생잔율!Q41</f>
        <v>0.99714000000000003</v>
      </c>
      <c r="G170" s="321">
        <f t="shared" si="42"/>
        <v>65484</v>
      </c>
      <c r="H170" s="321">
        <f t="shared" si="43"/>
        <v>59060</v>
      </c>
      <c r="I170" s="325">
        <f t="shared" si="47"/>
        <v>2.16</v>
      </c>
      <c r="J170" s="323">
        <f t="shared" si="44"/>
        <v>598</v>
      </c>
      <c r="K170" s="323">
        <f t="shared" si="45"/>
        <v>306</v>
      </c>
      <c r="L170" s="324">
        <f t="shared" si="46"/>
        <v>292</v>
      </c>
    </row>
    <row r="171" spans="1:12" ht="20.100000000000001" customHeight="1">
      <c r="A171" s="283"/>
      <c r="B171" s="297" t="s">
        <v>363</v>
      </c>
      <c r="C171" s="319">
        <f t="shared" si="41"/>
        <v>73452</v>
      </c>
      <c r="D171" s="319">
        <f t="shared" si="41"/>
        <v>64573</v>
      </c>
      <c r="E171" s="336">
        <f>생잔율!P42</f>
        <v>0.98863999999999996</v>
      </c>
      <c r="F171" s="336">
        <f>생잔율!Q42</f>
        <v>0.99595999999999996</v>
      </c>
      <c r="G171" s="321">
        <f t="shared" si="42"/>
        <v>62437</v>
      </c>
      <c r="H171" s="321">
        <f t="shared" si="43"/>
        <v>55252</v>
      </c>
      <c r="I171" s="322"/>
      <c r="J171" s="323"/>
      <c r="K171" s="323"/>
      <c r="L171" s="324"/>
    </row>
    <row r="172" spans="1:12" ht="20.100000000000001" customHeight="1">
      <c r="A172" s="283"/>
      <c r="B172" s="297" t="s">
        <v>364</v>
      </c>
      <c r="C172" s="319">
        <f t="shared" si="41"/>
        <v>78258</v>
      </c>
      <c r="D172" s="319">
        <f t="shared" si="41"/>
        <v>70368</v>
      </c>
      <c r="E172" s="336">
        <f>생잔율!P43</f>
        <v>0.98424999999999996</v>
      </c>
      <c r="F172" s="336">
        <f>생잔율!Q43</f>
        <v>0.99472000000000005</v>
      </c>
      <c r="G172" s="321">
        <f t="shared" si="42"/>
        <v>72618</v>
      </c>
      <c r="H172" s="321">
        <f t="shared" si="43"/>
        <v>64312</v>
      </c>
      <c r="I172" s="322"/>
      <c r="J172" s="323"/>
      <c r="K172" s="323"/>
      <c r="L172" s="324"/>
    </row>
    <row r="173" spans="1:12" ht="20.100000000000001" customHeight="1">
      <c r="A173" s="283"/>
      <c r="B173" s="297" t="s">
        <v>365</v>
      </c>
      <c r="C173" s="319">
        <f t="shared" si="41"/>
        <v>81765</v>
      </c>
      <c r="D173" s="319">
        <f t="shared" si="41"/>
        <v>74433</v>
      </c>
      <c r="E173" s="336">
        <f>생잔율!P44</f>
        <v>0.97694999999999999</v>
      </c>
      <c r="F173" s="336">
        <f>생잔율!Q44</f>
        <v>0.99177000000000004</v>
      </c>
      <c r="G173" s="321">
        <f t="shared" si="42"/>
        <v>77025</v>
      </c>
      <c r="H173" s="321">
        <f t="shared" si="43"/>
        <v>69996</v>
      </c>
      <c r="I173" s="322"/>
      <c r="J173" s="323"/>
      <c r="K173" s="323"/>
      <c r="L173" s="324"/>
    </row>
    <row r="174" spans="1:12" ht="20.100000000000001" customHeight="1">
      <c r="A174" s="283"/>
      <c r="B174" s="297" t="s">
        <v>366</v>
      </c>
      <c r="C174" s="319">
        <f t="shared" si="41"/>
        <v>80328</v>
      </c>
      <c r="D174" s="319">
        <f t="shared" si="41"/>
        <v>74573</v>
      </c>
      <c r="E174" s="336">
        <f>생잔율!P45</f>
        <v>0.95911999999999997</v>
      </c>
      <c r="F174" s="336">
        <f>생잔율!Q45</f>
        <v>0.98426999999999998</v>
      </c>
      <c r="G174" s="321">
        <f t="shared" si="42"/>
        <v>79880</v>
      </c>
      <c r="H174" s="321">
        <f t="shared" si="43"/>
        <v>73820</v>
      </c>
      <c r="I174" s="322"/>
      <c r="J174" s="323"/>
      <c r="K174" s="323"/>
      <c r="L174" s="324"/>
    </row>
    <row r="175" spans="1:12" ht="20.100000000000001" customHeight="1">
      <c r="A175" s="283"/>
      <c r="B175" s="297" t="s">
        <v>367</v>
      </c>
      <c r="C175" s="319">
        <f t="shared" si="41"/>
        <v>75245</v>
      </c>
      <c r="D175" s="319">
        <f t="shared" si="41"/>
        <v>74013</v>
      </c>
      <c r="E175" s="336">
        <f>생잔율!P46</f>
        <v>0.92801</v>
      </c>
      <c r="F175" s="336">
        <f>생잔율!Q46</f>
        <v>0.96799000000000002</v>
      </c>
      <c r="G175" s="321">
        <f t="shared" si="42"/>
        <v>77044</v>
      </c>
      <c r="H175" s="321">
        <f t="shared" si="43"/>
        <v>73400</v>
      </c>
      <c r="I175" s="322"/>
      <c r="J175" s="323"/>
      <c r="K175" s="323"/>
      <c r="L175" s="324"/>
    </row>
    <row r="176" spans="1:12" ht="20.100000000000001" customHeight="1">
      <c r="A176" s="283"/>
      <c r="B176" s="297" t="s">
        <v>369</v>
      </c>
      <c r="C176" s="319">
        <f t="shared" si="41"/>
        <v>61920</v>
      </c>
      <c r="D176" s="319">
        <f t="shared" si="41"/>
        <v>66796</v>
      </c>
      <c r="E176" s="336">
        <f>생잔율!P47</f>
        <v>0.87434000000000001</v>
      </c>
      <c r="F176" s="336">
        <f>생잔율!Q47</f>
        <v>0.93528999999999995</v>
      </c>
      <c r="G176" s="321">
        <f t="shared" si="42"/>
        <v>69828</v>
      </c>
      <c r="H176" s="321">
        <f t="shared" si="43"/>
        <v>71644</v>
      </c>
      <c r="I176" s="322"/>
      <c r="J176" s="323"/>
      <c r="K176" s="323"/>
      <c r="L176" s="324"/>
    </row>
    <row r="177" spans="1:16" ht="20.100000000000001" customHeight="1">
      <c r="A177" s="283"/>
      <c r="B177" s="297" t="s">
        <v>378</v>
      </c>
      <c r="C177" s="319">
        <f t="shared" si="41"/>
        <v>40522</v>
      </c>
      <c r="D177" s="319">
        <f t="shared" si="41"/>
        <v>49759</v>
      </c>
      <c r="E177" s="336">
        <f>생잔율!P48</f>
        <v>0.78656999999999999</v>
      </c>
      <c r="F177" s="336">
        <f>생잔율!Q48</f>
        <v>0.872</v>
      </c>
      <c r="G177" s="321">
        <f t="shared" si="42"/>
        <v>54139</v>
      </c>
      <c r="H177" s="321">
        <f t="shared" si="43"/>
        <v>62474</v>
      </c>
      <c r="I177" s="322"/>
      <c r="J177" s="323"/>
      <c r="K177" s="323"/>
      <c r="L177" s="324"/>
    </row>
    <row r="178" spans="1:16" ht="20.100000000000001" customHeight="1">
      <c r="A178" s="283"/>
      <c r="B178" s="297" t="s">
        <v>24</v>
      </c>
      <c r="C178" s="319">
        <f t="shared" si="41"/>
        <v>23836</v>
      </c>
      <c r="D178" s="319">
        <f t="shared" si="41"/>
        <v>34628</v>
      </c>
      <c r="E178" s="336">
        <f>생잔율!P49</f>
        <v>0.65425</v>
      </c>
      <c r="F178" s="336">
        <f>생잔율!Q49</f>
        <v>0.75807000000000002</v>
      </c>
      <c r="G178" s="321">
        <f t="shared" si="42"/>
        <v>31873</v>
      </c>
      <c r="H178" s="321">
        <f t="shared" si="43"/>
        <v>43390</v>
      </c>
      <c r="I178" s="328"/>
      <c r="J178" s="329"/>
      <c r="K178" s="329"/>
      <c r="L178" s="330"/>
    </row>
    <row r="179" spans="1:16" ht="20.100000000000001" customHeight="1">
      <c r="A179" s="283"/>
      <c r="B179" s="297" t="s">
        <v>26</v>
      </c>
      <c r="C179" s="319">
        <f t="shared" si="41"/>
        <v>13392</v>
      </c>
      <c r="D179" s="319">
        <f t="shared" si="41"/>
        <v>26020</v>
      </c>
      <c r="E179" s="336">
        <f>생잔율!P50</f>
        <v>0.47977999999999998</v>
      </c>
      <c r="F179" s="336">
        <f>생잔율!Q50</f>
        <v>0.57882</v>
      </c>
      <c r="G179" s="321">
        <f t="shared" si="42"/>
        <v>15595</v>
      </c>
      <c r="H179" s="321">
        <f t="shared" si="43"/>
        <v>26250</v>
      </c>
      <c r="I179" s="328"/>
      <c r="J179" s="329"/>
      <c r="K179" s="329"/>
      <c r="L179" s="330"/>
    </row>
    <row r="180" spans="1:16" ht="20.100000000000001" customHeight="1" thickBot="1">
      <c r="A180" s="283"/>
      <c r="B180" s="309" t="s">
        <v>27</v>
      </c>
      <c r="C180" s="319">
        <f t="shared" si="41"/>
        <v>6679</v>
      </c>
      <c r="D180" s="319">
        <f t="shared" si="41"/>
        <v>19220</v>
      </c>
      <c r="E180" s="336">
        <f>생잔율!P51</f>
        <v>0.29061000000000003</v>
      </c>
      <c r="F180" s="336">
        <f>생잔율!Q51</f>
        <v>0.35241</v>
      </c>
      <c r="G180" s="321">
        <f>ROUND(C179*E179^1+C180*E180^1,0)</f>
        <v>8366</v>
      </c>
      <c r="H180" s="321">
        <f>ROUND(D179*F179^1+D180*F180^1,0)</f>
        <v>21834</v>
      </c>
      <c r="I180" s="328"/>
      <c r="J180" s="329"/>
      <c r="K180" s="329"/>
      <c r="L180" s="330"/>
    </row>
    <row r="181" spans="1:16" ht="20.100000000000001" customHeight="1">
      <c r="A181" s="283"/>
      <c r="B181" s="604" t="s">
        <v>28</v>
      </c>
      <c r="C181" s="332">
        <f>SUM(C161:C180)</f>
        <v>1088530</v>
      </c>
      <c r="D181" s="332">
        <f>SUM(D161:D180)</f>
        <v>1069268</v>
      </c>
      <c r="E181" s="289"/>
      <c r="F181" s="289"/>
      <c r="G181" s="333">
        <f>SUM(G161:G180)</f>
        <v>1083988</v>
      </c>
      <c r="H181" s="333">
        <f>SUM(H161:H180)</f>
        <v>1065201</v>
      </c>
      <c r="I181" s="289"/>
      <c r="J181" s="332">
        <f>SUM(J164:J180)</f>
        <v>89419</v>
      </c>
      <c r="K181" s="332">
        <f>SUM(K164:K180)</f>
        <v>45720</v>
      </c>
      <c r="L181" s="334">
        <f>SUM(L164:L180)</f>
        <v>43699</v>
      </c>
    </row>
    <row r="182" spans="1:16" ht="20.100000000000001" customHeight="1" thickBot="1">
      <c r="A182" s="283"/>
      <c r="B182" s="605"/>
      <c r="C182" s="602">
        <f>SUM(C181:D181)</f>
        <v>2157798</v>
      </c>
      <c r="D182" s="602"/>
      <c r="E182" s="414"/>
      <c r="F182" s="331"/>
      <c r="G182" s="602">
        <f>SUM(G181:H181)</f>
        <v>2149189</v>
      </c>
      <c r="H182" s="602"/>
      <c r="I182" s="335"/>
      <c r="J182" s="415"/>
      <c r="K182" s="415"/>
      <c r="L182" s="416"/>
    </row>
    <row r="183" spans="1:16" ht="20.100000000000001" customHeight="1">
      <c r="A183" s="283"/>
      <c r="B183" s="283"/>
      <c r="C183" s="284"/>
      <c r="D183" s="284"/>
      <c r="E183" s="284"/>
      <c r="F183" s="283"/>
      <c r="G183" s="283"/>
      <c r="H183" s="283"/>
      <c r="I183" s="283"/>
      <c r="J183" s="283"/>
      <c r="K183" s="283"/>
      <c r="L183" s="283"/>
    </row>
    <row r="184" spans="1:16" ht="20.100000000000001" customHeight="1">
      <c r="A184" s="283"/>
      <c r="B184" s="303" t="s">
        <v>393</v>
      </c>
      <c r="C184" s="284"/>
      <c r="D184" s="284"/>
      <c r="E184" s="284"/>
      <c r="F184" s="283"/>
      <c r="G184" s="283"/>
      <c r="H184" s="283"/>
      <c r="I184" s="283"/>
      <c r="J184" s="283"/>
      <c r="K184" s="283"/>
      <c r="L184" s="283"/>
    </row>
    <row r="185" spans="1:16" ht="19.5" customHeight="1" thickBot="1">
      <c r="A185" s="283"/>
      <c r="B185" s="283"/>
      <c r="C185" s="284"/>
      <c r="D185" s="284"/>
      <c r="E185" s="284"/>
      <c r="F185" s="283"/>
      <c r="G185" s="283"/>
      <c r="H185" s="283"/>
      <c r="I185" s="283"/>
      <c r="J185" s="283"/>
      <c r="K185" s="283"/>
      <c r="L185" s="283" t="s">
        <v>394</v>
      </c>
    </row>
    <row r="186" spans="1:16" ht="19.5" customHeight="1">
      <c r="A186" s="283"/>
      <c r="B186" s="591" t="s">
        <v>344</v>
      </c>
      <c r="C186" s="593" t="s">
        <v>539</v>
      </c>
      <c r="D186" s="594"/>
      <c r="E186" s="593" t="s">
        <v>540</v>
      </c>
      <c r="F186" s="594"/>
      <c r="G186" s="593" t="s">
        <v>541</v>
      </c>
      <c r="H186" s="594"/>
      <c r="I186" s="596" t="s">
        <v>542</v>
      </c>
      <c r="J186" s="593"/>
      <c r="K186" s="596" t="s">
        <v>601</v>
      </c>
      <c r="L186" s="593"/>
      <c r="M186" s="596" t="s">
        <v>602</v>
      </c>
      <c r="N186" s="593"/>
      <c r="O186" s="586" t="s">
        <v>1</v>
      </c>
      <c r="P186" s="587"/>
    </row>
    <row r="187" spans="1:16" ht="19.5" customHeight="1" thickBot="1">
      <c r="A187" s="283"/>
      <c r="B187" s="592"/>
      <c r="C187" s="417" t="s">
        <v>346</v>
      </c>
      <c r="D187" s="417" t="s">
        <v>347</v>
      </c>
      <c r="E187" s="417" t="s">
        <v>346</v>
      </c>
      <c r="F187" s="417" t="s">
        <v>347</v>
      </c>
      <c r="G187" s="417" t="s">
        <v>346</v>
      </c>
      <c r="H187" s="417" t="s">
        <v>347</v>
      </c>
      <c r="I187" s="417" t="s">
        <v>346</v>
      </c>
      <c r="J187" s="425" t="s">
        <v>347</v>
      </c>
      <c r="K187" s="417" t="s">
        <v>5</v>
      </c>
      <c r="L187" s="425" t="s">
        <v>6</v>
      </c>
      <c r="M187" s="417" t="s">
        <v>5</v>
      </c>
      <c r="N187" s="425" t="s">
        <v>6</v>
      </c>
      <c r="O187" s="588"/>
      <c r="P187" s="589"/>
    </row>
    <row r="188" spans="1:16" ht="19.5" customHeight="1" thickTop="1">
      <c r="A188" s="283"/>
      <c r="B188" s="292" t="s">
        <v>353</v>
      </c>
      <c r="C188" s="338">
        <f t="shared" ref="C188:C207" si="48">G31</f>
        <v>51042</v>
      </c>
      <c r="D188" s="338">
        <f t="shared" ref="D188:D207" si="49">H31</f>
        <v>48467</v>
      </c>
      <c r="E188" s="338">
        <f t="shared" ref="E188:E207" si="50">G57</f>
        <v>52960</v>
      </c>
      <c r="F188" s="338">
        <f t="shared" ref="F188:F207" si="51">H57</f>
        <v>50684</v>
      </c>
      <c r="G188" s="338">
        <f t="shared" ref="G188:H207" si="52">G83</f>
        <v>50917</v>
      </c>
      <c r="H188" s="411">
        <f t="shared" si="52"/>
        <v>48669</v>
      </c>
      <c r="I188" s="338">
        <f t="shared" ref="I188:I207" si="53">G109</f>
        <v>50384</v>
      </c>
      <c r="J188" s="411">
        <f t="shared" ref="J188:J207" si="54">H109</f>
        <v>48159</v>
      </c>
      <c r="K188" s="338">
        <f>G135</f>
        <v>48879</v>
      </c>
      <c r="L188" s="438">
        <f>H135</f>
        <v>46721</v>
      </c>
      <c r="M188" s="338">
        <f>G161</f>
        <v>45720</v>
      </c>
      <c r="N188" s="438">
        <f>H161</f>
        <v>43699</v>
      </c>
      <c r="O188" s="439"/>
      <c r="P188" s="440"/>
    </row>
    <row r="189" spans="1:16" ht="19.5" customHeight="1">
      <c r="A189" s="283"/>
      <c r="B189" s="297" t="s">
        <v>355</v>
      </c>
      <c r="C189" s="338">
        <f t="shared" si="48"/>
        <v>50769</v>
      </c>
      <c r="D189" s="338">
        <f t="shared" si="49"/>
        <v>47610</v>
      </c>
      <c r="E189" s="338">
        <f t="shared" si="50"/>
        <v>50982</v>
      </c>
      <c r="F189" s="338">
        <f t="shared" si="51"/>
        <v>48411</v>
      </c>
      <c r="G189" s="338">
        <f t="shared" si="52"/>
        <v>52907</v>
      </c>
      <c r="H189" s="411">
        <f t="shared" si="52"/>
        <v>50636</v>
      </c>
      <c r="I189" s="338">
        <f t="shared" si="53"/>
        <v>50874</v>
      </c>
      <c r="J189" s="411">
        <f t="shared" si="54"/>
        <v>48630</v>
      </c>
      <c r="K189" s="338">
        <f t="shared" ref="K189:L204" si="55">G136</f>
        <v>50347</v>
      </c>
      <c r="L189" s="441">
        <f t="shared" si="55"/>
        <v>48127</v>
      </c>
      <c r="M189" s="338">
        <f t="shared" ref="M189:N204" si="56">G162</f>
        <v>48847</v>
      </c>
      <c r="N189" s="441">
        <f t="shared" si="56"/>
        <v>46694</v>
      </c>
      <c r="O189" s="442"/>
      <c r="P189" s="443"/>
    </row>
    <row r="190" spans="1:16" ht="19.5" customHeight="1">
      <c r="A190" s="283"/>
      <c r="B190" s="297" t="s">
        <v>357</v>
      </c>
      <c r="C190" s="338">
        <f t="shared" si="48"/>
        <v>55702</v>
      </c>
      <c r="D190" s="338">
        <f t="shared" si="49"/>
        <v>51589</v>
      </c>
      <c r="E190" s="338">
        <f t="shared" si="50"/>
        <v>50752</v>
      </c>
      <c r="F190" s="338">
        <f t="shared" si="51"/>
        <v>47594</v>
      </c>
      <c r="G190" s="338">
        <f t="shared" si="52"/>
        <v>50970</v>
      </c>
      <c r="H190" s="411">
        <f t="shared" si="52"/>
        <v>48399</v>
      </c>
      <c r="I190" s="338">
        <f t="shared" si="53"/>
        <v>52898</v>
      </c>
      <c r="J190" s="411">
        <f t="shared" si="54"/>
        <v>50627</v>
      </c>
      <c r="K190" s="338">
        <f t="shared" si="55"/>
        <v>50868</v>
      </c>
      <c r="L190" s="441">
        <f t="shared" si="55"/>
        <v>48624</v>
      </c>
      <c r="M190" s="338">
        <f t="shared" si="56"/>
        <v>50342</v>
      </c>
      <c r="N190" s="441">
        <f t="shared" si="56"/>
        <v>48123</v>
      </c>
      <c r="O190" s="442"/>
      <c r="P190" s="443"/>
    </row>
    <row r="191" spans="1:16" ht="19.5" customHeight="1">
      <c r="A191" s="283"/>
      <c r="B191" s="297" t="s">
        <v>354</v>
      </c>
      <c r="C191" s="338">
        <f t="shared" si="48"/>
        <v>64884</v>
      </c>
      <c r="D191" s="338">
        <f t="shared" si="49"/>
        <v>59043</v>
      </c>
      <c r="E191" s="338">
        <f t="shared" si="50"/>
        <v>55673</v>
      </c>
      <c r="F191" s="338">
        <f t="shared" si="51"/>
        <v>51566</v>
      </c>
      <c r="G191" s="338">
        <f t="shared" si="52"/>
        <v>50733</v>
      </c>
      <c r="H191" s="411">
        <f t="shared" si="52"/>
        <v>47579</v>
      </c>
      <c r="I191" s="338">
        <f t="shared" si="53"/>
        <v>50956</v>
      </c>
      <c r="J191" s="411">
        <f t="shared" si="54"/>
        <v>48388</v>
      </c>
      <c r="K191" s="338">
        <f t="shared" si="55"/>
        <v>52887</v>
      </c>
      <c r="L191" s="441">
        <f t="shared" si="55"/>
        <v>50618</v>
      </c>
      <c r="M191" s="338">
        <f t="shared" si="56"/>
        <v>50860</v>
      </c>
      <c r="N191" s="441">
        <f t="shared" si="56"/>
        <v>48618</v>
      </c>
      <c r="O191" s="442"/>
      <c r="P191" s="443"/>
    </row>
    <row r="192" spans="1:16" ht="19.5" customHeight="1">
      <c r="A192" s="283"/>
      <c r="B192" s="297" t="s">
        <v>356</v>
      </c>
      <c r="C192" s="338">
        <f t="shared" si="48"/>
        <v>66477</v>
      </c>
      <c r="D192" s="338">
        <f t="shared" si="49"/>
        <v>59496</v>
      </c>
      <c r="E192" s="338">
        <f t="shared" si="50"/>
        <v>64798</v>
      </c>
      <c r="F192" s="338">
        <f t="shared" si="51"/>
        <v>59008</v>
      </c>
      <c r="G192" s="338">
        <f t="shared" si="52"/>
        <v>55616</v>
      </c>
      <c r="H192" s="411">
        <f t="shared" si="52"/>
        <v>51542</v>
      </c>
      <c r="I192" s="338">
        <f t="shared" si="53"/>
        <v>50693</v>
      </c>
      <c r="J192" s="411">
        <f t="shared" si="54"/>
        <v>47562</v>
      </c>
      <c r="K192" s="338">
        <f t="shared" si="55"/>
        <v>50926</v>
      </c>
      <c r="L192" s="441">
        <f t="shared" si="55"/>
        <v>48375</v>
      </c>
      <c r="M192" s="338">
        <f t="shared" si="56"/>
        <v>52863</v>
      </c>
      <c r="N192" s="441">
        <f t="shared" si="56"/>
        <v>50607</v>
      </c>
      <c r="O192" s="442"/>
      <c r="P192" s="443"/>
    </row>
    <row r="193" spans="1:16" ht="19.5" customHeight="1">
      <c r="A193" s="283"/>
      <c r="B193" s="297" t="s">
        <v>358</v>
      </c>
      <c r="C193" s="338">
        <f t="shared" si="48"/>
        <v>63893</v>
      </c>
      <c r="D193" s="338">
        <f t="shared" si="49"/>
        <v>55835</v>
      </c>
      <c r="E193" s="338">
        <f t="shared" si="50"/>
        <v>66328</v>
      </c>
      <c r="F193" s="338">
        <f t="shared" si="51"/>
        <v>59436</v>
      </c>
      <c r="G193" s="338">
        <f t="shared" si="52"/>
        <v>64683</v>
      </c>
      <c r="H193" s="411">
        <f t="shared" si="52"/>
        <v>58961</v>
      </c>
      <c r="I193" s="338">
        <f t="shared" si="53"/>
        <v>55539</v>
      </c>
      <c r="J193" s="411">
        <f t="shared" si="54"/>
        <v>51510</v>
      </c>
      <c r="K193" s="338">
        <f t="shared" si="55"/>
        <v>50638</v>
      </c>
      <c r="L193" s="441">
        <f t="shared" si="55"/>
        <v>47539</v>
      </c>
      <c r="M193" s="338">
        <f t="shared" si="56"/>
        <v>50882</v>
      </c>
      <c r="N193" s="441">
        <f t="shared" si="56"/>
        <v>48356</v>
      </c>
      <c r="O193" s="442"/>
      <c r="P193" s="443"/>
    </row>
    <row r="194" spans="1:16" ht="19.5" customHeight="1">
      <c r="A194" s="283"/>
      <c r="B194" s="297" t="s">
        <v>359</v>
      </c>
      <c r="C194" s="338">
        <f t="shared" si="48"/>
        <v>75209</v>
      </c>
      <c r="D194" s="338">
        <f t="shared" si="49"/>
        <v>65265</v>
      </c>
      <c r="E194" s="338">
        <f t="shared" si="50"/>
        <v>63697</v>
      </c>
      <c r="F194" s="338">
        <f t="shared" si="51"/>
        <v>55750</v>
      </c>
      <c r="G194" s="338">
        <f t="shared" si="52"/>
        <v>66162</v>
      </c>
      <c r="H194" s="411">
        <f t="shared" si="52"/>
        <v>59362</v>
      </c>
      <c r="I194" s="338">
        <f t="shared" si="53"/>
        <v>64554</v>
      </c>
      <c r="J194" s="411">
        <f t="shared" si="54"/>
        <v>58903</v>
      </c>
      <c r="K194" s="338">
        <f t="shared" si="55"/>
        <v>55450</v>
      </c>
      <c r="L194" s="441">
        <f t="shared" si="55"/>
        <v>51469</v>
      </c>
      <c r="M194" s="338">
        <f t="shared" si="56"/>
        <v>50571</v>
      </c>
      <c r="N194" s="441">
        <f t="shared" si="56"/>
        <v>47508</v>
      </c>
      <c r="O194" s="442"/>
      <c r="P194" s="443"/>
    </row>
    <row r="195" spans="1:16" ht="19.5" customHeight="1">
      <c r="A195" s="283"/>
      <c r="B195" s="297" t="s">
        <v>360</v>
      </c>
      <c r="C195" s="338">
        <f t="shared" si="48"/>
        <v>81205</v>
      </c>
      <c r="D195" s="338">
        <f t="shared" si="49"/>
        <v>71418</v>
      </c>
      <c r="E195" s="338">
        <f t="shared" si="50"/>
        <v>74936</v>
      </c>
      <c r="F195" s="338">
        <f t="shared" si="51"/>
        <v>65123</v>
      </c>
      <c r="G195" s="338">
        <f t="shared" si="52"/>
        <v>63506</v>
      </c>
      <c r="H195" s="411">
        <f t="shared" si="52"/>
        <v>55650</v>
      </c>
      <c r="I195" s="338">
        <f t="shared" si="53"/>
        <v>66001</v>
      </c>
      <c r="J195" s="411">
        <f t="shared" si="54"/>
        <v>59275</v>
      </c>
      <c r="K195" s="338">
        <f t="shared" si="55"/>
        <v>64426</v>
      </c>
      <c r="L195" s="441">
        <f t="shared" si="55"/>
        <v>58833</v>
      </c>
      <c r="M195" s="338">
        <f t="shared" si="56"/>
        <v>55359</v>
      </c>
      <c r="N195" s="441">
        <f t="shared" si="56"/>
        <v>51419</v>
      </c>
      <c r="O195" s="442"/>
      <c r="P195" s="443"/>
    </row>
    <row r="196" spans="1:16" ht="19.5" customHeight="1">
      <c r="A196" s="283"/>
      <c r="B196" s="297" t="s">
        <v>361</v>
      </c>
      <c r="C196" s="338">
        <f t="shared" si="48"/>
        <v>86446</v>
      </c>
      <c r="D196" s="338">
        <f t="shared" si="49"/>
        <v>75938</v>
      </c>
      <c r="E196" s="338">
        <f t="shared" si="50"/>
        <v>80770</v>
      </c>
      <c r="F196" s="338">
        <f t="shared" si="51"/>
        <v>71199</v>
      </c>
      <c r="G196" s="338">
        <f t="shared" si="52"/>
        <v>74597</v>
      </c>
      <c r="H196" s="411">
        <f t="shared" si="52"/>
        <v>64956</v>
      </c>
      <c r="I196" s="338">
        <f t="shared" si="53"/>
        <v>63267</v>
      </c>
      <c r="J196" s="411">
        <f t="shared" si="54"/>
        <v>55531</v>
      </c>
      <c r="K196" s="338">
        <f t="shared" si="55"/>
        <v>65794</v>
      </c>
      <c r="L196" s="441">
        <f t="shared" si="55"/>
        <v>59169</v>
      </c>
      <c r="M196" s="338">
        <f t="shared" si="56"/>
        <v>64255</v>
      </c>
      <c r="N196" s="441">
        <f t="shared" si="56"/>
        <v>58745</v>
      </c>
      <c r="O196" s="442"/>
      <c r="P196" s="443"/>
    </row>
    <row r="197" spans="1:16" ht="19.5" customHeight="1">
      <c r="A197" s="283"/>
      <c r="B197" s="297" t="s">
        <v>362</v>
      </c>
      <c r="C197" s="338">
        <f t="shared" si="48"/>
        <v>87171</v>
      </c>
      <c r="D197" s="338">
        <f t="shared" si="49"/>
        <v>76765</v>
      </c>
      <c r="E197" s="338">
        <f t="shared" si="50"/>
        <v>85658</v>
      </c>
      <c r="F197" s="338">
        <f t="shared" si="51"/>
        <v>75664</v>
      </c>
      <c r="G197" s="338">
        <f t="shared" si="52"/>
        <v>80143</v>
      </c>
      <c r="H197" s="411">
        <f t="shared" si="52"/>
        <v>70981</v>
      </c>
      <c r="I197" s="338">
        <f t="shared" si="53"/>
        <v>74109</v>
      </c>
      <c r="J197" s="411">
        <f t="shared" si="54"/>
        <v>64789</v>
      </c>
      <c r="K197" s="338">
        <f t="shared" si="55"/>
        <v>62918</v>
      </c>
      <c r="L197" s="441">
        <f t="shared" si="55"/>
        <v>55410</v>
      </c>
      <c r="M197" s="338">
        <f t="shared" si="56"/>
        <v>65484</v>
      </c>
      <c r="N197" s="441">
        <f t="shared" si="56"/>
        <v>59060</v>
      </c>
      <c r="O197" s="442"/>
      <c r="P197" s="443"/>
    </row>
    <row r="198" spans="1:16" ht="19.5" customHeight="1">
      <c r="A198" s="283"/>
      <c r="B198" s="297" t="s">
        <v>363</v>
      </c>
      <c r="C198" s="338">
        <f t="shared" si="48"/>
        <v>85412</v>
      </c>
      <c r="D198" s="338">
        <f t="shared" si="49"/>
        <v>77481</v>
      </c>
      <c r="E198" s="338">
        <f t="shared" si="50"/>
        <v>85921</v>
      </c>
      <c r="F198" s="338">
        <f t="shared" si="51"/>
        <v>76347</v>
      </c>
      <c r="G198" s="338">
        <f t="shared" si="52"/>
        <v>84604</v>
      </c>
      <c r="H198" s="411">
        <f t="shared" si="52"/>
        <v>75313</v>
      </c>
      <c r="I198" s="338">
        <f t="shared" si="53"/>
        <v>79306</v>
      </c>
      <c r="J198" s="411">
        <f t="shared" si="54"/>
        <v>70702</v>
      </c>
      <c r="K198" s="338">
        <f t="shared" si="55"/>
        <v>73452</v>
      </c>
      <c r="L198" s="441">
        <f t="shared" si="55"/>
        <v>64573</v>
      </c>
      <c r="M198" s="338">
        <f t="shared" si="56"/>
        <v>62437</v>
      </c>
      <c r="N198" s="441">
        <f t="shared" si="56"/>
        <v>55252</v>
      </c>
      <c r="O198" s="442"/>
      <c r="P198" s="443"/>
    </row>
    <row r="199" spans="1:16" ht="19.5" customHeight="1">
      <c r="A199" s="283"/>
      <c r="B199" s="297" t="s">
        <v>364</v>
      </c>
      <c r="C199" s="338">
        <f t="shared" si="48"/>
        <v>76089</v>
      </c>
      <c r="D199" s="338">
        <f t="shared" si="49"/>
        <v>72421</v>
      </c>
      <c r="E199" s="338">
        <f t="shared" si="50"/>
        <v>83585</v>
      </c>
      <c r="F199" s="338">
        <f t="shared" si="51"/>
        <v>76884</v>
      </c>
      <c r="G199" s="338">
        <f t="shared" si="52"/>
        <v>84345</v>
      </c>
      <c r="H199" s="411">
        <f t="shared" si="52"/>
        <v>75845</v>
      </c>
      <c r="I199" s="338">
        <f t="shared" si="53"/>
        <v>83287</v>
      </c>
      <c r="J199" s="411">
        <f t="shared" si="54"/>
        <v>74894</v>
      </c>
      <c r="K199" s="338">
        <f t="shared" si="55"/>
        <v>78258</v>
      </c>
      <c r="L199" s="441">
        <f t="shared" si="55"/>
        <v>70368</v>
      </c>
      <c r="M199" s="338">
        <f t="shared" si="56"/>
        <v>72618</v>
      </c>
      <c r="N199" s="441">
        <f t="shared" si="56"/>
        <v>64312</v>
      </c>
      <c r="O199" s="442"/>
      <c r="P199" s="443"/>
    </row>
    <row r="200" spans="1:16" ht="19.5" customHeight="1">
      <c r="A200" s="283"/>
      <c r="B200" s="297" t="s">
        <v>365</v>
      </c>
      <c r="C200" s="338">
        <f t="shared" si="48"/>
        <v>57453</v>
      </c>
      <c r="D200" s="338">
        <f t="shared" si="49"/>
        <v>58080</v>
      </c>
      <c r="E200" s="338">
        <f t="shared" si="50"/>
        <v>73841</v>
      </c>
      <c r="F200" s="338">
        <f t="shared" si="51"/>
        <v>71695</v>
      </c>
      <c r="G200" s="338">
        <f t="shared" si="52"/>
        <v>81466</v>
      </c>
      <c r="H200" s="411">
        <f t="shared" si="52"/>
        <v>76225</v>
      </c>
      <c r="I200" s="338">
        <f t="shared" si="53"/>
        <v>82530</v>
      </c>
      <c r="J200" s="411">
        <f t="shared" si="54"/>
        <v>75294</v>
      </c>
      <c r="K200" s="338">
        <f t="shared" si="55"/>
        <v>81765</v>
      </c>
      <c r="L200" s="441">
        <f t="shared" si="55"/>
        <v>74433</v>
      </c>
      <c r="M200" s="338">
        <f t="shared" si="56"/>
        <v>77025</v>
      </c>
      <c r="N200" s="441">
        <f t="shared" si="56"/>
        <v>69996</v>
      </c>
      <c r="O200" s="442"/>
      <c r="P200" s="443"/>
    </row>
    <row r="201" spans="1:16" ht="19.5" customHeight="1">
      <c r="A201" s="283"/>
      <c r="B201" s="297" t="s">
        <v>366</v>
      </c>
      <c r="C201" s="338">
        <f t="shared" si="48"/>
        <v>43501</v>
      </c>
      <c r="D201" s="338">
        <f t="shared" si="49"/>
        <v>46908</v>
      </c>
      <c r="E201" s="338">
        <f t="shared" si="50"/>
        <v>55007</v>
      </c>
      <c r="F201" s="338">
        <f t="shared" si="51"/>
        <v>57184</v>
      </c>
      <c r="G201" s="338">
        <f t="shared" si="52"/>
        <v>71132</v>
      </c>
      <c r="H201" s="411">
        <f t="shared" si="52"/>
        <v>70747</v>
      </c>
      <c r="I201" s="338">
        <f t="shared" si="53"/>
        <v>78919</v>
      </c>
      <c r="J201" s="411">
        <f t="shared" si="54"/>
        <v>75368</v>
      </c>
      <c r="K201" s="338">
        <f t="shared" si="55"/>
        <v>80328</v>
      </c>
      <c r="L201" s="441">
        <f t="shared" si="55"/>
        <v>74573</v>
      </c>
      <c r="M201" s="338">
        <f t="shared" si="56"/>
        <v>79880</v>
      </c>
      <c r="N201" s="441">
        <f t="shared" si="56"/>
        <v>73820</v>
      </c>
      <c r="O201" s="442"/>
      <c r="P201" s="443"/>
    </row>
    <row r="202" spans="1:16" ht="19.5" customHeight="1">
      <c r="A202" s="283"/>
      <c r="B202" s="297" t="s">
        <v>367</v>
      </c>
      <c r="C202" s="338">
        <f t="shared" si="48"/>
        <v>37484</v>
      </c>
      <c r="D202" s="338">
        <f t="shared" si="49"/>
        <v>47174</v>
      </c>
      <c r="E202" s="338">
        <f t="shared" si="50"/>
        <v>40442</v>
      </c>
      <c r="F202" s="338">
        <f t="shared" si="51"/>
        <v>45619</v>
      </c>
      <c r="G202" s="338">
        <f t="shared" si="52"/>
        <v>51616</v>
      </c>
      <c r="H202" s="411">
        <f t="shared" si="52"/>
        <v>55814</v>
      </c>
      <c r="I202" s="338">
        <f t="shared" si="53"/>
        <v>67322</v>
      </c>
      <c r="J202" s="411">
        <f t="shared" si="54"/>
        <v>69280</v>
      </c>
      <c r="K202" s="338">
        <f t="shared" si="55"/>
        <v>75245</v>
      </c>
      <c r="L202" s="441">
        <f t="shared" si="55"/>
        <v>74013</v>
      </c>
      <c r="M202" s="338">
        <f t="shared" si="56"/>
        <v>77044</v>
      </c>
      <c r="N202" s="441">
        <f t="shared" si="56"/>
        <v>73400</v>
      </c>
      <c r="O202" s="442"/>
      <c r="P202" s="443"/>
    </row>
    <row r="203" spans="1:16" ht="19.5" customHeight="1">
      <c r="A203" s="283"/>
      <c r="B203" s="297" t="s">
        <v>369</v>
      </c>
      <c r="C203" s="338">
        <f t="shared" si="48"/>
        <v>30933</v>
      </c>
      <c r="D203" s="338">
        <f t="shared" si="49"/>
        <v>45554</v>
      </c>
      <c r="E203" s="338">
        <f t="shared" si="50"/>
        <v>33236</v>
      </c>
      <c r="F203" s="338">
        <f t="shared" si="51"/>
        <v>44758</v>
      </c>
      <c r="G203" s="338">
        <f t="shared" si="52"/>
        <v>36335</v>
      </c>
      <c r="H203" s="411">
        <f t="shared" si="52"/>
        <v>43536</v>
      </c>
      <c r="I203" s="338">
        <f t="shared" si="53"/>
        <v>46958</v>
      </c>
      <c r="J203" s="411">
        <f t="shared" si="54"/>
        <v>53557</v>
      </c>
      <c r="K203" s="338">
        <f t="shared" si="55"/>
        <v>61920</v>
      </c>
      <c r="L203" s="441">
        <f t="shared" si="55"/>
        <v>66796</v>
      </c>
      <c r="M203" s="338">
        <f t="shared" si="56"/>
        <v>69828</v>
      </c>
      <c r="N203" s="441">
        <f t="shared" si="56"/>
        <v>71644</v>
      </c>
      <c r="O203" s="442"/>
      <c r="P203" s="443"/>
    </row>
    <row r="204" spans="1:16" ht="19.5" customHeight="1">
      <c r="A204" s="283"/>
      <c r="B204" s="297" t="s">
        <v>378</v>
      </c>
      <c r="C204" s="338">
        <f t="shared" si="48"/>
        <v>18895</v>
      </c>
      <c r="D204" s="338">
        <f t="shared" si="49"/>
        <v>32714</v>
      </c>
      <c r="E204" s="338">
        <f t="shared" si="50"/>
        <v>25344</v>
      </c>
      <c r="F204" s="338">
        <f t="shared" si="51"/>
        <v>41240</v>
      </c>
      <c r="G204" s="338">
        <f t="shared" si="52"/>
        <v>27735</v>
      </c>
      <c r="H204" s="411">
        <f t="shared" si="52"/>
        <v>40897</v>
      </c>
      <c r="I204" s="338">
        <f t="shared" si="53"/>
        <v>30862</v>
      </c>
      <c r="J204" s="411">
        <f t="shared" si="54"/>
        <v>40132</v>
      </c>
      <c r="K204" s="338">
        <f t="shared" si="55"/>
        <v>40522</v>
      </c>
      <c r="L204" s="441">
        <f t="shared" si="55"/>
        <v>49759</v>
      </c>
      <c r="M204" s="338">
        <f t="shared" si="56"/>
        <v>54139</v>
      </c>
      <c r="N204" s="441">
        <f t="shared" si="56"/>
        <v>62474</v>
      </c>
      <c r="O204" s="442"/>
      <c r="P204" s="443"/>
    </row>
    <row r="205" spans="1:16" ht="19.5" customHeight="1">
      <c r="A205" s="283"/>
      <c r="B205" s="309" t="s">
        <v>398</v>
      </c>
      <c r="C205" s="338">
        <f t="shared" si="48"/>
        <v>8945</v>
      </c>
      <c r="D205" s="338">
        <f t="shared" si="49"/>
        <v>20835</v>
      </c>
      <c r="E205" s="338">
        <f t="shared" si="50"/>
        <v>13614</v>
      </c>
      <c r="F205" s="338">
        <f t="shared" si="51"/>
        <v>27133</v>
      </c>
      <c r="G205" s="338">
        <f t="shared" si="52"/>
        <v>18706</v>
      </c>
      <c r="H205" s="411">
        <f t="shared" si="52"/>
        <v>34683</v>
      </c>
      <c r="I205" s="338">
        <f t="shared" si="53"/>
        <v>20959</v>
      </c>
      <c r="J205" s="411">
        <f t="shared" si="54"/>
        <v>34860</v>
      </c>
      <c r="K205" s="338">
        <f t="shared" ref="K205:L207" si="57">G152</f>
        <v>23836</v>
      </c>
      <c r="L205" s="441">
        <f t="shared" si="57"/>
        <v>34628</v>
      </c>
      <c r="M205" s="338">
        <f t="shared" ref="M205:N207" si="58">G178</f>
        <v>31873</v>
      </c>
      <c r="N205" s="441">
        <f t="shared" si="58"/>
        <v>43390</v>
      </c>
      <c r="O205" s="442"/>
      <c r="P205" s="443"/>
    </row>
    <row r="206" spans="1:16" ht="19.5" customHeight="1">
      <c r="A206" s="283"/>
      <c r="B206" s="297" t="s">
        <v>374</v>
      </c>
      <c r="C206" s="338">
        <f t="shared" si="48"/>
        <v>2454</v>
      </c>
      <c r="D206" s="338">
        <f t="shared" si="49"/>
        <v>6994</v>
      </c>
      <c r="E206" s="338">
        <f t="shared" si="50"/>
        <v>5242</v>
      </c>
      <c r="F206" s="338">
        <f t="shared" si="51"/>
        <v>14707</v>
      </c>
      <c r="G206" s="338">
        <f t="shared" si="52"/>
        <v>8216</v>
      </c>
      <c r="H206" s="411">
        <f t="shared" si="52"/>
        <v>19524</v>
      </c>
      <c r="I206" s="338">
        <f t="shared" si="53"/>
        <v>11627</v>
      </c>
      <c r="J206" s="411">
        <f t="shared" si="54"/>
        <v>25438</v>
      </c>
      <c r="K206" s="338">
        <f t="shared" si="57"/>
        <v>13392</v>
      </c>
      <c r="L206" s="441">
        <f t="shared" si="57"/>
        <v>26020</v>
      </c>
      <c r="M206" s="338">
        <f t="shared" si="58"/>
        <v>15595</v>
      </c>
      <c r="N206" s="441">
        <f t="shared" si="58"/>
        <v>26250</v>
      </c>
      <c r="O206" s="442"/>
      <c r="P206" s="443"/>
    </row>
    <row r="207" spans="1:16" ht="19.5" customHeight="1">
      <c r="A207" s="283"/>
      <c r="B207" s="309" t="s">
        <v>375</v>
      </c>
      <c r="C207" s="446">
        <f t="shared" si="48"/>
        <v>0</v>
      </c>
      <c r="D207" s="446">
        <f t="shared" si="49"/>
        <v>0</v>
      </c>
      <c r="E207" s="446">
        <f t="shared" si="50"/>
        <v>1040</v>
      </c>
      <c r="F207" s="446">
        <f t="shared" si="51"/>
        <v>3696</v>
      </c>
      <c r="G207" s="446">
        <f t="shared" si="52"/>
        <v>2571</v>
      </c>
      <c r="H207" s="447">
        <f t="shared" si="52"/>
        <v>9169</v>
      </c>
      <c r="I207" s="446">
        <f t="shared" si="53"/>
        <v>4424</v>
      </c>
      <c r="J207" s="447">
        <f t="shared" si="54"/>
        <v>13909</v>
      </c>
      <c r="K207" s="338">
        <f t="shared" si="57"/>
        <v>6679</v>
      </c>
      <c r="L207" s="470">
        <f t="shared" si="57"/>
        <v>19220</v>
      </c>
      <c r="M207" s="338">
        <f t="shared" si="58"/>
        <v>8366</v>
      </c>
      <c r="N207" s="470">
        <f t="shared" si="58"/>
        <v>21834</v>
      </c>
      <c r="O207" s="444"/>
      <c r="P207" s="445"/>
    </row>
    <row r="208" spans="1:16" ht="19.5" customHeight="1">
      <c r="A208" s="283"/>
      <c r="B208" s="449" t="s">
        <v>376</v>
      </c>
      <c r="C208" s="595">
        <f>SUM(C188:D207)</f>
        <v>2063551</v>
      </c>
      <c r="D208" s="595"/>
      <c r="E208" s="595">
        <f>SUM(E188:F207)</f>
        <v>2107524</v>
      </c>
      <c r="F208" s="595"/>
      <c r="G208" s="595">
        <f>SUM(G188:H207)</f>
        <v>2135448</v>
      </c>
      <c r="H208" s="595"/>
      <c r="I208" s="595">
        <f>SUM(I188:J207)</f>
        <v>2152277</v>
      </c>
      <c r="J208" s="595"/>
      <c r="K208" s="595">
        <f>SUM(K188:L207)</f>
        <v>2157798</v>
      </c>
      <c r="L208" s="595"/>
      <c r="M208" s="595">
        <f>SUM(M188:N207)</f>
        <v>2149189</v>
      </c>
      <c r="N208" s="595"/>
      <c r="O208" s="450"/>
      <c r="P208" s="451"/>
    </row>
    <row r="209" spans="1:16" ht="19.5" customHeight="1" thickBot="1">
      <c r="A209" s="283"/>
      <c r="B209" s="452" t="s">
        <v>399</v>
      </c>
      <c r="C209" s="590">
        <f>ROUND(C208,-2)</f>
        <v>2063600</v>
      </c>
      <c r="D209" s="590"/>
      <c r="E209" s="590">
        <f>ROUND(E208,-2)</f>
        <v>2107500</v>
      </c>
      <c r="F209" s="590"/>
      <c r="G209" s="590">
        <f>ROUNDUP(G208,-2)</f>
        <v>2135500</v>
      </c>
      <c r="H209" s="590"/>
      <c r="I209" s="590">
        <f>ROUNDUP(I208,-2)</f>
        <v>2152300</v>
      </c>
      <c r="J209" s="590"/>
      <c r="K209" s="590">
        <f>ROUNDUP(K208,-2)</f>
        <v>2157800</v>
      </c>
      <c r="L209" s="590"/>
      <c r="M209" s="590">
        <f>ROUNDUP(M208,-2)</f>
        <v>2149200</v>
      </c>
      <c r="N209" s="590"/>
      <c r="O209" s="453"/>
      <c r="P209" s="454"/>
    </row>
    <row r="210" spans="1:16" ht="20.100000000000001" customHeight="1"/>
    <row r="211" spans="1:16" ht="18" customHeight="1"/>
    <row r="212" spans="1:16" ht="18" customHeight="1"/>
    <row r="213" spans="1:16" ht="18" customHeight="1"/>
    <row r="214" spans="1:16" ht="18" customHeight="1"/>
    <row r="215" spans="1:16" ht="18" customHeight="1"/>
    <row r="216" spans="1:16" ht="18" customHeight="1"/>
    <row r="217" spans="1:16" ht="18" customHeight="1"/>
    <row r="218" spans="1:16" ht="18" customHeight="1"/>
    <row r="219" spans="1:16" ht="18" customHeight="1"/>
    <row r="220" spans="1:16" ht="18" customHeight="1"/>
    <row r="221" spans="1:16" ht="18" customHeight="1"/>
    <row r="222" spans="1:16" ht="18" customHeight="1"/>
    <row r="223" spans="1:16" ht="18" customHeight="1"/>
    <row r="224" spans="1:16" ht="18" customHeight="1"/>
    <row r="225" ht="18" customHeight="1"/>
    <row r="226" ht="18" customHeight="1"/>
    <row r="227" ht="18" customHeight="1"/>
    <row r="228" ht="18" customHeight="1"/>
    <row r="229" ht="18" customHeight="1"/>
    <row r="230" ht="18" customHeight="1"/>
    <row r="231" ht="18" customHeight="1"/>
    <row r="232" ht="18" customHeight="1"/>
    <row r="233" ht="18" customHeight="1"/>
    <row r="234" ht="18" customHeight="1"/>
    <row r="235" ht="18" customHeight="1"/>
    <row r="236" ht="18" customHeight="1"/>
    <row r="237" ht="18" customHeight="1"/>
    <row r="238" ht="18" customHeight="1"/>
    <row r="239" ht="18" customHeight="1"/>
    <row r="240" ht="18" customHeight="1"/>
    <row r="241" ht="18" customHeight="1"/>
    <row r="242" ht="18" customHeight="1"/>
    <row r="243" ht="18" customHeight="1"/>
    <row r="244" ht="18" customHeight="1"/>
    <row r="245" ht="18" customHeight="1"/>
    <row r="246" ht="18" customHeight="1"/>
    <row r="247" ht="18" customHeight="1"/>
    <row r="248" ht="18" customHeight="1"/>
    <row r="249" ht="18" customHeight="1"/>
    <row r="250" ht="18" customHeight="1"/>
    <row r="251" ht="18" customHeight="1"/>
    <row r="252" ht="18" customHeight="1"/>
    <row r="253" ht="18" customHeight="1"/>
    <row r="254" ht="18" customHeight="1"/>
    <row r="255" ht="18" customHeight="1"/>
    <row r="256" ht="18" customHeight="1"/>
    <row r="257" ht="18" customHeight="1"/>
    <row r="258" ht="18" customHeight="1"/>
    <row r="259" ht="18" customHeight="1"/>
    <row r="260" ht="18" customHeight="1"/>
    <row r="261" ht="18" customHeight="1"/>
    <row r="262" ht="18" customHeight="1"/>
    <row r="263" ht="18" customHeight="1"/>
    <row r="264" ht="18" customHeight="1"/>
    <row r="265" ht="18" customHeight="1"/>
    <row r="266" ht="18" customHeight="1"/>
    <row r="267" ht="18" customHeight="1"/>
    <row r="268" ht="18" customHeight="1"/>
    <row r="269" ht="18" customHeight="1"/>
    <row r="270" ht="18" customHeight="1"/>
    <row r="271" ht="18" customHeight="1"/>
    <row r="272" ht="18" customHeight="1"/>
    <row r="273" ht="18" customHeight="1"/>
    <row r="274" ht="18" customHeight="1"/>
    <row r="275" ht="18" customHeight="1"/>
    <row r="276" ht="18" customHeight="1"/>
    <row r="277" ht="18" customHeight="1"/>
    <row r="278" ht="18" customHeight="1"/>
    <row r="279" ht="18" customHeight="1"/>
    <row r="280" ht="18" customHeight="1"/>
    <row r="281" ht="18" customHeight="1"/>
    <row r="282" ht="18" customHeight="1"/>
    <row r="283" ht="18" customHeight="1"/>
    <row r="284" ht="18" customHeight="1"/>
    <row r="285" ht="18" customHeight="1"/>
    <row r="286" ht="18" customHeight="1"/>
    <row r="287" ht="18" customHeight="1"/>
    <row r="288" ht="18" customHeight="1"/>
    <row r="289" ht="18" customHeight="1"/>
    <row r="290" ht="18" customHeight="1"/>
    <row r="291" ht="18" customHeight="1"/>
    <row r="292" ht="18" customHeight="1"/>
    <row r="293" ht="18" customHeight="1"/>
    <row r="294" ht="18" customHeight="1"/>
    <row r="295" ht="18" customHeight="1"/>
    <row r="296" ht="18" customHeight="1"/>
    <row r="297" ht="18" customHeight="1"/>
    <row r="298" ht="18" customHeight="1"/>
    <row r="299" ht="18" customHeight="1"/>
    <row r="300" ht="18" customHeight="1"/>
    <row r="301" ht="18" customHeight="1"/>
    <row r="302" ht="18" customHeight="1"/>
    <row r="303" ht="18" customHeight="1"/>
    <row r="304" ht="18" customHeight="1"/>
    <row r="305" ht="18" customHeight="1"/>
    <row r="306" ht="18" customHeight="1"/>
    <row r="307" ht="18" customHeight="1"/>
    <row r="308" ht="18" customHeight="1"/>
    <row r="309" ht="18" customHeight="1"/>
    <row r="310" ht="18" customHeight="1"/>
    <row r="311" ht="18" customHeight="1"/>
    <row r="312" ht="18" customHeight="1"/>
    <row r="313" ht="18" customHeight="1"/>
    <row r="314" ht="18" customHeight="1"/>
    <row r="315" ht="18" customHeight="1"/>
    <row r="316" ht="18" customHeight="1"/>
    <row r="317" ht="18" customHeight="1"/>
    <row r="318" ht="18" customHeight="1"/>
    <row r="319" ht="18" customHeight="1"/>
    <row r="320" ht="18" customHeight="1"/>
    <row r="321" ht="18" customHeight="1"/>
    <row r="322" ht="18" customHeight="1"/>
    <row r="323" ht="18" customHeight="1"/>
    <row r="324" ht="18" customHeight="1"/>
  </sheetData>
  <mergeCells count="79">
    <mergeCell ref="E107:F107"/>
    <mergeCell ref="G107:H107"/>
    <mergeCell ref="B159:B160"/>
    <mergeCell ref="C159:D159"/>
    <mergeCell ref="E159:F159"/>
    <mergeCell ref="G159:H159"/>
    <mergeCell ref="B129:B130"/>
    <mergeCell ref="C130:D130"/>
    <mergeCell ref="B155:B156"/>
    <mergeCell ref="J159:L159"/>
    <mergeCell ref="I186:J186"/>
    <mergeCell ref="I159:I160"/>
    <mergeCell ref="G208:H208"/>
    <mergeCell ref="B133:B134"/>
    <mergeCell ref="C133:D133"/>
    <mergeCell ref="E133:F133"/>
    <mergeCell ref="B181:B182"/>
    <mergeCell ref="C208:D208"/>
    <mergeCell ref="E208:F208"/>
    <mergeCell ref="C156:D156"/>
    <mergeCell ref="G156:H156"/>
    <mergeCell ref="C182:D182"/>
    <mergeCell ref="G182:H182"/>
    <mergeCell ref="J81:L81"/>
    <mergeCell ref="G104:H104"/>
    <mergeCell ref="G133:H133"/>
    <mergeCell ref="G130:H130"/>
    <mergeCell ref="G81:H81"/>
    <mergeCell ref="I107:I108"/>
    <mergeCell ref="J107:L107"/>
    <mergeCell ref="I133:I134"/>
    <mergeCell ref="B2:D2"/>
    <mergeCell ref="B3:B4"/>
    <mergeCell ref="C3:E3"/>
    <mergeCell ref="C52:D52"/>
    <mergeCell ref="G29:H29"/>
    <mergeCell ref="B29:B30"/>
    <mergeCell ref="C29:D29"/>
    <mergeCell ref="B51:B52"/>
    <mergeCell ref="J29:L29"/>
    <mergeCell ref="I29:I30"/>
    <mergeCell ref="E29:F29"/>
    <mergeCell ref="G52:H52"/>
    <mergeCell ref="I55:I56"/>
    <mergeCell ref="J55:L55"/>
    <mergeCell ref="G55:H55"/>
    <mergeCell ref="E55:F55"/>
    <mergeCell ref="B81:B82"/>
    <mergeCell ref="P3:P4"/>
    <mergeCell ref="Q3:S3"/>
    <mergeCell ref="J133:L133"/>
    <mergeCell ref="B55:B56"/>
    <mergeCell ref="C55:D55"/>
    <mergeCell ref="G78:H78"/>
    <mergeCell ref="I81:I82"/>
    <mergeCell ref="B107:B108"/>
    <mergeCell ref="C107:D107"/>
    <mergeCell ref="B103:B104"/>
    <mergeCell ref="C104:D104"/>
    <mergeCell ref="C81:D81"/>
    <mergeCell ref="E81:F81"/>
    <mergeCell ref="B77:B78"/>
    <mergeCell ref="C78:D78"/>
    <mergeCell ref="O186:P187"/>
    <mergeCell ref="C209:D209"/>
    <mergeCell ref="B186:B187"/>
    <mergeCell ref="C186:D186"/>
    <mergeCell ref="M208:N208"/>
    <mergeCell ref="K209:L209"/>
    <mergeCell ref="M209:N209"/>
    <mergeCell ref="K208:L208"/>
    <mergeCell ref="E186:F186"/>
    <mergeCell ref="E209:F209"/>
    <mergeCell ref="G209:H209"/>
    <mergeCell ref="G186:H186"/>
    <mergeCell ref="I209:J209"/>
    <mergeCell ref="I208:J208"/>
    <mergeCell ref="K186:L186"/>
    <mergeCell ref="M186:N186"/>
  </mergeCells>
  <phoneticPr fontId="10" type="noConversion"/>
  <printOptions horizontalCentered="1"/>
  <pageMargins left="0.39370078740157483" right="0.39370078740157483" top="0.39370078740157483" bottom="0.39370078740157483" header="0" footer="0"/>
  <pageSetup paperSize="9" scale="94" orientation="landscape" r:id="rId1"/>
  <headerFooter alignWithMargins="0"/>
  <rowBreaks count="7" manualBreakCount="7">
    <brk id="27" max="13" man="1"/>
    <brk id="53" max="13" man="1"/>
    <brk id="79" max="13" man="1"/>
    <brk id="105" max="13" man="1"/>
    <brk id="131" max="13" man="1"/>
    <brk id="157" max="13" man="1"/>
    <brk id="183" max="13" man="1"/>
  </rowBreaks>
</worksheet>
</file>

<file path=xl/worksheets/sheet35.xml><?xml version="1.0" encoding="utf-8"?>
<worksheet xmlns="http://schemas.openxmlformats.org/spreadsheetml/2006/main" xmlns:r="http://schemas.openxmlformats.org/officeDocument/2006/relationships">
  <sheetPr codeName="Sheet15">
    <tabColor rgb="FF92D050"/>
  </sheetPr>
  <dimension ref="A1:V318"/>
  <sheetViews>
    <sheetView topLeftCell="A221" workbookViewId="0">
      <selection activeCell="C234" sqref="C234:J234"/>
    </sheetView>
  </sheetViews>
  <sheetFormatPr defaultRowHeight="13.5"/>
  <cols>
    <col min="1" max="1" width="4.33203125" customWidth="1"/>
    <col min="2" max="2" width="9.5546875" customWidth="1"/>
    <col min="3" max="5" width="9.5546875" style="8" customWidth="1"/>
    <col min="6" max="14" width="9.5546875" customWidth="1"/>
    <col min="15" max="16" width="10.33203125" customWidth="1"/>
  </cols>
  <sheetData>
    <row r="1" spans="1:22" ht="20.100000000000001" customHeight="1">
      <c r="A1" s="435" t="s">
        <v>1057</v>
      </c>
      <c r="B1" s="283"/>
      <c r="C1" s="284"/>
      <c r="D1" s="284"/>
      <c r="E1" s="284"/>
      <c r="F1" s="283"/>
      <c r="G1" s="283"/>
      <c r="H1" s="283"/>
      <c r="I1" s="283"/>
      <c r="J1" s="283"/>
      <c r="K1" s="283"/>
      <c r="L1" s="283"/>
    </row>
    <row r="2" spans="1:22" ht="20.100000000000001" customHeight="1" thickBot="1">
      <c r="A2" s="283"/>
      <c r="B2" s="606" t="s">
        <v>618</v>
      </c>
      <c r="C2" s="606"/>
      <c r="D2" s="606"/>
      <c r="E2" s="286"/>
      <c r="F2" s="287"/>
      <c r="G2" s="285" t="s">
        <v>343</v>
      </c>
      <c r="H2" s="287"/>
      <c r="I2" s="287"/>
      <c r="J2" s="287"/>
      <c r="K2" s="288"/>
      <c r="L2" s="287"/>
    </row>
    <row r="3" spans="1:22" ht="20.100000000000001" customHeight="1" thickBot="1">
      <c r="A3" s="283"/>
      <c r="B3" s="597" t="s">
        <v>344</v>
      </c>
      <c r="C3" s="596" t="s">
        <v>41</v>
      </c>
      <c r="D3" s="596"/>
      <c r="E3" s="599"/>
      <c r="F3" s="286"/>
      <c r="G3" s="287" t="s">
        <v>604</v>
      </c>
      <c r="H3" s="290"/>
      <c r="I3" s="286"/>
      <c r="J3" s="286"/>
      <c r="K3" s="291"/>
      <c r="L3" s="291"/>
      <c r="P3" s="597" t="s">
        <v>2</v>
      </c>
      <c r="Q3" s="596" t="s">
        <v>1069</v>
      </c>
      <c r="R3" s="596"/>
      <c r="S3" s="599"/>
      <c r="T3" s="596" t="s">
        <v>1068</v>
      </c>
      <c r="U3" s="596"/>
      <c r="V3" s="599"/>
    </row>
    <row r="4" spans="1:22" ht="20.100000000000001" customHeight="1" thickBot="1">
      <c r="A4" s="283"/>
      <c r="B4" s="598"/>
      <c r="C4" s="417" t="s">
        <v>345</v>
      </c>
      <c r="D4" s="417" t="s">
        <v>346</v>
      </c>
      <c r="E4" s="418" t="s">
        <v>347</v>
      </c>
      <c r="F4" s="286"/>
      <c r="G4" s="419" t="s">
        <v>348</v>
      </c>
      <c r="H4" s="420" t="s">
        <v>349</v>
      </c>
      <c r="I4" s="420" t="s">
        <v>350</v>
      </c>
      <c r="J4" s="420" t="s">
        <v>351</v>
      </c>
      <c r="K4" s="421" t="s">
        <v>352</v>
      </c>
      <c r="L4" s="421" t="s">
        <v>118</v>
      </c>
      <c r="M4" s="492" t="s">
        <v>588</v>
      </c>
      <c r="N4" s="464" t="s">
        <v>589</v>
      </c>
      <c r="P4" s="598"/>
      <c r="Q4" s="417" t="s">
        <v>4</v>
      </c>
      <c r="R4" s="417" t="s">
        <v>5</v>
      </c>
      <c r="S4" s="418" t="s">
        <v>6</v>
      </c>
      <c r="T4" s="417" t="s">
        <v>4</v>
      </c>
      <c r="U4" s="417" t="s">
        <v>5</v>
      </c>
      <c r="V4" s="418" t="s">
        <v>6</v>
      </c>
    </row>
    <row r="5" spans="1:22" ht="20.100000000000001" customHeight="1" thickTop="1">
      <c r="A5" s="283"/>
      <c r="B5" s="292" t="s">
        <v>353</v>
      </c>
      <c r="C5" s="293">
        <f t="shared" ref="C5:C25" si="0">SUM(D5:E5)</f>
        <v>4384</v>
      </c>
      <c r="D5" s="293">
        <f>R5</f>
        <v>2253</v>
      </c>
      <c r="E5" s="294">
        <f>S5</f>
        <v>2131</v>
      </c>
      <c r="F5" s="544">
        <f>C5/$C$25</f>
        <v>3.4836782047614506E-2</v>
      </c>
      <c r="G5" s="292" t="s">
        <v>354</v>
      </c>
      <c r="H5" s="295">
        <f>'2.출산률'!B5</f>
        <v>2.65</v>
      </c>
      <c r="I5" s="295">
        <f>'2.출산률'!C5</f>
        <v>1.68</v>
      </c>
      <c r="J5" s="295">
        <f>'2.출산률'!D5</f>
        <v>1.91</v>
      </c>
      <c r="K5" s="408">
        <f>'2.출산률'!E5</f>
        <v>2.21</v>
      </c>
      <c r="L5" s="408">
        <f>'2.출산률'!F5</f>
        <v>2.36</v>
      </c>
      <c r="M5" s="493">
        <f>'2.출산률'!G5</f>
        <v>2.46</v>
      </c>
      <c r="N5" s="465">
        <f>'2.출산률'!H5</f>
        <v>2.5099999999999998</v>
      </c>
      <c r="P5" s="292" t="s">
        <v>12</v>
      </c>
      <c r="Q5" s="293">
        <f t="shared" ref="Q5:Q22" si="1">SUM(R5:S5)</f>
        <v>4384</v>
      </c>
      <c r="R5" s="293">
        <v>2253</v>
      </c>
      <c r="S5" s="294">
        <v>2131</v>
      </c>
      <c r="T5" s="293">
        <f t="shared" ref="T5:T22" si="2">SUM(U5:V5)</f>
        <v>8</v>
      </c>
      <c r="U5" s="293">
        <v>4</v>
      </c>
      <c r="V5" s="294">
        <v>4</v>
      </c>
    </row>
    <row r="6" spans="1:22" ht="20.100000000000001" customHeight="1">
      <c r="A6" s="283"/>
      <c r="B6" s="297" t="s">
        <v>355</v>
      </c>
      <c r="C6" s="298">
        <f t="shared" si="0"/>
        <v>4998</v>
      </c>
      <c r="D6" s="293">
        <f t="shared" ref="D6:D22" si="3">R6</f>
        <v>2548</v>
      </c>
      <c r="E6" s="294">
        <f t="shared" ref="E6:E22" si="4">S6</f>
        <v>2450</v>
      </c>
      <c r="F6" s="544">
        <f t="shared" ref="F6:F21" si="5">C6/$C$25</f>
        <v>3.9715838657385337E-2</v>
      </c>
      <c r="G6" s="297" t="s">
        <v>356</v>
      </c>
      <c r="H6" s="295">
        <f>'2.출산률'!B6</f>
        <v>29.89</v>
      </c>
      <c r="I6" s="295">
        <f>'2.출산률'!C6</f>
        <v>25.44</v>
      </c>
      <c r="J6" s="295">
        <f>'2.출산률'!D6</f>
        <v>24.48</v>
      </c>
      <c r="K6" s="408">
        <f>'2.출산률'!E6</f>
        <v>24.69</v>
      </c>
      <c r="L6" s="408">
        <f>'2.출산률'!F6</f>
        <v>25</v>
      </c>
      <c r="M6" s="493">
        <f>'2.출산률'!G6</f>
        <v>25.25</v>
      </c>
      <c r="N6" s="465">
        <f>'2.출산률'!H6</f>
        <v>25.44</v>
      </c>
      <c r="P6" s="297" t="s">
        <v>13</v>
      </c>
      <c r="Q6" s="298">
        <f t="shared" si="1"/>
        <v>4998</v>
      </c>
      <c r="R6" s="293">
        <v>2548</v>
      </c>
      <c r="S6" s="294">
        <v>2450</v>
      </c>
      <c r="T6" s="298">
        <f t="shared" si="2"/>
        <v>5</v>
      </c>
      <c r="U6" s="293">
        <v>3</v>
      </c>
      <c r="V6" s="294">
        <v>2</v>
      </c>
    </row>
    <row r="7" spans="1:22" ht="20.100000000000001" customHeight="1">
      <c r="A7" s="283"/>
      <c r="B7" s="297" t="s">
        <v>357</v>
      </c>
      <c r="C7" s="298">
        <f t="shared" si="0"/>
        <v>6175</v>
      </c>
      <c r="D7" s="293">
        <f t="shared" si="3"/>
        <v>3222</v>
      </c>
      <c r="E7" s="294">
        <f t="shared" si="4"/>
        <v>2953</v>
      </c>
      <c r="F7" s="544">
        <f t="shared" si="5"/>
        <v>4.9068688217157749E-2</v>
      </c>
      <c r="G7" s="297" t="s">
        <v>358</v>
      </c>
      <c r="H7" s="295">
        <f>'2.출산률'!B7</f>
        <v>114.15</v>
      </c>
      <c r="I7" s="295">
        <f>'2.출산률'!C7</f>
        <v>102.3</v>
      </c>
      <c r="J7" s="295">
        <f>'2.출산률'!D7</f>
        <v>96.09</v>
      </c>
      <c r="K7" s="408">
        <f>'2.출산률'!E7</f>
        <v>92.68</v>
      </c>
      <c r="L7" s="408">
        <f>'2.출산률'!F7</f>
        <v>92.03</v>
      </c>
      <c r="M7" s="493">
        <f>'2.출산률'!G7</f>
        <v>91.8</v>
      </c>
      <c r="N7" s="465">
        <f>'2.출산률'!H7</f>
        <v>91.88</v>
      </c>
      <c r="P7" s="297" t="s">
        <v>15</v>
      </c>
      <c r="Q7" s="298">
        <f t="shared" si="1"/>
        <v>6175</v>
      </c>
      <c r="R7" s="293">
        <v>3222</v>
      </c>
      <c r="S7" s="294">
        <v>2953</v>
      </c>
      <c r="T7" s="298">
        <f t="shared" si="2"/>
        <v>3</v>
      </c>
      <c r="U7" s="293">
        <v>1</v>
      </c>
      <c r="V7" s="294">
        <v>2</v>
      </c>
    </row>
    <row r="8" spans="1:22" ht="20.100000000000001" customHeight="1">
      <c r="A8" s="283"/>
      <c r="B8" s="297" t="s">
        <v>354</v>
      </c>
      <c r="C8" s="298">
        <f t="shared" si="0"/>
        <v>7769</v>
      </c>
      <c r="D8" s="293">
        <f t="shared" si="3"/>
        <v>3992</v>
      </c>
      <c r="E8" s="294">
        <f t="shared" si="4"/>
        <v>3777</v>
      </c>
      <c r="F8" s="544">
        <f t="shared" si="5"/>
        <v>6.1735164171513937E-2</v>
      </c>
      <c r="G8" s="297" t="s">
        <v>359</v>
      </c>
      <c r="H8" s="295">
        <f>'2.출산률'!B8</f>
        <v>113.24</v>
      </c>
      <c r="I8" s="295">
        <f>'2.출산률'!C8</f>
        <v>123.2</v>
      </c>
      <c r="J8" s="295">
        <f>'2.출산률'!D8</f>
        <v>127.89</v>
      </c>
      <c r="K8" s="408">
        <f>'2.출산률'!E8</f>
        <v>127.47</v>
      </c>
      <c r="L8" s="408">
        <f>'2.출산률'!F8</f>
        <v>128.02000000000001</v>
      </c>
      <c r="M8" s="493">
        <f>'2.출산률'!G8</f>
        <v>128.21</v>
      </c>
      <c r="N8" s="465">
        <f>'2.출산률'!H8</f>
        <v>128.15</v>
      </c>
      <c r="P8" s="297" t="s">
        <v>17</v>
      </c>
      <c r="Q8" s="298">
        <f t="shared" si="1"/>
        <v>7769</v>
      </c>
      <c r="R8" s="293">
        <v>3992</v>
      </c>
      <c r="S8" s="294">
        <v>3777</v>
      </c>
      <c r="T8" s="298">
        <f t="shared" si="2"/>
        <v>53</v>
      </c>
      <c r="U8" s="293">
        <v>15</v>
      </c>
      <c r="V8" s="294">
        <v>38</v>
      </c>
    </row>
    <row r="9" spans="1:22" ht="20.100000000000001" customHeight="1">
      <c r="A9" s="283"/>
      <c r="B9" s="297" t="s">
        <v>356</v>
      </c>
      <c r="C9" s="298">
        <f t="shared" si="0"/>
        <v>7636</v>
      </c>
      <c r="D9" s="293">
        <f t="shared" si="3"/>
        <v>4059</v>
      </c>
      <c r="E9" s="294">
        <f t="shared" si="4"/>
        <v>3577</v>
      </c>
      <c r="F9" s="544">
        <f t="shared" si="5"/>
        <v>6.0678300117605923E-2</v>
      </c>
      <c r="G9" s="297" t="s">
        <v>360</v>
      </c>
      <c r="H9" s="295">
        <f>'2.출산률'!B9</f>
        <v>31.36</v>
      </c>
      <c r="I9" s="295">
        <f>'2.출산률'!C9</f>
        <v>48.7</v>
      </c>
      <c r="J9" s="295">
        <f>'2.출산률'!D9</f>
        <v>62.5</v>
      </c>
      <c r="K9" s="408">
        <f>'2.출산률'!E9</f>
        <v>69.05</v>
      </c>
      <c r="L9" s="408">
        <f>'2.출산률'!F9</f>
        <v>72.11</v>
      </c>
      <c r="M9" s="493">
        <f>'2.출산률'!G9</f>
        <v>73.58</v>
      </c>
      <c r="N9" s="465">
        <f>'2.출산률'!H9</f>
        <v>73.81</v>
      </c>
      <c r="P9" s="297" t="s">
        <v>14</v>
      </c>
      <c r="Q9" s="298">
        <f t="shared" si="1"/>
        <v>7636</v>
      </c>
      <c r="R9" s="293">
        <v>4059</v>
      </c>
      <c r="S9" s="294">
        <v>3577</v>
      </c>
      <c r="T9" s="298">
        <f t="shared" si="2"/>
        <v>877</v>
      </c>
      <c r="U9" s="293">
        <v>336</v>
      </c>
      <c r="V9" s="294">
        <v>541</v>
      </c>
    </row>
    <row r="10" spans="1:22" ht="20.100000000000001" customHeight="1">
      <c r="A10" s="283"/>
      <c r="B10" s="297" t="s">
        <v>358</v>
      </c>
      <c r="C10" s="298">
        <f t="shared" si="0"/>
        <v>6122</v>
      </c>
      <c r="D10" s="293">
        <f t="shared" si="3"/>
        <v>3448</v>
      </c>
      <c r="E10" s="294">
        <f t="shared" si="4"/>
        <v>2674</v>
      </c>
      <c r="F10" s="544">
        <f t="shared" si="5"/>
        <v>4.8647531864848541E-2</v>
      </c>
      <c r="G10" s="297" t="s">
        <v>361</v>
      </c>
      <c r="H10" s="295">
        <f>'2.출산률'!B10</f>
        <v>4.09</v>
      </c>
      <c r="I10" s="295">
        <f>'2.출산률'!C10</f>
        <v>6.8</v>
      </c>
      <c r="J10" s="295">
        <f>'2.출산률'!D10</f>
        <v>11.99</v>
      </c>
      <c r="K10" s="408">
        <f>'2.출산률'!E10</f>
        <v>15.67</v>
      </c>
      <c r="L10" s="408">
        <f>'2.출산률'!F10</f>
        <v>17.45</v>
      </c>
      <c r="M10" s="493">
        <f>'2.출산률'!G10</f>
        <v>18.39</v>
      </c>
      <c r="N10" s="465">
        <f>'2.출산률'!H10</f>
        <v>18.600000000000001</v>
      </c>
      <c r="P10" s="297" t="s">
        <v>16</v>
      </c>
      <c r="Q10" s="298">
        <f t="shared" si="1"/>
        <v>6122</v>
      </c>
      <c r="R10" s="293">
        <v>3448</v>
      </c>
      <c r="S10" s="294">
        <v>2674</v>
      </c>
      <c r="T10" s="298">
        <f t="shared" si="2"/>
        <v>883</v>
      </c>
      <c r="U10" s="293">
        <v>431</v>
      </c>
      <c r="V10" s="294">
        <v>452</v>
      </c>
    </row>
    <row r="11" spans="1:22" ht="20.100000000000001" customHeight="1" thickBot="1">
      <c r="A11" s="283"/>
      <c r="B11" s="297" t="s">
        <v>359</v>
      </c>
      <c r="C11" s="298">
        <f t="shared" si="0"/>
        <v>7228</v>
      </c>
      <c r="D11" s="293">
        <f t="shared" si="3"/>
        <v>3842</v>
      </c>
      <c r="E11" s="294">
        <f t="shared" si="4"/>
        <v>3386</v>
      </c>
      <c r="F11" s="544">
        <f t="shared" si="5"/>
        <v>5.743619083945202E-2</v>
      </c>
      <c r="G11" s="299" t="s">
        <v>362</v>
      </c>
      <c r="H11" s="300">
        <f>'2.출산률'!B11</f>
        <v>0.33</v>
      </c>
      <c r="I11" s="300">
        <f>'2.출산률'!C11</f>
        <v>0.36</v>
      </c>
      <c r="J11" s="300">
        <f>'2.출산률'!D11</f>
        <v>0.96</v>
      </c>
      <c r="K11" s="409">
        <f>'2.출산률'!E11</f>
        <v>1.57</v>
      </c>
      <c r="L11" s="409">
        <f>'2.출산률'!F11</f>
        <v>1.91</v>
      </c>
      <c r="M11" s="494">
        <f>'2.출산률'!G11</f>
        <v>2.11</v>
      </c>
      <c r="N11" s="466">
        <f>'2.출산률'!H11</f>
        <v>2.16</v>
      </c>
      <c r="P11" s="297" t="s">
        <v>18</v>
      </c>
      <c r="Q11" s="298">
        <f t="shared" si="1"/>
        <v>7228</v>
      </c>
      <c r="R11" s="293">
        <v>3842</v>
      </c>
      <c r="S11" s="294">
        <v>3386</v>
      </c>
      <c r="T11" s="298">
        <f t="shared" si="2"/>
        <v>508</v>
      </c>
      <c r="U11" s="293">
        <v>308</v>
      </c>
      <c r="V11" s="294">
        <v>200</v>
      </c>
    </row>
    <row r="12" spans="1:22" ht="20.100000000000001" customHeight="1">
      <c r="A12" s="283"/>
      <c r="B12" s="297" t="s">
        <v>360</v>
      </c>
      <c r="C12" s="298">
        <f t="shared" si="0"/>
        <v>7487</v>
      </c>
      <c r="D12" s="293">
        <f t="shared" si="3"/>
        <v>4059</v>
      </c>
      <c r="E12" s="294">
        <f t="shared" si="4"/>
        <v>3428</v>
      </c>
      <c r="F12" s="544">
        <f t="shared" si="5"/>
        <v>5.9494294523378149E-2</v>
      </c>
      <c r="G12" s="302" t="s">
        <v>607</v>
      </c>
      <c r="H12" s="286"/>
      <c r="I12" s="286"/>
      <c r="J12" s="291"/>
      <c r="K12" s="291"/>
      <c r="L12" s="283"/>
      <c r="P12" s="297" t="s">
        <v>19</v>
      </c>
      <c r="Q12" s="298">
        <f t="shared" si="1"/>
        <v>7487</v>
      </c>
      <c r="R12" s="293">
        <v>4059</v>
      </c>
      <c r="S12" s="294">
        <v>3428</v>
      </c>
      <c r="T12" s="298">
        <f t="shared" si="2"/>
        <v>247</v>
      </c>
      <c r="U12" s="293">
        <v>165</v>
      </c>
      <c r="V12" s="294">
        <v>82</v>
      </c>
    </row>
    <row r="13" spans="1:22" ht="20.100000000000001" customHeight="1">
      <c r="A13" s="283"/>
      <c r="B13" s="297" t="s">
        <v>361</v>
      </c>
      <c r="C13" s="298">
        <f t="shared" si="0"/>
        <v>9189</v>
      </c>
      <c r="D13" s="293">
        <f t="shared" si="3"/>
        <v>4954</v>
      </c>
      <c r="E13" s="294">
        <f t="shared" si="4"/>
        <v>4235</v>
      </c>
      <c r="F13" s="544">
        <f t="shared" si="5"/>
        <v>7.3018975874892728E-2</v>
      </c>
      <c r="G13" s="302"/>
      <c r="H13" s="286"/>
      <c r="I13" s="286"/>
      <c r="J13" s="291"/>
      <c r="K13" s="291"/>
      <c r="L13" s="283"/>
      <c r="P13" s="297" t="s">
        <v>20</v>
      </c>
      <c r="Q13" s="298">
        <f t="shared" si="1"/>
        <v>9189</v>
      </c>
      <c r="R13" s="293">
        <v>4954</v>
      </c>
      <c r="S13" s="294">
        <v>4235</v>
      </c>
      <c r="T13" s="298">
        <f t="shared" si="2"/>
        <v>170</v>
      </c>
      <c r="U13" s="293">
        <v>89</v>
      </c>
      <c r="V13" s="294">
        <v>81</v>
      </c>
    </row>
    <row r="14" spans="1:22" ht="20.100000000000001" customHeight="1">
      <c r="A14" s="283"/>
      <c r="B14" s="297" t="s">
        <v>362</v>
      </c>
      <c r="C14" s="298">
        <f t="shared" si="0"/>
        <v>9343</v>
      </c>
      <c r="D14" s="293">
        <f t="shared" si="3"/>
        <v>4975</v>
      </c>
      <c r="E14" s="294">
        <f t="shared" si="4"/>
        <v>4368</v>
      </c>
      <c r="F14" s="544">
        <f t="shared" si="5"/>
        <v>7.424271320047042E-2</v>
      </c>
      <c r="G14" s="283"/>
      <c r="H14" s="283"/>
      <c r="I14" s="283"/>
      <c r="J14" s="283"/>
      <c r="K14" s="283"/>
      <c r="L14" s="283"/>
      <c r="P14" s="297" t="s">
        <v>21</v>
      </c>
      <c r="Q14" s="298">
        <f t="shared" si="1"/>
        <v>9343</v>
      </c>
      <c r="R14" s="293">
        <v>4975</v>
      </c>
      <c r="S14" s="294">
        <v>4368</v>
      </c>
      <c r="T14" s="298">
        <f t="shared" si="2"/>
        <v>109</v>
      </c>
      <c r="U14" s="293">
        <v>46</v>
      </c>
      <c r="V14" s="294">
        <v>63</v>
      </c>
    </row>
    <row r="15" spans="1:22" ht="20.100000000000001" customHeight="1">
      <c r="A15" s="283"/>
      <c r="B15" s="297" t="s">
        <v>363</v>
      </c>
      <c r="C15" s="298">
        <f t="shared" si="0"/>
        <v>10921</v>
      </c>
      <c r="D15" s="293">
        <f t="shared" si="3"/>
        <v>5661</v>
      </c>
      <c r="E15" s="294">
        <f t="shared" si="4"/>
        <v>5260</v>
      </c>
      <c r="F15" s="544">
        <f t="shared" si="5"/>
        <v>8.6782047614506849E-2</v>
      </c>
      <c r="G15" s="283"/>
      <c r="H15" s="283"/>
      <c r="I15" s="283"/>
      <c r="J15" s="283"/>
      <c r="K15" s="283"/>
      <c r="L15" s="283"/>
      <c r="P15" s="297" t="s">
        <v>363</v>
      </c>
      <c r="Q15" s="298">
        <f t="shared" si="1"/>
        <v>10921</v>
      </c>
      <c r="R15" s="293">
        <v>5661</v>
      </c>
      <c r="S15" s="294">
        <v>5260</v>
      </c>
      <c r="T15" s="298">
        <f t="shared" si="2"/>
        <v>109</v>
      </c>
      <c r="U15" s="293">
        <v>41</v>
      </c>
      <c r="V15" s="294">
        <v>68</v>
      </c>
    </row>
    <row r="16" spans="1:22" ht="20.100000000000001" customHeight="1">
      <c r="A16" s="283"/>
      <c r="B16" s="297" t="s">
        <v>364</v>
      </c>
      <c r="C16" s="298">
        <f t="shared" si="0"/>
        <v>10426</v>
      </c>
      <c r="D16" s="293">
        <f t="shared" si="3"/>
        <v>5377</v>
      </c>
      <c r="E16" s="294">
        <f t="shared" si="4"/>
        <v>5049</v>
      </c>
      <c r="F16" s="544">
        <f t="shared" si="5"/>
        <v>8.2848606210864248E-2</v>
      </c>
      <c r="G16" s="283"/>
      <c r="H16" s="283"/>
      <c r="I16" s="283"/>
      <c r="J16" s="283"/>
      <c r="K16" s="283"/>
      <c r="L16" s="283"/>
      <c r="P16" s="297" t="s">
        <v>364</v>
      </c>
      <c r="Q16" s="298">
        <f t="shared" si="1"/>
        <v>10426</v>
      </c>
      <c r="R16" s="293">
        <v>5377</v>
      </c>
      <c r="S16" s="294">
        <v>5049</v>
      </c>
      <c r="T16" s="298">
        <f t="shared" si="2"/>
        <v>88</v>
      </c>
      <c r="U16" s="293">
        <v>31</v>
      </c>
      <c r="V16" s="294">
        <v>57</v>
      </c>
    </row>
    <row r="17" spans="1:22" ht="20.100000000000001" customHeight="1">
      <c r="A17" s="283"/>
      <c r="B17" s="297" t="s">
        <v>365</v>
      </c>
      <c r="C17" s="298">
        <f t="shared" si="0"/>
        <v>7803</v>
      </c>
      <c r="D17" s="293">
        <f t="shared" si="3"/>
        <v>3831</v>
      </c>
      <c r="E17" s="294">
        <f t="shared" si="4"/>
        <v>3972</v>
      </c>
      <c r="F17" s="544">
        <f t="shared" si="5"/>
        <v>6.2005339944693427E-2</v>
      </c>
      <c r="G17" s="303"/>
      <c r="H17" s="283"/>
      <c r="I17" s="283"/>
      <c r="J17" s="283"/>
      <c r="K17" s="283"/>
      <c r="L17" s="283"/>
      <c r="P17" s="297" t="s">
        <v>365</v>
      </c>
      <c r="Q17" s="298">
        <f t="shared" si="1"/>
        <v>7803</v>
      </c>
      <c r="R17" s="293">
        <v>3831</v>
      </c>
      <c r="S17" s="294">
        <v>3972</v>
      </c>
      <c r="T17" s="298">
        <f t="shared" si="2"/>
        <v>29</v>
      </c>
      <c r="U17" s="293">
        <v>14</v>
      </c>
      <c r="V17" s="294">
        <v>15</v>
      </c>
    </row>
    <row r="18" spans="1:22" ht="20.100000000000001" customHeight="1">
      <c r="A18" s="283"/>
      <c r="B18" s="297" t="s">
        <v>366</v>
      </c>
      <c r="C18" s="298">
        <f t="shared" si="0"/>
        <v>6680</v>
      </c>
      <c r="D18" s="293">
        <f t="shared" si="3"/>
        <v>3159</v>
      </c>
      <c r="E18" s="294">
        <f t="shared" si="4"/>
        <v>3521</v>
      </c>
      <c r="F18" s="544">
        <f t="shared" si="5"/>
        <v>5.308159308350021E-2</v>
      </c>
      <c r="G18" s="303" t="s">
        <v>605</v>
      </c>
      <c r="H18" s="283"/>
      <c r="I18" s="283"/>
      <c r="J18" s="283"/>
      <c r="K18" s="283"/>
      <c r="L18" s="283"/>
      <c r="P18" s="297" t="s">
        <v>366</v>
      </c>
      <c r="Q18" s="298">
        <f t="shared" si="1"/>
        <v>6680</v>
      </c>
      <c r="R18" s="293">
        <v>3159</v>
      </c>
      <c r="S18" s="294">
        <v>3521</v>
      </c>
      <c r="T18" s="298">
        <f t="shared" si="2"/>
        <v>13</v>
      </c>
      <c r="U18" s="293">
        <v>5</v>
      </c>
      <c r="V18" s="294">
        <v>8</v>
      </c>
    </row>
    <row r="19" spans="1:22" ht="20.100000000000001" customHeight="1" thickBot="1">
      <c r="A19" s="283"/>
      <c r="B19" s="297" t="s">
        <v>367</v>
      </c>
      <c r="C19" s="298">
        <f t="shared" si="0"/>
        <v>7374</v>
      </c>
      <c r="D19" s="293">
        <f t="shared" si="3"/>
        <v>3107</v>
      </c>
      <c r="E19" s="294">
        <f t="shared" si="4"/>
        <v>4267</v>
      </c>
      <c r="F19" s="544">
        <f t="shared" si="5"/>
        <v>5.859635739486984E-2</v>
      </c>
      <c r="G19" s="283"/>
      <c r="H19" s="283"/>
      <c r="I19" s="283"/>
      <c r="J19" s="283"/>
      <c r="K19" s="283"/>
      <c r="L19" s="436" t="s">
        <v>368</v>
      </c>
      <c r="P19" s="297" t="s">
        <v>367</v>
      </c>
      <c r="Q19" s="298">
        <f t="shared" si="1"/>
        <v>7374</v>
      </c>
      <c r="R19" s="293">
        <v>3107</v>
      </c>
      <c r="S19" s="294">
        <v>4267</v>
      </c>
      <c r="T19" s="298">
        <f t="shared" si="2"/>
        <v>7</v>
      </c>
      <c r="U19" s="293">
        <v>5</v>
      </c>
      <c r="V19" s="294">
        <v>2</v>
      </c>
    </row>
    <row r="20" spans="1:22" ht="20.100000000000001" customHeight="1" thickBot="1">
      <c r="A20" s="283"/>
      <c r="B20" s="297" t="s">
        <v>369</v>
      </c>
      <c r="C20" s="298">
        <f t="shared" si="0"/>
        <v>6276</v>
      </c>
      <c r="D20" s="293">
        <f t="shared" si="3"/>
        <v>2462</v>
      </c>
      <c r="E20" s="294">
        <f t="shared" si="4"/>
        <v>3814</v>
      </c>
      <c r="F20" s="544">
        <f t="shared" si="5"/>
        <v>4.987126919042624E-2</v>
      </c>
      <c r="G20" s="423" t="s">
        <v>241</v>
      </c>
      <c r="H20" s="420" t="s">
        <v>349</v>
      </c>
      <c r="I20" s="420" t="s">
        <v>350</v>
      </c>
      <c r="J20" s="420" t="s">
        <v>351</v>
      </c>
      <c r="K20" s="421" t="s">
        <v>352</v>
      </c>
      <c r="L20" s="421" t="s">
        <v>118</v>
      </c>
      <c r="M20" s="492" t="s">
        <v>588</v>
      </c>
      <c r="N20" s="464" t="s">
        <v>589</v>
      </c>
      <c r="P20" s="297" t="s">
        <v>369</v>
      </c>
      <c r="Q20" s="298">
        <f t="shared" si="1"/>
        <v>6276</v>
      </c>
      <c r="R20" s="293">
        <v>2462</v>
      </c>
      <c r="S20" s="294">
        <v>3814</v>
      </c>
      <c r="T20" s="298">
        <f t="shared" si="2"/>
        <v>3</v>
      </c>
      <c r="U20" s="293">
        <v>2</v>
      </c>
      <c r="V20" s="294">
        <v>1</v>
      </c>
    </row>
    <row r="21" spans="1:22" ht="20.100000000000001" customHeight="1" thickTop="1" thickBot="1">
      <c r="A21" s="283"/>
      <c r="B21" s="297" t="s">
        <v>370</v>
      </c>
      <c r="C21" s="298">
        <f t="shared" si="0"/>
        <v>3612</v>
      </c>
      <c r="D21" s="293">
        <f t="shared" si="3"/>
        <v>1261</v>
      </c>
      <c r="E21" s="294">
        <f t="shared" si="4"/>
        <v>2351</v>
      </c>
      <c r="F21" s="544">
        <f t="shared" si="5"/>
        <v>2.870220272718604E-2</v>
      </c>
      <c r="G21" s="304" t="s">
        <v>371</v>
      </c>
      <c r="H21" s="305">
        <f>'2.출산률'!B30</f>
        <v>103.6802947571995</v>
      </c>
      <c r="I21" s="305">
        <f>'2.출산률'!C30</f>
        <v>104.30950443601368</v>
      </c>
      <c r="J21" s="306">
        <f>'2.출산률'!D30</f>
        <v>104.49099764908973</v>
      </c>
      <c r="K21" s="410">
        <f>'2.출산률'!E30</f>
        <v>104.62000631996992</v>
      </c>
      <c r="L21" s="410">
        <f>'2.출산률'!F30</f>
        <v>104.49868270898</v>
      </c>
      <c r="M21" s="496">
        <f>'2.출산률'!G30</f>
        <v>104.16982351388538</v>
      </c>
      <c r="N21" s="495">
        <f>'2.출산률'!H30</f>
        <v>103.75068997262171</v>
      </c>
      <c r="P21" s="297" t="s">
        <v>370</v>
      </c>
      <c r="Q21" s="298">
        <f t="shared" si="1"/>
        <v>3612</v>
      </c>
      <c r="R21" s="293">
        <v>1261</v>
      </c>
      <c r="S21" s="294">
        <v>2351</v>
      </c>
      <c r="T21" s="298">
        <f t="shared" si="2"/>
        <v>5</v>
      </c>
      <c r="U21" s="293">
        <v>1</v>
      </c>
      <c r="V21" s="294">
        <v>4</v>
      </c>
    </row>
    <row r="22" spans="1:22" ht="20.100000000000001" customHeight="1">
      <c r="A22" s="283"/>
      <c r="B22" s="297" t="s">
        <v>121</v>
      </c>
      <c r="C22" s="298">
        <f t="shared" si="0"/>
        <v>2421</v>
      </c>
      <c r="D22" s="293">
        <f t="shared" si="3"/>
        <v>744</v>
      </c>
      <c r="E22" s="294">
        <f t="shared" si="4"/>
        <v>1677</v>
      </c>
      <c r="F22" s="544">
        <f>1-SUM(F5:F21)</f>
        <v>1.9238104319633909E-2</v>
      </c>
      <c r="G22" s="286" t="s">
        <v>373</v>
      </c>
      <c r="H22" s="308">
        <f t="shared" ref="H22:N22" si="6">H21/(H21+100)</f>
        <v>0.5090344889808478</v>
      </c>
      <c r="I22" s="308">
        <f t="shared" si="6"/>
        <v>0.51054650993332362</v>
      </c>
      <c r="J22" s="308">
        <f t="shared" si="6"/>
        <v>0.51098091774386167</v>
      </c>
      <c r="K22" s="308">
        <f t="shared" si="6"/>
        <v>0.51128923413467564</v>
      </c>
      <c r="L22" s="308">
        <f t="shared" si="6"/>
        <v>0.51099929507952391</v>
      </c>
      <c r="M22" s="308">
        <f t="shared" si="6"/>
        <v>0.51021165479334851</v>
      </c>
      <c r="N22" s="308">
        <f t="shared" si="6"/>
        <v>0.50920411600354754</v>
      </c>
      <c r="P22" s="297" t="s">
        <v>121</v>
      </c>
      <c r="Q22" s="298">
        <f t="shared" si="1"/>
        <v>2421</v>
      </c>
      <c r="R22" s="293">
        <v>744</v>
      </c>
      <c r="S22" s="294">
        <v>1677</v>
      </c>
      <c r="T22" s="298">
        <f t="shared" si="2"/>
        <v>4</v>
      </c>
      <c r="U22" s="293">
        <v>2</v>
      </c>
      <c r="V22" s="294">
        <v>2</v>
      </c>
    </row>
    <row r="23" spans="1:22" ht="20.100000000000001" customHeight="1">
      <c r="A23" s="283"/>
      <c r="B23" s="297"/>
      <c r="C23" s="298"/>
      <c r="D23" s="293"/>
      <c r="E23" s="294"/>
      <c r="F23" s="286"/>
      <c r="G23" s="302" t="s">
        <v>1061</v>
      </c>
      <c r="H23" s="284"/>
      <c r="I23" s="284"/>
      <c r="J23" s="284"/>
      <c r="K23" s="284"/>
      <c r="L23" s="283"/>
      <c r="P23" s="297"/>
      <c r="Q23" s="298"/>
      <c r="R23" s="293"/>
      <c r="S23" s="294"/>
      <c r="T23" s="298"/>
      <c r="U23" s="293"/>
      <c r="V23" s="294"/>
    </row>
    <row r="24" spans="1:22" ht="20.100000000000001" customHeight="1" thickBot="1">
      <c r="A24" s="283"/>
      <c r="B24" s="309"/>
      <c r="C24" s="310"/>
      <c r="D24" s="293"/>
      <c r="E24" s="294"/>
      <c r="F24" s="283"/>
      <c r="G24" s="283"/>
      <c r="H24" s="283"/>
      <c r="I24" s="283"/>
      <c r="J24" s="283"/>
      <c r="K24" s="283"/>
      <c r="L24" s="283"/>
      <c r="P24" s="309"/>
      <c r="Q24" s="310"/>
      <c r="R24" s="293"/>
      <c r="S24" s="294"/>
      <c r="T24" s="310"/>
      <c r="U24" s="293"/>
      <c r="V24" s="294"/>
    </row>
    <row r="25" spans="1:22" ht="20.100000000000001" customHeight="1" thickBot="1">
      <c r="A25" s="283"/>
      <c r="B25" s="311" t="s">
        <v>376</v>
      </c>
      <c r="C25" s="312">
        <f t="shared" si="0"/>
        <v>125844</v>
      </c>
      <c r="D25" s="313">
        <f>SUM(D5:D24)</f>
        <v>62954</v>
      </c>
      <c r="E25" s="314">
        <f>SUM(E5:E24)</f>
        <v>62890</v>
      </c>
      <c r="F25" s="498">
        <f>E25-D25</f>
        <v>-64</v>
      </c>
      <c r="G25" s="283"/>
      <c r="H25" s="283"/>
      <c r="I25" s="283"/>
      <c r="J25" s="283"/>
      <c r="K25" s="283"/>
      <c r="L25" s="283"/>
      <c r="P25" s="311" t="s">
        <v>28</v>
      </c>
      <c r="Q25" s="559">
        <f>SUM(R25:S25)</f>
        <v>125844</v>
      </c>
      <c r="R25" s="560">
        <f>SUM(R5:R24)</f>
        <v>62954</v>
      </c>
      <c r="S25" s="561">
        <f>SUM(S5:S24)</f>
        <v>62890</v>
      </c>
      <c r="T25" s="559">
        <f>SUM(U25:V25)</f>
        <v>3121</v>
      </c>
      <c r="U25" s="560">
        <f>SUM(U5:U24)</f>
        <v>1499</v>
      </c>
      <c r="V25" s="561">
        <f>SUM(V5:V24)</f>
        <v>1622</v>
      </c>
    </row>
    <row r="26" spans="1:22" ht="20.100000000000001" customHeight="1">
      <c r="A26" s="283"/>
      <c r="B26" s="302"/>
      <c r="C26" s="283"/>
      <c r="D26" s="545">
        <f>D25/C25</f>
        <v>0.50025428308063957</v>
      </c>
      <c r="E26" s="545">
        <f>E25/C25</f>
        <v>0.49974571691936048</v>
      </c>
      <c r="F26" s="283"/>
      <c r="G26" s="283"/>
      <c r="H26" s="283"/>
      <c r="I26" s="283"/>
      <c r="J26" s="283"/>
      <c r="K26" s="283"/>
      <c r="L26" s="283"/>
    </row>
    <row r="27" spans="1:22" ht="20.100000000000001" customHeight="1">
      <c r="A27" s="283"/>
      <c r="B27" s="283"/>
      <c r="C27" s="284"/>
      <c r="D27" s="284"/>
      <c r="E27" s="284"/>
      <c r="F27" s="283"/>
      <c r="G27" s="283"/>
      <c r="H27" s="283"/>
      <c r="I27" s="283"/>
      <c r="J27" s="283"/>
      <c r="K27" s="283"/>
      <c r="L27" s="283"/>
    </row>
    <row r="28" spans="1:22" ht="20.100000000000001" customHeight="1" thickBot="1">
      <c r="A28" s="283"/>
      <c r="B28" s="315" t="s">
        <v>1063</v>
      </c>
      <c r="C28" s="316"/>
      <c r="D28" s="316"/>
      <c r="E28" s="316"/>
      <c r="F28" s="317"/>
      <c r="G28" s="317"/>
      <c r="H28" s="317"/>
      <c r="I28" s="317"/>
      <c r="J28" s="317"/>
      <c r="K28" s="317"/>
      <c r="L28" s="317"/>
    </row>
    <row r="29" spans="1:22" ht="20.100000000000001" customHeight="1">
      <c r="A29" s="283"/>
      <c r="B29" s="591" t="s">
        <v>2</v>
      </c>
      <c r="C29" s="600" t="s">
        <v>590</v>
      </c>
      <c r="D29" s="600"/>
      <c r="E29" s="600" t="s">
        <v>380</v>
      </c>
      <c r="F29" s="600"/>
      <c r="G29" s="600" t="s">
        <v>1064</v>
      </c>
      <c r="H29" s="600"/>
      <c r="I29" s="600" t="s">
        <v>382</v>
      </c>
      <c r="J29" s="600" t="s">
        <v>377</v>
      </c>
      <c r="K29" s="600"/>
      <c r="L29" s="601"/>
    </row>
    <row r="30" spans="1:22" ht="20.100000000000001" customHeight="1" thickBot="1">
      <c r="A30" s="283"/>
      <c r="B30" s="592"/>
      <c r="C30" s="413" t="s">
        <v>5</v>
      </c>
      <c r="D30" s="413" t="s">
        <v>6</v>
      </c>
      <c r="E30" s="413" t="s">
        <v>5</v>
      </c>
      <c r="F30" s="413" t="s">
        <v>6</v>
      </c>
      <c r="G30" s="413" t="s">
        <v>5</v>
      </c>
      <c r="H30" s="413" t="s">
        <v>6</v>
      </c>
      <c r="I30" s="603"/>
      <c r="J30" s="413" t="s">
        <v>47</v>
      </c>
      <c r="K30" s="413" t="s">
        <v>5</v>
      </c>
      <c r="L30" s="424" t="s">
        <v>6</v>
      </c>
    </row>
    <row r="31" spans="1:22" ht="20.100000000000001" customHeight="1" thickTop="1">
      <c r="A31" s="283"/>
      <c r="B31" s="292" t="s">
        <v>12</v>
      </c>
      <c r="C31" s="319">
        <f>D5</f>
        <v>2253</v>
      </c>
      <c r="D31" s="319">
        <f>E5</f>
        <v>2131</v>
      </c>
      <c r="E31" s="336">
        <f>생잔율!F32</f>
        <v>0.99858599999999997</v>
      </c>
      <c r="F31" s="336">
        <f>생잔율!G32</f>
        <v>0.99855400000000005</v>
      </c>
      <c r="G31" s="319">
        <f>SUM(K34:K40)+ROUND(C31*E31^0.2*0.8,0)</f>
        <v>2305</v>
      </c>
      <c r="H31" s="319">
        <f>SUM(L34:L40)++ROUND(D31*F31^0.2*0.8,0)</f>
        <v>2187</v>
      </c>
      <c r="I31" s="318"/>
      <c r="J31" s="319"/>
      <c r="K31" s="319"/>
      <c r="L31" s="320"/>
      <c r="N31" s="337"/>
      <c r="O31" s="337"/>
    </row>
    <row r="32" spans="1:22" ht="20.100000000000001" customHeight="1">
      <c r="A32" s="283"/>
      <c r="B32" s="297" t="s">
        <v>13</v>
      </c>
      <c r="C32" s="319">
        <f t="shared" ref="C32:D48" si="7">D6</f>
        <v>2548</v>
      </c>
      <c r="D32" s="319">
        <f t="shared" si="7"/>
        <v>2450</v>
      </c>
      <c r="E32" s="336">
        <f>생잔율!F33</f>
        <v>0.99951999999999996</v>
      </c>
      <c r="F32" s="336">
        <f>생잔율!G33</f>
        <v>0.99951000000000001</v>
      </c>
      <c r="G32" s="321">
        <f t="shared" ref="G32:G50" si="8">ROUND(C31*E31^0.2*0.2+C32*E32^0.2*0.8,0)</f>
        <v>2489</v>
      </c>
      <c r="H32" s="321">
        <f t="shared" ref="H32:H50" si="9">ROUND(D31*F31^0.2*0.2+D32*F32^0.2*0.8,0)</f>
        <v>2386</v>
      </c>
      <c r="I32" s="322"/>
      <c r="J32" s="323"/>
      <c r="K32" s="323"/>
      <c r="L32" s="324"/>
      <c r="N32" s="337"/>
      <c r="O32" s="337"/>
    </row>
    <row r="33" spans="1:15" ht="20.100000000000001" customHeight="1">
      <c r="A33" s="283"/>
      <c r="B33" s="297" t="s">
        <v>15</v>
      </c>
      <c r="C33" s="319">
        <f t="shared" si="7"/>
        <v>3222</v>
      </c>
      <c r="D33" s="319">
        <f t="shared" si="7"/>
        <v>2953</v>
      </c>
      <c r="E33" s="336">
        <f>생잔율!F34</f>
        <v>0.99929000000000001</v>
      </c>
      <c r="F33" s="336">
        <f>생잔율!G34</f>
        <v>0.99939</v>
      </c>
      <c r="G33" s="321">
        <f t="shared" si="8"/>
        <v>3087</v>
      </c>
      <c r="H33" s="321">
        <f t="shared" si="9"/>
        <v>2852</v>
      </c>
      <c r="I33" s="322"/>
      <c r="J33" s="323"/>
      <c r="K33" s="323"/>
      <c r="L33" s="324"/>
      <c r="N33" s="337"/>
      <c r="O33" s="337"/>
    </row>
    <row r="34" spans="1:15" ht="20.100000000000001" customHeight="1">
      <c r="A34" s="283"/>
      <c r="B34" s="297" t="s">
        <v>17</v>
      </c>
      <c r="C34" s="319">
        <f t="shared" si="7"/>
        <v>3992</v>
      </c>
      <c r="D34" s="319">
        <f t="shared" si="7"/>
        <v>3777</v>
      </c>
      <c r="E34" s="336">
        <f>생잔율!F35</f>
        <v>0.99826999999999999</v>
      </c>
      <c r="F34" s="336">
        <f>생잔율!G35</f>
        <v>0.99921000000000004</v>
      </c>
      <c r="G34" s="321">
        <f t="shared" si="8"/>
        <v>3837</v>
      </c>
      <c r="H34" s="321">
        <f t="shared" si="9"/>
        <v>3612</v>
      </c>
      <c r="I34" s="325">
        <f>I5</f>
        <v>1.68</v>
      </c>
      <c r="J34" s="326">
        <f t="shared" ref="J34:J40" si="10">ROUND(I34*1*D34/1000,0)</f>
        <v>6</v>
      </c>
      <c r="K34" s="326">
        <f t="shared" ref="K34:K40" si="11">ROUND(J34*$I$22,0)</f>
        <v>3</v>
      </c>
      <c r="L34" s="327">
        <f t="shared" ref="L34:L40" si="12">J34-K34</f>
        <v>3</v>
      </c>
      <c r="N34" s="337"/>
      <c r="O34" s="337"/>
    </row>
    <row r="35" spans="1:15" ht="20.100000000000001" customHeight="1">
      <c r="A35" s="283"/>
      <c r="B35" s="297" t="s">
        <v>14</v>
      </c>
      <c r="C35" s="319">
        <f t="shared" si="7"/>
        <v>4059</v>
      </c>
      <c r="D35" s="319">
        <f t="shared" si="7"/>
        <v>3577</v>
      </c>
      <c r="E35" s="336">
        <f>생잔율!F36</f>
        <v>0.99712999999999996</v>
      </c>
      <c r="F35" s="336">
        <f>생잔율!G36</f>
        <v>0.99870999999999999</v>
      </c>
      <c r="G35" s="321">
        <f t="shared" si="8"/>
        <v>4043</v>
      </c>
      <c r="H35" s="321">
        <f t="shared" si="9"/>
        <v>3616</v>
      </c>
      <c r="I35" s="325">
        <f t="shared" ref="I35:I40" si="13">I6</f>
        <v>25.44</v>
      </c>
      <c r="J35" s="326">
        <f t="shared" si="10"/>
        <v>91</v>
      </c>
      <c r="K35" s="326">
        <f t="shared" si="11"/>
        <v>46</v>
      </c>
      <c r="L35" s="327">
        <f t="shared" si="12"/>
        <v>45</v>
      </c>
      <c r="N35" s="337"/>
      <c r="O35" s="337"/>
    </row>
    <row r="36" spans="1:15" ht="20.100000000000001" customHeight="1">
      <c r="A36" s="283"/>
      <c r="B36" s="297" t="s">
        <v>16</v>
      </c>
      <c r="C36" s="319">
        <f t="shared" si="7"/>
        <v>3448</v>
      </c>
      <c r="D36" s="319">
        <f t="shared" si="7"/>
        <v>2674</v>
      </c>
      <c r="E36" s="336">
        <f>생잔율!F37</f>
        <v>0.99617999999999995</v>
      </c>
      <c r="F36" s="336">
        <f>생잔율!G37</f>
        <v>0.99809000000000003</v>
      </c>
      <c r="G36" s="321">
        <f t="shared" si="8"/>
        <v>3568</v>
      </c>
      <c r="H36" s="321">
        <f t="shared" si="9"/>
        <v>2854</v>
      </c>
      <c r="I36" s="325">
        <f t="shared" si="13"/>
        <v>102.3</v>
      </c>
      <c r="J36" s="326">
        <f t="shared" si="10"/>
        <v>274</v>
      </c>
      <c r="K36" s="326">
        <f t="shared" si="11"/>
        <v>140</v>
      </c>
      <c r="L36" s="327">
        <f t="shared" si="12"/>
        <v>134</v>
      </c>
      <c r="N36" s="337"/>
      <c r="O36" s="337"/>
    </row>
    <row r="37" spans="1:15" ht="20.100000000000001" customHeight="1">
      <c r="A37" s="283"/>
      <c r="B37" s="297" t="s">
        <v>18</v>
      </c>
      <c r="C37" s="319">
        <f t="shared" si="7"/>
        <v>3842</v>
      </c>
      <c r="D37" s="319">
        <f t="shared" si="7"/>
        <v>3386</v>
      </c>
      <c r="E37" s="336">
        <f>생잔율!F38</f>
        <v>0.99555000000000005</v>
      </c>
      <c r="F37" s="336">
        <f>생잔율!G38</f>
        <v>0.99731000000000003</v>
      </c>
      <c r="G37" s="321">
        <f t="shared" si="8"/>
        <v>3760</v>
      </c>
      <c r="H37" s="321">
        <f t="shared" si="9"/>
        <v>3242</v>
      </c>
      <c r="I37" s="325">
        <f t="shared" si="13"/>
        <v>123.2</v>
      </c>
      <c r="J37" s="326">
        <f t="shared" si="10"/>
        <v>417</v>
      </c>
      <c r="K37" s="326">
        <f t="shared" si="11"/>
        <v>213</v>
      </c>
      <c r="L37" s="327">
        <f t="shared" si="12"/>
        <v>204</v>
      </c>
      <c r="N37" s="337"/>
      <c r="O37" s="337"/>
    </row>
    <row r="38" spans="1:15" ht="20.100000000000001" customHeight="1">
      <c r="A38" s="283"/>
      <c r="B38" s="297" t="s">
        <v>19</v>
      </c>
      <c r="C38" s="319">
        <f t="shared" si="7"/>
        <v>4059</v>
      </c>
      <c r="D38" s="319">
        <f t="shared" si="7"/>
        <v>3428</v>
      </c>
      <c r="E38" s="336">
        <f>생잔율!F39</f>
        <v>0.99358000000000002</v>
      </c>
      <c r="F38" s="336">
        <f>생잔율!G39</f>
        <v>0.99631000000000003</v>
      </c>
      <c r="G38" s="321">
        <f t="shared" si="8"/>
        <v>4011</v>
      </c>
      <c r="H38" s="321">
        <f t="shared" si="9"/>
        <v>3417</v>
      </c>
      <c r="I38" s="325">
        <f t="shared" si="13"/>
        <v>48.7</v>
      </c>
      <c r="J38" s="326">
        <f t="shared" si="10"/>
        <v>167</v>
      </c>
      <c r="K38" s="326">
        <f t="shared" si="11"/>
        <v>85</v>
      </c>
      <c r="L38" s="327">
        <f t="shared" si="12"/>
        <v>82</v>
      </c>
      <c r="N38" s="337"/>
      <c r="O38" s="337"/>
    </row>
    <row r="39" spans="1:15" ht="20.100000000000001" customHeight="1">
      <c r="A39" s="283"/>
      <c r="B39" s="297" t="s">
        <v>20</v>
      </c>
      <c r="C39" s="319">
        <f t="shared" si="7"/>
        <v>4954</v>
      </c>
      <c r="D39" s="319">
        <f t="shared" si="7"/>
        <v>4235</v>
      </c>
      <c r="E39" s="336">
        <f>생잔율!F40</f>
        <v>0.98919999999999997</v>
      </c>
      <c r="F39" s="336">
        <f>생잔율!G40</f>
        <v>0.99570000000000003</v>
      </c>
      <c r="G39" s="321">
        <f t="shared" si="8"/>
        <v>4765</v>
      </c>
      <c r="H39" s="321">
        <f t="shared" si="9"/>
        <v>4070</v>
      </c>
      <c r="I39" s="325">
        <f t="shared" si="13"/>
        <v>6.8</v>
      </c>
      <c r="J39" s="326">
        <f t="shared" si="10"/>
        <v>29</v>
      </c>
      <c r="K39" s="326">
        <f t="shared" si="11"/>
        <v>15</v>
      </c>
      <c r="L39" s="327">
        <f t="shared" si="12"/>
        <v>14</v>
      </c>
      <c r="N39" s="337"/>
      <c r="O39" s="337"/>
    </row>
    <row r="40" spans="1:15" ht="20.100000000000001" customHeight="1">
      <c r="A40" s="283"/>
      <c r="B40" s="297" t="s">
        <v>21</v>
      </c>
      <c r="C40" s="319">
        <f t="shared" si="7"/>
        <v>4975</v>
      </c>
      <c r="D40" s="319">
        <f t="shared" si="7"/>
        <v>4368</v>
      </c>
      <c r="E40" s="336">
        <f>생잔율!F41</f>
        <v>0.98312999999999995</v>
      </c>
      <c r="F40" s="336">
        <f>생잔율!G41</f>
        <v>0.99358000000000002</v>
      </c>
      <c r="G40" s="321">
        <f t="shared" si="8"/>
        <v>4955</v>
      </c>
      <c r="H40" s="321">
        <f t="shared" si="9"/>
        <v>4336</v>
      </c>
      <c r="I40" s="325">
        <f t="shared" si="13"/>
        <v>0.36</v>
      </c>
      <c r="J40" s="326">
        <f t="shared" si="10"/>
        <v>2</v>
      </c>
      <c r="K40" s="326">
        <f t="shared" si="11"/>
        <v>1</v>
      </c>
      <c r="L40" s="327">
        <f t="shared" si="12"/>
        <v>1</v>
      </c>
      <c r="N40" s="337"/>
      <c r="O40" s="337"/>
    </row>
    <row r="41" spans="1:15" ht="20.100000000000001" customHeight="1">
      <c r="A41" s="283"/>
      <c r="B41" s="297" t="s">
        <v>363</v>
      </c>
      <c r="C41" s="319">
        <f t="shared" si="7"/>
        <v>5661</v>
      </c>
      <c r="D41" s="319">
        <f t="shared" si="7"/>
        <v>5260</v>
      </c>
      <c r="E41" s="336">
        <f>생잔율!F42</f>
        <v>0.97480999999999995</v>
      </c>
      <c r="F41" s="336">
        <f>생잔율!G42</f>
        <v>0.99087999999999998</v>
      </c>
      <c r="G41" s="321">
        <f t="shared" si="8"/>
        <v>5497</v>
      </c>
      <c r="H41" s="321">
        <f t="shared" si="9"/>
        <v>5073</v>
      </c>
      <c r="I41" s="322"/>
      <c r="J41" s="323"/>
      <c r="K41" s="323"/>
      <c r="L41" s="324"/>
      <c r="N41" s="337"/>
      <c r="O41" s="337"/>
    </row>
    <row r="42" spans="1:15" ht="20.100000000000001" customHeight="1">
      <c r="A42" s="283"/>
      <c r="B42" s="297" t="s">
        <v>364</v>
      </c>
      <c r="C42" s="319">
        <f t="shared" si="7"/>
        <v>5377</v>
      </c>
      <c r="D42" s="319">
        <f t="shared" si="7"/>
        <v>5049</v>
      </c>
      <c r="E42" s="336">
        <f>생잔율!F43</f>
        <v>0.96524999999999994</v>
      </c>
      <c r="F42" s="336">
        <f>생잔율!G43</f>
        <v>0.98814999999999997</v>
      </c>
      <c r="G42" s="321">
        <f t="shared" si="8"/>
        <v>5398</v>
      </c>
      <c r="H42" s="321">
        <f t="shared" si="9"/>
        <v>5080</v>
      </c>
      <c r="I42" s="322"/>
      <c r="J42" s="323"/>
      <c r="K42" s="323"/>
      <c r="L42" s="324"/>
      <c r="N42" s="337"/>
      <c r="O42" s="337"/>
    </row>
    <row r="43" spans="1:15" ht="20.100000000000001" customHeight="1">
      <c r="A43" s="283"/>
      <c r="B43" s="297" t="s">
        <v>365</v>
      </c>
      <c r="C43" s="319">
        <f t="shared" si="7"/>
        <v>3831</v>
      </c>
      <c r="D43" s="319">
        <f t="shared" si="7"/>
        <v>3972</v>
      </c>
      <c r="E43" s="336">
        <f>생잔율!F44</f>
        <v>0.95008999999999999</v>
      </c>
      <c r="F43" s="336">
        <f>생잔율!G44</f>
        <v>0.98185</v>
      </c>
      <c r="G43" s="321">
        <f t="shared" si="8"/>
        <v>4101</v>
      </c>
      <c r="H43" s="321">
        <f t="shared" si="9"/>
        <v>4173</v>
      </c>
      <c r="I43" s="322"/>
      <c r="J43" s="323"/>
      <c r="K43" s="323"/>
      <c r="L43" s="324"/>
      <c r="N43" s="337"/>
      <c r="O43" s="337"/>
    </row>
    <row r="44" spans="1:15" ht="20.100000000000001" customHeight="1">
      <c r="A44" s="283"/>
      <c r="B44" s="297" t="s">
        <v>366</v>
      </c>
      <c r="C44" s="319">
        <f t="shared" si="7"/>
        <v>3159</v>
      </c>
      <c r="D44" s="319">
        <f t="shared" si="7"/>
        <v>3521</v>
      </c>
      <c r="E44" s="336">
        <f>생잔율!F45</f>
        <v>0.91910999999999998</v>
      </c>
      <c r="F44" s="336">
        <f>생잔율!G45</f>
        <v>0.96828999999999998</v>
      </c>
      <c r="G44" s="321">
        <f t="shared" si="8"/>
        <v>3243</v>
      </c>
      <c r="H44" s="321">
        <f t="shared" si="9"/>
        <v>3590</v>
      </c>
      <c r="I44" s="322"/>
      <c r="J44" s="323"/>
      <c r="K44" s="323"/>
      <c r="L44" s="324"/>
      <c r="N44" s="337"/>
      <c r="O44" s="337"/>
    </row>
    <row r="45" spans="1:15" ht="20.100000000000001" customHeight="1">
      <c r="A45" s="283"/>
      <c r="B45" s="297" t="s">
        <v>367</v>
      </c>
      <c r="C45" s="319">
        <f t="shared" si="7"/>
        <v>3107</v>
      </c>
      <c r="D45" s="319">
        <f t="shared" si="7"/>
        <v>4267</v>
      </c>
      <c r="E45" s="336">
        <f>생잔율!F46</f>
        <v>0.87267000000000006</v>
      </c>
      <c r="F45" s="336">
        <f>생잔율!G46</f>
        <v>0.94223000000000001</v>
      </c>
      <c r="G45" s="321">
        <f t="shared" si="8"/>
        <v>3040</v>
      </c>
      <c r="H45" s="321">
        <f t="shared" si="9"/>
        <v>4073</v>
      </c>
      <c r="I45" s="322"/>
      <c r="J45" s="323"/>
      <c r="K45" s="323"/>
      <c r="L45" s="324"/>
      <c r="N45" s="337"/>
      <c r="O45" s="337"/>
    </row>
    <row r="46" spans="1:15" ht="20.100000000000001" customHeight="1">
      <c r="A46" s="283"/>
      <c r="B46" s="297" t="s">
        <v>369</v>
      </c>
      <c r="C46" s="319">
        <f t="shared" si="7"/>
        <v>2462</v>
      </c>
      <c r="D46" s="319">
        <f t="shared" si="7"/>
        <v>3814</v>
      </c>
      <c r="E46" s="336">
        <f>생잔율!F47</f>
        <v>0.80184999999999995</v>
      </c>
      <c r="F46" s="336">
        <f>생잔율!G47</f>
        <v>0.89569999999999994</v>
      </c>
      <c r="G46" s="321">
        <f t="shared" si="8"/>
        <v>2489</v>
      </c>
      <c r="H46" s="321">
        <f t="shared" si="9"/>
        <v>3828</v>
      </c>
      <c r="I46" s="322"/>
      <c r="J46" s="323"/>
      <c r="K46" s="323"/>
      <c r="L46" s="324"/>
      <c r="N46" s="337"/>
      <c r="O46" s="337"/>
    </row>
    <row r="47" spans="1:15" ht="20.100000000000001" customHeight="1">
      <c r="A47" s="283"/>
      <c r="B47" s="297" t="s">
        <v>378</v>
      </c>
      <c r="C47" s="319">
        <f t="shared" si="7"/>
        <v>1261</v>
      </c>
      <c r="D47" s="319">
        <f t="shared" si="7"/>
        <v>2351</v>
      </c>
      <c r="E47" s="336">
        <f>생잔율!F48</f>
        <v>0.70080999999999993</v>
      </c>
      <c r="F47" s="336">
        <f>생잔율!G48</f>
        <v>0.81664000000000003</v>
      </c>
      <c r="G47" s="321">
        <f t="shared" si="8"/>
        <v>1411</v>
      </c>
      <c r="H47" s="321">
        <f t="shared" si="9"/>
        <v>2552</v>
      </c>
      <c r="I47" s="322"/>
      <c r="J47" s="323"/>
      <c r="K47" s="323"/>
      <c r="L47" s="324"/>
      <c r="N47" s="337"/>
      <c r="O47" s="337"/>
    </row>
    <row r="48" spans="1:15" ht="20.100000000000001" customHeight="1">
      <c r="A48" s="283"/>
      <c r="B48" s="297" t="s">
        <v>24</v>
      </c>
      <c r="C48" s="319">
        <f t="shared" si="7"/>
        <v>744</v>
      </c>
      <c r="D48" s="319">
        <f t="shared" si="7"/>
        <v>1677</v>
      </c>
      <c r="E48" s="336">
        <f>생잔율!F49</f>
        <v>0.56705000000000005</v>
      </c>
      <c r="F48" s="336">
        <f>생잔율!G49</f>
        <v>0.69120999999999999</v>
      </c>
      <c r="G48" s="321">
        <f t="shared" si="8"/>
        <v>766</v>
      </c>
      <c r="H48" s="321">
        <f t="shared" si="9"/>
        <v>1698</v>
      </c>
      <c r="I48" s="328"/>
      <c r="J48" s="329"/>
      <c r="K48" s="329"/>
      <c r="L48" s="330"/>
      <c r="N48" s="337"/>
      <c r="O48" s="337"/>
    </row>
    <row r="49" spans="1:15" ht="20.100000000000001" customHeight="1">
      <c r="A49" s="283"/>
      <c r="B49" s="297" t="s">
        <v>26</v>
      </c>
      <c r="C49" s="319">
        <v>0</v>
      </c>
      <c r="D49" s="319">
        <v>0</v>
      </c>
      <c r="E49" s="336">
        <f>생잔율!F50</f>
        <v>0.40920999999999996</v>
      </c>
      <c r="F49" s="336">
        <f>생잔율!G50</f>
        <v>0.51499000000000006</v>
      </c>
      <c r="G49" s="321">
        <f t="shared" si="8"/>
        <v>133</v>
      </c>
      <c r="H49" s="321">
        <f t="shared" si="9"/>
        <v>312</v>
      </c>
      <c r="I49" s="328"/>
      <c r="J49" s="329"/>
      <c r="K49" s="329"/>
      <c r="L49" s="330"/>
      <c r="N49" s="337"/>
      <c r="O49" s="337"/>
    </row>
    <row r="50" spans="1:15" ht="20.100000000000001" customHeight="1" thickBot="1">
      <c r="A50" s="283"/>
      <c r="B50" s="309" t="s">
        <v>27</v>
      </c>
      <c r="C50" s="319">
        <v>0</v>
      </c>
      <c r="D50" s="319">
        <v>0</v>
      </c>
      <c r="E50" s="336">
        <f>생잔율!F51</f>
        <v>0.25133000000000005</v>
      </c>
      <c r="F50" s="336">
        <f>생잔율!G51</f>
        <v>0.31218000000000001</v>
      </c>
      <c r="G50" s="321">
        <f t="shared" si="8"/>
        <v>0</v>
      </c>
      <c r="H50" s="321">
        <f t="shared" si="9"/>
        <v>0</v>
      </c>
      <c r="I50" s="328"/>
      <c r="J50" s="329"/>
      <c r="K50" s="329"/>
      <c r="L50" s="330"/>
      <c r="N50" s="337"/>
      <c r="O50" s="337"/>
    </row>
    <row r="51" spans="1:15" ht="20.100000000000001" customHeight="1">
      <c r="A51" s="283"/>
      <c r="B51" s="604" t="s">
        <v>28</v>
      </c>
      <c r="C51" s="332">
        <f>SUM(C31:C50)</f>
        <v>62954</v>
      </c>
      <c r="D51" s="332">
        <f>SUM(D31:D50)</f>
        <v>62890</v>
      </c>
      <c r="E51" s="289"/>
      <c r="F51" s="289"/>
      <c r="G51" s="333">
        <f>SUM(G31:G50)</f>
        <v>62898</v>
      </c>
      <c r="H51" s="333">
        <f>SUM(H31:H50)</f>
        <v>62951</v>
      </c>
      <c r="I51" s="289"/>
      <c r="J51" s="332">
        <f>SUM(J34:J50)</f>
        <v>986</v>
      </c>
      <c r="K51" s="332">
        <f>SUM(K34:K50)</f>
        <v>503</v>
      </c>
      <c r="L51" s="334">
        <f>SUM(L34:L50)</f>
        <v>483</v>
      </c>
    </row>
    <row r="52" spans="1:15" ht="20.100000000000001" customHeight="1" thickBot="1">
      <c r="A52" s="283"/>
      <c r="B52" s="605"/>
      <c r="C52" s="602">
        <f>SUM(C51:D51)</f>
        <v>125844</v>
      </c>
      <c r="D52" s="602"/>
      <c r="E52" s="414"/>
      <c r="F52" s="331"/>
      <c r="G52" s="602">
        <f>SUM(G51:H51)</f>
        <v>125849</v>
      </c>
      <c r="H52" s="602"/>
      <c r="I52" s="335"/>
      <c r="J52" s="415"/>
      <c r="K52" s="415"/>
      <c r="L52" s="416"/>
    </row>
    <row r="53" spans="1:15" ht="20.100000000000001" customHeight="1">
      <c r="A53" s="283"/>
      <c r="B53" s="283"/>
      <c r="C53" s="284"/>
      <c r="D53" s="284"/>
      <c r="E53" s="284"/>
      <c r="F53" s="283"/>
      <c r="G53" s="283"/>
      <c r="H53" s="283"/>
      <c r="I53" s="283"/>
      <c r="J53" s="283"/>
      <c r="K53" s="283"/>
      <c r="L53" s="283"/>
    </row>
    <row r="54" spans="1:15" ht="20.100000000000001" customHeight="1" thickBot="1">
      <c r="A54" s="283"/>
      <c r="B54" s="315" t="s">
        <v>379</v>
      </c>
      <c r="C54" s="316"/>
      <c r="D54" s="316"/>
      <c r="E54" s="316"/>
      <c r="F54" s="317"/>
      <c r="G54" s="317"/>
      <c r="H54" s="317"/>
      <c r="I54" s="317"/>
      <c r="J54" s="317"/>
      <c r="K54" s="317"/>
      <c r="L54" s="317"/>
    </row>
    <row r="55" spans="1:15" ht="20.100000000000001" customHeight="1">
      <c r="A55" s="283"/>
      <c r="B55" s="591" t="s">
        <v>344</v>
      </c>
      <c r="C55" s="600" t="s">
        <v>1067</v>
      </c>
      <c r="D55" s="600"/>
      <c r="E55" s="600" t="s">
        <v>380</v>
      </c>
      <c r="F55" s="600"/>
      <c r="G55" s="600" t="s">
        <v>381</v>
      </c>
      <c r="H55" s="600"/>
      <c r="I55" s="600" t="s">
        <v>382</v>
      </c>
      <c r="J55" s="600" t="s">
        <v>377</v>
      </c>
      <c r="K55" s="600"/>
      <c r="L55" s="601"/>
    </row>
    <row r="56" spans="1:15" ht="20.100000000000001" customHeight="1" thickBot="1">
      <c r="A56" s="283"/>
      <c r="B56" s="592"/>
      <c r="C56" s="413" t="s">
        <v>346</v>
      </c>
      <c r="D56" s="413" t="s">
        <v>347</v>
      </c>
      <c r="E56" s="413" t="s">
        <v>346</v>
      </c>
      <c r="F56" s="413" t="s">
        <v>347</v>
      </c>
      <c r="G56" s="413" t="s">
        <v>346</v>
      </c>
      <c r="H56" s="413" t="s">
        <v>347</v>
      </c>
      <c r="I56" s="603"/>
      <c r="J56" s="413" t="s">
        <v>47</v>
      </c>
      <c r="K56" s="413" t="s">
        <v>346</v>
      </c>
      <c r="L56" s="424" t="s">
        <v>347</v>
      </c>
    </row>
    <row r="57" spans="1:15" ht="20.100000000000001" customHeight="1" thickTop="1">
      <c r="A57" s="283"/>
      <c r="B57" s="292" t="s">
        <v>353</v>
      </c>
      <c r="C57" s="319">
        <f t="shared" ref="C57:C76" si="14">G31</f>
        <v>2305</v>
      </c>
      <c r="D57" s="319">
        <f t="shared" ref="D57:D76" si="15">H31</f>
        <v>2187</v>
      </c>
      <c r="E57" s="336">
        <f>생잔율!F32</f>
        <v>0.99858599999999997</v>
      </c>
      <c r="F57" s="336">
        <f>생잔율!G32</f>
        <v>0.99855400000000005</v>
      </c>
      <c r="G57" s="546">
        <f>SUM(K60:K66)+ROUND(C57*E57^0.2*0.8,0)</f>
        <v>2346</v>
      </c>
      <c r="H57" s="546">
        <f>SUM(L60:L66)++ROUND(D57*F57^0.2*0.8,0)</f>
        <v>2231</v>
      </c>
      <c r="I57" s="318"/>
      <c r="J57" s="319"/>
      <c r="K57" s="319"/>
      <c r="L57" s="320"/>
      <c r="N57" s="337"/>
      <c r="O57" s="337"/>
    </row>
    <row r="58" spans="1:15" ht="20.100000000000001" customHeight="1">
      <c r="A58" s="283"/>
      <c r="B58" s="297" t="s">
        <v>355</v>
      </c>
      <c r="C58" s="319">
        <f t="shared" si="14"/>
        <v>2489</v>
      </c>
      <c r="D58" s="319">
        <f t="shared" si="15"/>
        <v>2386</v>
      </c>
      <c r="E58" s="336">
        <f>생잔율!F33</f>
        <v>0.99951999999999996</v>
      </c>
      <c r="F58" s="336">
        <f>생잔율!G33</f>
        <v>0.99951000000000001</v>
      </c>
      <c r="G58" s="547">
        <f t="shared" ref="G58:G76" si="16">ROUND(C57*E57^0.2*0.2+C58*E58^0.2*0.8,0)</f>
        <v>2452</v>
      </c>
      <c r="H58" s="547">
        <f t="shared" ref="H58:H76" si="17">ROUND(D57*F57^0.2*0.2+D58*F58^0.2*0.8,0)</f>
        <v>2346</v>
      </c>
      <c r="I58" s="322"/>
      <c r="J58" s="323"/>
      <c r="K58" s="323"/>
      <c r="L58" s="324"/>
      <c r="N58" s="337"/>
      <c r="O58" s="337"/>
    </row>
    <row r="59" spans="1:15" ht="20.100000000000001" customHeight="1">
      <c r="A59" s="283"/>
      <c r="B59" s="297" t="s">
        <v>357</v>
      </c>
      <c r="C59" s="319">
        <f t="shared" si="14"/>
        <v>3087</v>
      </c>
      <c r="D59" s="319">
        <f t="shared" si="15"/>
        <v>2852</v>
      </c>
      <c r="E59" s="336">
        <f>생잔율!F34</f>
        <v>0.99929000000000001</v>
      </c>
      <c r="F59" s="336">
        <f>생잔율!G34</f>
        <v>0.99939</v>
      </c>
      <c r="G59" s="547">
        <f t="shared" si="16"/>
        <v>2967</v>
      </c>
      <c r="H59" s="547">
        <f t="shared" si="17"/>
        <v>2758</v>
      </c>
      <c r="I59" s="322"/>
      <c r="J59" s="323"/>
      <c r="K59" s="323"/>
      <c r="L59" s="324"/>
      <c r="N59" s="337"/>
      <c r="O59" s="337"/>
    </row>
    <row r="60" spans="1:15" ht="20.100000000000001" customHeight="1">
      <c r="A60" s="283"/>
      <c r="B60" s="297" t="s">
        <v>354</v>
      </c>
      <c r="C60" s="319">
        <f t="shared" si="14"/>
        <v>3837</v>
      </c>
      <c r="D60" s="319">
        <f t="shared" si="15"/>
        <v>3612</v>
      </c>
      <c r="E60" s="336">
        <f>생잔율!F35</f>
        <v>0.99826999999999999</v>
      </c>
      <c r="F60" s="336">
        <f>생잔율!G35</f>
        <v>0.99921000000000004</v>
      </c>
      <c r="G60" s="547">
        <f t="shared" si="16"/>
        <v>3686</v>
      </c>
      <c r="H60" s="547">
        <f t="shared" si="17"/>
        <v>3459</v>
      </c>
      <c r="I60" s="325">
        <f t="shared" ref="I60:I66" si="18">I5</f>
        <v>1.68</v>
      </c>
      <c r="J60" s="326">
        <f>ROUND(I60*1*D60/1000,0)</f>
        <v>6</v>
      </c>
      <c r="K60" s="326">
        <f t="shared" ref="K60:K66" si="19">ROUND(J60*$I$22,0)</f>
        <v>3</v>
      </c>
      <c r="L60" s="327">
        <f t="shared" ref="L60:L66" si="20">J60-K60</f>
        <v>3</v>
      </c>
      <c r="N60" s="337"/>
      <c r="O60" s="337"/>
    </row>
    <row r="61" spans="1:15" ht="20.100000000000001" customHeight="1">
      <c r="A61" s="283"/>
      <c r="B61" s="297" t="s">
        <v>356</v>
      </c>
      <c r="C61" s="319">
        <f t="shared" si="14"/>
        <v>4043</v>
      </c>
      <c r="D61" s="319">
        <f t="shared" si="15"/>
        <v>3616</v>
      </c>
      <c r="E61" s="336">
        <f>생잔율!F36</f>
        <v>0.99712999999999996</v>
      </c>
      <c r="F61" s="336">
        <f>생잔율!G36</f>
        <v>0.99870999999999999</v>
      </c>
      <c r="G61" s="547">
        <f t="shared" si="16"/>
        <v>4000</v>
      </c>
      <c r="H61" s="547">
        <f t="shared" si="17"/>
        <v>3614</v>
      </c>
      <c r="I61" s="325">
        <f t="shared" si="18"/>
        <v>25.44</v>
      </c>
      <c r="J61" s="326">
        <f t="shared" ref="J61:J66" si="21">ROUND(I61*1*D61/1000,0)</f>
        <v>92</v>
      </c>
      <c r="K61" s="326">
        <f t="shared" si="19"/>
        <v>47</v>
      </c>
      <c r="L61" s="327">
        <f t="shared" si="20"/>
        <v>45</v>
      </c>
      <c r="N61" s="337"/>
      <c r="O61" s="337"/>
    </row>
    <row r="62" spans="1:15" ht="20.100000000000001" customHeight="1">
      <c r="A62" s="283"/>
      <c r="B62" s="297" t="s">
        <v>358</v>
      </c>
      <c r="C62" s="319">
        <f t="shared" si="14"/>
        <v>3568</v>
      </c>
      <c r="D62" s="319">
        <f t="shared" si="15"/>
        <v>2854</v>
      </c>
      <c r="E62" s="336">
        <f>생잔율!F37</f>
        <v>0.99617999999999995</v>
      </c>
      <c r="F62" s="336">
        <f>생잔율!G37</f>
        <v>0.99809000000000003</v>
      </c>
      <c r="G62" s="547">
        <f t="shared" si="16"/>
        <v>3660</v>
      </c>
      <c r="H62" s="547">
        <f t="shared" si="17"/>
        <v>3005</v>
      </c>
      <c r="I62" s="325">
        <f t="shared" si="18"/>
        <v>102.3</v>
      </c>
      <c r="J62" s="326">
        <f t="shared" si="21"/>
        <v>292</v>
      </c>
      <c r="K62" s="326">
        <f t="shared" si="19"/>
        <v>149</v>
      </c>
      <c r="L62" s="327">
        <f t="shared" si="20"/>
        <v>143</v>
      </c>
      <c r="N62" s="337"/>
      <c r="O62" s="337"/>
    </row>
    <row r="63" spans="1:15" ht="20.100000000000001" customHeight="1">
      <c r="A63" s="283"/>
      <c r="B63" s="297" t="s">
        <v>359</v>
      </c>
      <c r="C63" s="319">
        <f t="shared" si="14"/>
        <v>3760</v>
      </c>
      <c r="D63" s="319">
        <f t="shared" si="15"/>
        <v>3242</v>
      </c>
      <c r="E63" s="336">
        <f>생잔율!F38</f>
        <v>0.99555000000000005</v>
      </c>
      <c r="F63" s="336">
        <f>생잔율!G38</f>
        <v>0.99731000000000003</v>
      </c>
      <c r="G63" s="547">
        <f t="shared" si="16"/>
        <v>3718</v>
      </c>
      <c r="H63" s="547">
        <f t="shared" si="17"/>
        <v>3163</v>
      </c>
      <c r="I63" s="325">
        <f t="shared" si="18"/>
        <v>123.2</v>
      </c>
      <c r="J63" s="326">
        <f t="shared" si="21"/>
        <v>399</v>
      </c>
      <c r="K63" s="326">
        <f t="shared" si="19"/>
        <v>204</v>
      </c>
      <c r="L63" s="327">
        <f t="shared" si="20"/>
        <v>195</v>
      </c>
      <c r="N63" s="337"/>
      <c r="O63" s="337"/>
    </row>
    <row r="64" spans="1:15" ht="20.100000000000001" customHeight="1">
      <c r="A64" s="283"/>
      <c r="B64" s="297" t="s">
        <v>360</v>
      </c>
      <c r="C64" s="319">
        <f t="shared" si="14"/>
        <v>4011</v>
      </c>
      <c r="D64" s="319">
        <f t="shared" si="15"/>
        <v>3417</v>
      </c>
      <c r="E64" s="336">
        <f>생잔율!F39</f>
        <v>0.99358000000000002</v>
      </c>
      <c r="F64" s="336">
        <f>생잔율!G39</f>
        <v>0.99631000000000003</v>
      </c>
      <c r="G64" s="547">
        <f t="shared" si="16"/>
        <v>3956</v>
      </c>
      <c r="H64" s="547">
        <f t="shared" si="17"/>
        <v>3380</v>
      </c>
      <c r="I64" s="325">
        <f t="shared" si="18"/>
        <v>48.7</v>
      </c>
      <c r="J64" s="326">
        <f t="shared" si="21"/>
        <v>166</v>
      </c>
      <c r="K64" s="326">
        <f t="shared" si="19"/>
        <v>85</v>
      </c>
      <c r="L64" s="327">
        <f t="shared" si="20"/>
        <v>81</v>
      </c>
      <c r="N64" s="337"/>
      <c r="O64" s="337"/>
    </row>
    <row r="65" spans="1:15" ht="20.100000000000001" customHeight="1">
      <c r="A65" s="283"/>
      <c r="B65" s="297" t="s">
        <v>361</v>
      </c>
      <c r="C65" s="319">
        <f t="shared" si="14"/>
        <v>4765</v>
      </c>
      <c r="D65" s="319">
        <f t="shared" si="15"/>
        <v>4070</v>
      </c>
      <c r="E65" s="336">
        <f>생잔율!F40</f>
        <v>0.98919999999999997</v>
      </c>
      <c r="F65" s="336">
        <f>생잔율!G40</f>
        <v>0.99570000000000003</v>
      </c>
      <c r="G65" s="547">
        <f t="shared" si="16"/>
        <v>4605</v>
      </c>
      <c r="H65" s="547">
        <f t="shared" si="17"/>
        <v>3936</v>
      </c>
      <c r="I65" s="325">
        <f t="shared" si="18"/>
        <v>6.8</v>
      </c>
      <c r="J65" s="326">
        <f t="shared" si="21"/>
        <v>28</v>
      </c>
      <c r="K65" s="326">
        <f t="shared" si="19"/>
        <v>14</v>
      </c>
      <c r="L65" s="327">
        <f t="shared" si="20"/>
        <v>14</v>
      </c>
      <c r="N65" s="337"/>
      <c r="O65" s="337"/>
    </row>
    <row r="66" spans="1:15" ht="20.100000000000001" customHeight="1">
      <c r="A66" s="283"/>
      <c r="B66" s="297" t="s">
        <v>362</v>
      </c>
      <c r="C66" s="319">
        <f t="shared" si="14"/>
        <v>4955</v>
      </c>
      <c r="D66" s="319">
        <f t="shared" si="15"/>
        <v>4336</v>
      </c>
      <c r="E66" s="336">
        <f>생잔율!F41</f>
        <v>0.98312999999999995</v>
      </c>
      <c r="F66" s="336">
        <f>생잔율!G41</f>
        <v>0.99358000000000002</v>
      </c>
      <c r="G66" s="547">
        <f t="shared" si="16"/>
        <v>4901</v>
      </c>
      <c r="H66" s="547">
        <f t="shared" si="17"/>
        <v>4278</v>
      </c>
      <c r="I66" s="325">
        <f t="shared" si="18"/>
        <v>0.36</v>
      </c>
      <c r="J66" s="326">
        <f t="shared" si="21"/>
        <v>2</v>
      </c>
      <c r="K66" s="326">
        <f t="shared" si="19"/>
        <v>1</v>
      </c>
      <c r="L66" s="327">
        <f t="shared" si="20"/>
        <v>1</v>
      </c>
      <c r="N66" s="337"/>
      <c r="O66" s="337"/>
    </row>
    <row r="67" spans="1:15" ht="20.100000000000001" customHeight="1">
      <c r="A67" s="283"/>
      <c r="B67" s="297" t="s">
        <v>363</v>
      </c>
      <c r="C67" s="319">
        <f t="shared" si="14"/>
        <v>5497</v>
      </c>
      <c r="D67" s="319">
        <f t="shared" si="15"/>
        <v>5073</v>
      </c>
      <c r="E67" s="336">
        <f>생잔율!F42</f>
        <v>0.97480999999999995</v>
      </c>
      <c r="F67" s="336">
        <f>생잔율!G42</f>
        <v>0.99087999999999998</v>
      </c>
      <c r="G67" s="547">
        <f t="shared" si="16"/>
        <v>5363</v>
      </c>
      <c r="H67" s="547">
        <f t="shared" si="17"/>
        <v>4917</v>
      </c>
      <c r="I67" s="322"/>
      <c r="J67" s="323"/>
      <c r="K67" s="323"/>
      <c r="L67" s="324"/>
      <c r="N67" s="337"/>
      <c r="O67" s="337"/>
    </row>
    <row r="68" spans="1:15" ht="20.100000000000001" customHeight="1">
      <c r="A68" s="283"/>
      <c r="B68" s="297" t="s">
        <v>364</v>
      </c>
      <c r="C68" s="319">
        <f t="shared" si="14"/>
        <v>5398</v>
      </c>
      <c r="D68" s="319">
        <f t="shared" si="15"/>
        <v>5080</v>
      </c>
      <c r="E68" s="336">
        <f>생잔율!F43</f>
        <v>0.96524999999999994</v>
      </c>
      <c r="F68" s="336">
        <f>생잔율!G43</f>
        <v>0.98814999999999997</v>
      </c>
      <c r="G68" s="547">
        <f t="shared" si="16"/>
        <v>5382</v>
      </c>
      <c r="H68" s="547">
        <f t="shared" si="17"/>
        <v>5067</v>
      </c>
      <c r="I68" s="322"/>
      <c r="J68" s="323"/>
      <c r="K68" s="323"/>
      <c r="L68" s="324"/>
      <c r="N68" s="337"/>
      <c r="O68" s="337"/>
    </row>
    <row r="69" spans="1:15" ht="20.100000000000001" customHeight="1">
      <c r="A69" s="283"/>
      <c r="B69" s="297" t="s">
        <v>365</v>
      </c>
      <c r="C69" s="319">
        <f t="shared" si="14"/>
        <v>4101</v>
      </c>
      <c r="D69" s="319">
        <f t="shared" si="15"/>
        <v>4173</v>
      </c>
      <c r="E69" s="336">
        <f>생잔율!F44</f>
        <v>0.95008999999999999</v>
      </c>
      <c r="F69" s="336">
        <f>생잔율!G44</f>
        <v>0.98185</v>
      </c>
      <c r="G69" s="547">
        <f t="shared" si="16"/>
        <v>4319</v>
      </c>
      <c r="H69" s="547">
        <f t="shared" si="17"/>
        <v>4340</v>
      </c>
      <c r="I69" s="322"/>
      <c r="J69" s="323"/>
      <c r="K69" s="323"/>
      <c r="L69" s="324"/>
      <c r="N69" s="337"/>
      <c r="O69" s="337"/>
    </row>
    <row r="70" spans="1:15" ht="20.100000000000001" customHeight="1">
      <c r="A70" s="283"/>
      <c r="B70" s="297" t="s">
        <v>366</v>
      </c>
      <c r="C70" s="319">
        <f t="shared" si="14"/>
        <v>3243</v>
      </c>
      <c r="D70" s="319">
        <f t="shared" si="15"/>
        <v>3590</v>
      </c>
      <c r="E70" s="336">
        <f>생잔율!F45</f>
        <v>0.91910999999999998</v>
      </c>
      <c r="F70" s="336">
        <f>생잔율!G45</f>
        <v>0.96828999999999998</v>
      </c>
      <c r="G70" s="547">
        <f t="shared" si="16"/>
        <v>3363</v>
      </c>
      <c r="H70" s="547">
        <f t="shared" si="17"/>
        <v>3685</v>
      </c>
      <c r="I70" s="322"/>
      <c r="J70" s="323"/>
      <c r="K70" s="323"/>
      <c r="L70" s="324"/>
      <c r="N70" s="337"/>
      <c r="O70" s="337"/>
    </row>
    <row r="71" spans="1:15" ht="20.100000000000001" customHeight="1">
      <c r="A71" s="283"/>
      <c r="B71" s="297" t="s">
        <v>367</v>
      </c>
      <c r="C71" s="319">
        <f t="shared" si="14"/>
        <v>3040</v>
      </c>
      <c r="D71" s="319">
        <f t="shared" si="15"/>
        <v>4073</v>
      </c>
      <c r="E71" s="336">
        <f>생잔율!F46</f>
        <v>0.87267000000000006</v>
      </c>
      <c r="F71" s="336">
        <f>생잔율!G46</f>
        <v>0.94223000000000001</v>
      </c>
      <c r="G71" s="547">
        <f t="shared" si="16"/>
        <v>3004</v>
      </c>
      <c r="H71" s="547">
        <f t="shared" si="17"/>
        <v>3933</v>
      </c>
      <c r="I71" s="322"/>
      <c r="J71" s="323"/>
      <c r="K71" s="323"/>
      <c r="L71" s="324"/>
      <c r="N71" s="337"/>
      <c r="O71" s="337"/>
    </row>
    <row r="72" spans="1:15" ht="20.100000000000001" customHeight="1">
      <c r="A72" s="283"/>
      <c r="B72" s="297" t="s">
        <v>369</v>
      </c>
      <c r="C72" s="319">
        <f t="shared" si="14"/>
        <v>2489</v>
      </c>
      <c r="D72" s="319">
        <f t="shared" si="15"/>
        <v>3828</v>
      </c>
      <c r="E72" s="336">
        <f>생잔율!F47</f>
        <v>0.80184999999999995</v>
      </c>
      <c r="F72" s="336">
        <f>생잔율!G47</f>
        <v>0.89569999999999994</v>
      </c>
      <c r="G72" s="547">
        <f t="shared" si="16"/>
        <v>2497</v>
      </c>
      <c r="H72" s="547">
        <f t="shared" si="17"/>
        <v>3801</v>
      </c>
      <c r="I72" s="322"/>
      <c r="J72" s="323"/>
      <c r="K72" s="323"/>
      <c r="L72" s="324"/>
      <c r="N72" s="337"/>
      <c r="O72" s="337"/>
    </row>
    <row r="73" spans="1:15" ht="20.100000000000001" customHeight="1">
      <c r="A73" s="283"/>
      <c r="B73" s="297" t="s">
        <v>378</v>
      </c>
      <c r="C73" s="319">
        <f t="shared" si="14"/>
        <v>1411</v>
      </c>
      <c r="D73" s="319">
        <f t="shared" si="15"/>
        <v>2552</v>
      </c>
      <c r="E73" s="336">
        <f>생잔율!F48</f>
        <v>0.70080999999999993</v>
      </c>
      <c r="F73" s="336">
        <f>생잔율!G48</f>
        <v>0.81664000000000003</v>
      </c>
      <c r="G73" s="547">
        <f t="shared" si="16"/>
        <v>1528</v>
      </c>
      <c r="H73" s="547">
        <f t="shared" si="17"/>
        <v>2709</v>
      </c>
      <c r="I73" s="322"/>
      <c r="J73" s="323"/>
      <c r="K73" s="323"/>
      <c r="L73" s="324"/>
      <c r="N73" s="337"/>
      <c r="O73" s="337"/>
    </row>
    <row r="74" spans="1:15" ht="20.100000000000001" customHeight="1">
      <c r="A74" s="283"/>
      <c r="B74" s="297" t="s">
        <v>372</v>
      </c>
      <c r="C74" s="319">
        <f t="shared" si="14"/>
        <v>766</v>
      </c>
      <c r="D74" s="319">
        <f t="shared" si="15"/>
        <v>1698</v>
      </c>
      <c r="E74" s="336">
        <f>생잔율!F49</f>
        <v>0.56705000000000005</v>
      </c>
      <c r="F74" s="336">
        <f>생잔율!G49</f>
        <v>0.69120999999999999</v>
      </c>
      <c r="G74" s="547">
        <f t="shared" si="16"/>
        <v>810</v>
      </c>
      <c r="H74" s="547">
        <f t="shared" si="17"/>
        <v>1752</v>
      </c>
      <c r="I74" s="328"/>
      <c r="J74" s="329"/>
      <c r="K74" s="329"/>
      <c r="L74" s="330"/>
      <c r="N74" s="337"/>
      <c r="O74" s="337"/>
    </row>
    <row r="75" spans="1:15" ht="20.100000000000001" customHeight="1">
      <c r="A75" s="283"/>
      <c r="B75" s="297" t="s">
        <v>374</v>
      </c>
      <c r="C75" s="319">
        <f t="shared" si="14"/>
        <v>133</v>
      </c>
      <c r="D75" s="319">
        <f t="shared" si="15"/>
        <v>312</v>
      </c>
      <c r="E75" s="336">
        <f>생잔율!F50</f>
        <v>0.40920999999999996</v>
      </c>
      <c r="F75" s="336">
        <f>생잔율!G50</f>
        <v>0.51499000000000006</v>
      </c>
      <c r="G75" s="547">
        <f t="shared" si="16"/>
        <v>226</v>
      </c>
      <c r="H75" s="547">
        <f t="shared" si="17"/>
        <v>534</v>
      </c>
      <c r="I75" s="328"/>
      <c r="J75" s="329"/>
      <c r="K75" s="329"/>
      <c r="L75" s="330"/>
      <c r="N75" s="337"/>
      <c r="O75" s="337"/>
    </row>
    <row r="76" spans="1:15" ht="20.100000000000001" customHeight="1" thickBot="1">
      <c r="A76" s="283"/>
      <c r="B76" s="309" t="s">
        <v>375</v>
      </c>
      <c r="C76" s="319">
        <f t="shared" si="14"/>
        <v>0</v>
      </c>
      <c r="D76" s="319">
        <f t="shared" si="15"/>
        <v>0</v>
      </c>
      <c r="E76" s="336">
        <f>생잔율!F51</f>
        <v>0.25133000000000005</v>
      </c>
      <c r="F76" s="336">
        <f>생잔율!G51</f>
        <v>0.31218000000000001</v>
      </c>
      <c r="G76" s="547">
        <f t="shared" si="16"/>
        <v>22</v>
      </c>
      <c r="H76" s="547">
        <f t="shared" si="17"/>
        <v>55</v>
      </c>
      <c r="I76" s="328"/>
      <c r="J76" s="329"/>
      <c r="K76" s="329"/>
      <c r="L76" s="330"/>
      <c r="N76" s="337"/>
      <c r="O76" s="337"/>
    </row>
    <row r="77" spans="1:15" ht="20.100000000000001" customHeight="1">
      <c r="A77" s="283"/>
      <c r="B77" s="604" t="s">
        <v>376</v>
      </c>
      <c r="C77" s="332">
        <f>SUM(C57:C76)</f>
        <v>62898</v>
      </c>
      <c r="D77" s="332">
        <f>SUM(D57:D76)</f>
        <v>62951</v>
      </c>
      <c r="E77" s="289"/>
      <c r="F77" s="289"/>
      <c r="G77" s="548">
        <f>SUM(G57:G76)</f>
        <v>62805</v>
      </c>
      <c r="H77" s="548">
        <f>SUM(H57:H76)</f>
        <v>62963</v>
      </c>
      <c r="I77" s="289"/>
      <c r="J77" s="332">
        <f>SUM(J60:J76)</f>
        <v>985</v>
      </c>
      <c r="K77" s="332">
        <f>SUM(K60:K76)</f>
        <v>503</v>
      </c>
      <c r="L77" s="334">
        <f>SUM(L60:L76)</f>
        <v>482</v>
      </c>
    </row>
    <row r="78" spans="1:15" ht="20.100000000000001" customHeight="1" thickBot="1">
      <c r="A78" s="283"/>
      <c r="B78" s="605"/>
      <c r="C78" s="602">
        <f>SUM(C77:D77)</f>
        <v>125849</v>
      </c>
      <c r="D78" s="602"/>
      <c r="E78" s="414"/>
      <c r="F78" s="331"/>
      <c r="G78" s="607">
        <f>SUM(G77:H77)</f>
        <v>125768</v>
      </c>
      <c r="H78" s="607"/>
      <c r="I78" s="335"/>
      <c r="J78" s="415"/>
      <c r="K78" s="415"/>
      <c r="L78" s="416"/>
    </row>
    <row r="79" spans="1:15" ht="20.100000000000001" customHeight="1">
      <c r="A79" s="283"/>
      <c r="B79" s="283"/>
      <c r="C79" s="284"/>
      <c r="D79" s="284"/>
      <c r="E79" s="284"/>
      <c r="F79" s="283"/>
      <c r="G79" s="283"/>
      <c r="H79" s="283"/>
      <c r="I79" s="283"/>
      <c r="J79" s="283"/>
      <c r="K79" s="283"/>
      <c r="L79" s="283"/>
    </row>
    <row r="80" spans="1:15" ht="20.100000000000001" customHeight="1" thickBot="1">
      <c r="A80" s="283"/>
      <c r="B80" s="315" t="s">
        <v>383</v>
      </c>
      <c r="C80" s="316"/>
      <c r="D80" s="316"/>
      <c r="E80" s="316"/>
      <c r="F80" s="317"/>
      <c r="G80" s="317"/>
      <c r="H80" s="317"/>
      <c r="I80" s="317"/>
      <c r="J80" s="317"/>
      <c r="K80" s="317"/>
      <c r="L80" s="317"/>
    </row>
    <row r="81" spans="1:15" ht="20.100000000000001" customHeight="1">
      <c r="A81" s="283"/>
      <c r="B81" s="591" t="s">
        <v>344</v>
      </c>
      <c r="C81" s="600" t="s">
        <v>384</v>
      </c>
      <c r="D81" s="600"/>
      <c r="E81" s="600" t="s">
        <v>385</v>
      </c>
      <c r="F81" s="600"/>
      <c r="G81" s="600" t="s">
        <v>386</v>
      </c>
      <c r="H81" s="600"/>
      <c r="I81" s="600" t="s">
        <v>387</v>
      </c>
      <c r="J81" s="600" t="s">
        <v>377</v>
      </c>
      <c r="K81" s="600"/>
      <c r="L81" s="601"/>
    </row>
    <row r="82" spans="1:15" ht="20.100000000000001" customHeight="1" thickBot="1">
      <c r="A82" s="283"/>
      <c r="B82" s="592"/>
      <c r="C82" s="413" t="s">
        <v>346</v>
      </c>
      <c r="D82" s="413" t="s">
        <v>347</v>
      </c>
      <c r="E82" s="413" t="s">
        <v>346</v>
      </c>
      <c r="F82" s="413" t="s">
        <v>347</v>
      </c>
      <c r="G82" s="413" t="s">
        <v>346</v>
      </c>
      <c r="H82" s="413" t="s">
        <v>347</v>
      </c>
      <c r="I82" s="603"/>
      <c r="J82" s="413" t="s">
        <v>47</v>
      </c>
      <c r="K82" s="413" t="s">
        <v>346</v>
      </c>
      <c r="L82" s="424" t="s">
        <v>347</v>
      </c>
    </row>
    <row r="83" spans="1:15" ht="20.100000000000001" customHeight="1" thickTop="1">
      <c r="A83" s="283"/>
      <c r="B83" s="292" t="s">
        <v>353</v>
      </c>
      <c r="C83" s="319">
        <f t="shared" ref="C83:C102" si="22">G57</f>
        <v>2346</v>
      </c>
      <c r="D83" s="319">
        <f t="shared" ref="D83:D102" si="23">H57</f>
        <v>2231</v>
      </c>
      <c r="E83" s="336">
        <f>생잔율!H32</f>
        <v>0.99882400000000005</v>
      </c>
      <c r="F83" s="336">
        <f>생잔율!I32</f>
        <v>0.998838</v>
      </c>
      <c r="G83" s="546">
        <f>SUM(K86:K92)</f>
        <v>2687</v>
      </c>
      <c r="H83" s="546">
        <f>SUM(L86:L92)</f>
        <v>2568</v>
      </c>
      <c r="I83" s="318"/>
      <c r="J83" s="319"/>
      <c r="K83" s="319"/>
      <c r="L83" s="320"/>
      <c r="N83" s="337"/>
      <c r="O83" s="337"/>
    </row>
    <row r="84" spans="1:15" ht="20.100000000000001" customHeight="1">
      <c r="A84" s="283"/>
      <c r="B84" s="297" t="s">
        <v>355</v>
      </c>
      <c r="C84" s="319">
        <f t="shared" si="22"/>
        <v>2452</v>
      </c>
      <c r="D84" s="319">
        <f t="shared" si="23"/>
        <v>2346</v>
      </c>
      <c r="E84" s="336">
        <f>생잔율!H33</f>
        <v>0.99965999999999999</v>
      </c>
      <c r="F84" s="336">
        <f>생잔율!I33</f>
        <v>0.99965999999999999</v>
      </c>
      <c r="G84" s="547">
        <f>ROUND(C83*E83^5,0)</f>
        <v>2332</v>
      </c>
      <c r="H84" s="547">
        <f>ROUND(D83*F83^5,0)</f>
        <v>2218</v>
      </c>
      <c r="I84" s="322"/>
      <c r="J84" s="323"/>
      <c r="K84" s="323"/>
      <c r="L84" s="324"/>
      <c r="N84" s="337"/>
      <c r="O84" s="337"/>
    </row>
    <row r="85" spans="1:15" ht="20.100000000000001" customHeight="1">
      <c r="A85" s="283"/>
      <c r="B85" s="297" t="s">
        <v>357</v>
      </c>
      <c r="C85" s="319">
        <f t="shared" si="22"/>
        <v>2967</v>
      </c>
      <c r="D85" s="319">
        <f t="shared" si="23"/>
        <v>2758</v>
      </c>
      <c r="E85" s="336">
        <f>생잔율!H34</f>
        <v>0.99948000000000004</v>
      </c>
      <c r="F85" s="336">
        <f>생잔율!I34</f>
        <v>0.99956</v>
      </c>
      <c r="G85" s="547">
        <f t="shared" ref="G85:G101" si="24">ROUND(C84*E84^1,0)</f>
        <v>2451</v>
      </c>
      <c r="H85" s="547">
        <f t="shared" ref="H85:H101" si="25">ROUND(D84*F84^1,0)</f>
        <v>2345</v>
      </c>
      <c r="I85" s="322"/>
      <c r="J85" s="323"/>
      <c r="K85" s="323"/>
      <c r="L85" s="324"/>
      <c r="N85" s="337"/>
      <c r="O85" s="337"/>
    </row>
    <row r="86" spans="1:15" ht="20.100000000000001" customHeight="1">
      <c r="A86" s="283"/>
      <c r="B86" s="297" t="s">
        <v>354</v>
      </c>
      <c r="C86" s="319">
        <f t="shared" si="22"/>
        <v>3686</v>
      </c>
      <c r="D86" s="319">
        <f t="shared" si="23"/>
        <v>3459</v>
      </c>
      <c r="E86" s="336">
        <f>생잔율!H35</f>
        <v>0.99868000000000001</v>
      </c>
      <c r="F86" s="336">
        <f>생잔율!I35</f>
        <v>0.99939999999999996</v>
      </c>
      <c r="G86" s="547">
        <f t="shared" si="24"/>
        <v>2965</v>
      </c>
      <c r="H86" s="547">
        <f t="shared" si="25"/>
        <v>2757</v>
      </c>
      <c r="I86" s="325">
        <f t="shared" ref="I86:I92" si="26">J5</f>
        <v>1.91</v>
      </c>
      <c r="J86" s="326">
        <f t="shared" ref="J86:J92" si="27">ROUND(I86*5*D86/1000,0)</f>
        <v>33</v>
      </c>
      <c r="K86" s="326">
        <f t="shared" ref="K86:K92" si="28">ROUND(J86*$J$22,0)</f>
        <v>17</v>
      </c>
      <c r="L86" s="327">
        <f t="shared" ref="L86:L92" si="29">J86-K86</f>
        <v>16</v>
      </c>
      <c r="N86" s="337"/>
      <c r="O86" s="337"/>
    </row>
    <row r="87" spans="1:15" ht="20.100000000000001" customHeight="1">
      <c r="A87" s="283"/>
      <c r="B87" s="297" t="s">
        <v>356</v>
      </c>
      <c r="C87" s="319">
        <f t="shared" si="22"/>
        <v>4000</v>
      </c>
      <c r="D87" s="319">
        <f t="shared" si="23"/>
        <v>3614</v>
      </c>
      <c r="E87" s="336">
        <f>생잔율!H36</f>
        <v>0.99775999999999998</v>
      </c>
      <c r="F87" s="336">
        <f>생잔율!I36</f>
        <v>0.99899000000000004</v>
      </c>
      <c r="G87" s="547">
        <f t="shared" si="24"/>
        <v>3681</v>
      </c>
      <c r="H87" s="547">
        <f t="shared" si="25"/>
        <v>3457</v>
      </c>
      <c r="I87" s="325">
        <f t="shared" si="26"/>
        <v>24.48</v>
      </c>
      <c r="J87" s="326">
        <f t="shared" si="27"/>
        <v>442</v>
      </c>
      <c r="K87" s="326">
        <f t="shared" si="28"/>
        <v>226</v>
      </c>
      <c r="L87" s="327">
        <f t="shared" si="29"/>
        <v>216</v>
      </c>
      <c r="N87" s="337"/>
      <c r="O87" s="337"/>
    </row>
    <row r="88" spans="1:15" ht="20.100000000000001" customHeight="1">
      <c r="A88" s="283"/>
      <c r="B88" s="297" t="s">
        <v>358</v>
      </c>
      <c r="C88" s="319">
        <f t="shared" si="22"/>
        <v>3660</v>
      </c>
      <c r="D88" s="319">
        <f t="shared" si="23"/>
        <v>3005</v>
      </c>
      <c r="E88" s="336">
        <f>생잔율!H37</f>
        <v>0.99692999999999998</v>
      </c>
      <c r="F88" s="336">
        <f>생잔율!I37</f>
        <v>0.99846999999999997</v>
      </c>
      <c r="G88" s="547">
        <f t="shared" si="24"/>
        <v>3991</v>
      </c>
      <c r="H88" s="547">
        <f t="shared" si="25"/>
        <v>3610</v>
      </c>
      <c r="I88" s="325">
        <f t="shared" si="26"/>
        <v>96.09</v>
      </c>
      <c r="J88" s="326">
        <f t="shared" si="27"/>
        <v>1444</v>
      </c>
      <c r="K88" s="326">
        <f t="shared" si="28"/>
        <v>738</v>
      </c>
      <c r="L88" s="327">
        <f t="shared" si="29"/>
        <v>706</v>
      </c>
      <c r="N88" s="337"/>
      <c r="O88" s="337"/>
    </row>
    <row r="89" spans="1:15" ht="20.100000000000001" customHeight="1">
      <c r="A89" s="283"/>
      <c r="B89" s="297" t="s">
        <v>359</v>
      </c>
      <c r="C89" s="319">
        <f t="shared" si="22"/>
        <v>3718</v>
      </c>
      <c r="D89" s="319">
        <f t="shared" si="23"/>
        <v>3163</v>
      </c>
      <c r="E89" s="336">
        <f>생잔율!H38</f>
        <v>0.99636999999999998</v>
      </c>
      <c r="F89" s="336">
        <f>생잔율!I38</f>
        <v>0.99782000000000004</v>
      </c>
      <c r="G89" s="547">
        <f t="shared" si="24"/>
        <v>3649</v>
      </c>
      <c r="H89" s="547">
        <f t="shared" si="25"/>
        <v>3000</v>
      </c>
      <c r="I89" s="325">
        <f t="shared" si="26"/>
        <v>127.89</v>
      </c>
      <c r="J89" s="326">
        <f t="shared" si="27"/>
        <v>2023</v>
      </c>
      <c r="K89" s="326">
        <f t="shared" si="28"/>
        <v>1034</v>
      </c>
      <c r="L89" s="327">
        <f t="shared" si="29"/>
        <v>989</v>
      </c>
      <c r="N89" s="337"/>
      <c r="O89" s="337"/>
    </row>
    <row r="90" spans="1:15" ht="20.100000000000001" customHeight="1">
      <c r="A90" s="283"/>
      <c r="B90" s="297" t="s">
        <v>360</v>
      </c>
      <c r="C90" s="319">
        <f t="shared" si="22"/>
        <v>3956</v>
      </c>
      <c r="D90" s="319">
        <f t="shared" si="23"/>
        <v>3380</v>
      </c>
      <c r="E90" s="336">
        <f>생잔율!H39</f>
        <v>0.99463999999999997</v>
      </c>
      <c r="F90" s="336">
        <f>생잔율!I39</f>
        <v>0.99694000000000005</v>
      </c>
      <c r="G90" s="547">
        <f t="shared" si="24"/>
        <v>3705</v>
      </c>
      <c r="H90" s="547">
        <f t="shared" si="25"/>
        <v>3156</v>
      </c>
      <c r="I90" s="325">
        <f t="shared" si="26"/>
        <v>62.5</v>
      </c>
      <c r="J90" s="326">
        <f t="shared" si="27"/>
        <v>1056</v>
      </c>
      <c r="K90" s="326">
        <f t="shared" si="28"/>
        <v>540</v>
      </c>
      <c r="L90" s="327">
        <f t="shared" si="29"/>
        <v>516</v>
      </c>
      <c r="N90" s="337"/>
      <c r="O90" s="337"/>
    </row>
    <row r="91" spans="1:15" ht="20.100000000000001" customHeight="1">
      <c r="A91" s="283"/>
      <c r="B91" s="297" t="s">
        <v>361</v>
      </c>
      <c r="C91" s="319">
        <f t="shared" si="22"/>
        <v>4605</v>
      </c>
      <c r="D91" s="319">
        <f t="shared" si="23"/>
        <v>3936</v>
      </c>
      <c r="E91" s="336">
        <f>생잔율!H40</f>
        <v>0.99089000000000005</v>
      </c>
      <c r="F91" s="336">
        <f>생잔율!I40</f>
        <v>0.99639</v>
      </c>
      <c r="G91" s="547">
        <f t="shared" si="24"/>
        <v>3935</v>
      </c>
      <c r="H91" s="547">
        <f t="shared" si="25"/>
        <v>3370</v>
      </c>
      <c r="I91" s="325">
        <f t="shared" si="26"/>
        <v>11.99</v>
      </c>
      <c r="J91" s="326">
        <f t="shared" si="27"/>
        <v>236</v>
      </c>
      <c r="K91" s="326">
        <f t="shared" si="28"/>
        <v>121</v>
      </c>
      <c r="L91" s="327">
        <f t="shared" si="29"/>
        <v>115</v>
      </c>
      <c r="N91" s="337"/>
      <c r="O91" s="337"/>
    </row>
    <row r="92" spans="1:15" ht="20.100000000000001" customHeight="1">
      <c r="A92" s="283"/>
      <c r="B92" s="297" t="s">
        <v>362</v>
      </c>
      <c r="C92" s="319">
        <f t="shared" si="22"/>
        <v>4901</v>
      </c>
      <c r="D92" s="319">
        <f t="shared" si="23"/>
        <v>4278</v>
      </c>
      <c r="E92" s="336">
        <f>생잔율!H41</f>
        <v>0.98565999999999998</v>
      </c>
      <c r="F92" s="336">
        <f>생잔율!I41</f>
        <v>0.99456</v>
      </c>
      <c r="G92" s="547">
        <f t="shared" si="24"/>
        <v>4563</v>
      </c>
      <c r="H92" s="547">
        <f t="shared" si="25"/>
        <v>3922</v>
      </c>
      <c r="I92" s="325">
        <f t="shared" si="26"/>
        <v>0.96</v>
      </c>
      <c r="J92" s="326">
        <f t="shared" si="27"/>
        <v>21</v>
      </c>
      <c r="K92" s="326">
        <f t="shared" si="28"/>
        <v>11</v>
      </c>
      <c r="L92" s="327">
        <f t="shared" si="29"/>
        <v>10</v>
      </c>
      <c r="N92" s="337"/>
      <c r="O92" s="337"/>
    </row>
    <row r="93" spans="1:15" ht="20.100000000000001" customHeight="1">
      <c r="A93" s="283"/>
      <c r="B93" s="297" t="s">
        <v>363</v>
      </c>
      <c r="C93" s="319">
        <f t="shared" si="22"/>
        <v>5363</v>
      </c>
      <c r="D93" s="319">
        <f t="shared" si="23"/>
        <v>4917</v>
      </c>
      <c r="E93" s="336">
        <f>생잔율!H42</f>
        <v>0.97860999999999998</v>
      </c>
      <c r="F93" s="336">
        <f>생잔율!I42</f>
        <v>0.99229000000000001</v>
      </c>
      <c r="G93" s="547">
        <f t="shared" si="24"/>
        <v>4831</v>
      </c>
      <c r="H93" s="547">
        <f t="shared" si="25"/>
        <v>4255</v>
      </c>
      <c r="I93" s="322"/>
      <c r="J93" s="323"/>
      <c r="K93" s="323"/>
      <c r="L93" s="324"/>
      <c r="N93" s="337"/>
      <c r="O93" s="337"/>
    </row>
    <row r="94" spans="1:15" ht="20.100000000000001" customHeight="1">
      <c r="A94" s="283"/>
      <c r="B94" s="297" t="s">
        <v>364</v>
      </c>
      <c r="C94" s="319">
        <f t="shared" si="22"/>
        <v>5382</v>
      </c>
      <c r="D94" s="319">
        <f t="shared" si="23"/>
        <v>5067</v>
      </c>
      <c r="E94" s="336">
        <f>생잔율!H43</f>
        <v>0.97045000000000003</v>
      </c>
      <c r="F94" s="336">
        <f>생잔율!I43</f>
        <v>0.98997000000000002</v>
      </c>
      <c r="G94" s="547">
        <f t="shared" si="24"/>
        <v>5248</v>
      </c>
      <c r="H94" s="547">
        <f t="shared" si="25"/>
        <v>4879</v>
      </c>
      <c r="I94" s="322"/>
      <c r="J94" s="323"/>
      <c r="K94" s="323"/>
      <c r="L94" s="324"/>
      <c r="N94" s="337"/>
      <c r="O94" s="337"/>
    </row>
    <row r="95" spans="1:15" ht="20.100000000000001" customHeight="1">
      <c r="A95" s="283"/>
      <c r="B95" s="297" t="s">
        <v>365</v>
      </c>
      <c r="C95" s="319">
        <f t="shared" si="22"/>
        <v>4319</v>
      </c>
      <c r="D95" s="319">
        <f t="shared" si="23"/>
        <v>4340</v>
      </c>
      <c r="E95" s="336">
        <f>생잔율!H44</f>
        <v>0.95742000000000005</v>
      </c>
      <c r="F95" s="336">
        <f>생잔율!I44</f>
        <v>0.98456999999999995</v>
      </c>
      <c r="G95" s="547">
        <f t="shared" si="24"/>
        <v>5223</v>
      </c>
      <c r="H95" s="547">
        <f t="shared" si="25"/>
        <v>5016</v>
      </c>
      <c r="I95" s="322"/>
      <c r="J95" s="323"/>
      <c r="K95" s="323"/>
      <c r="L95" s="324"/>
      <c r="N95" s="337"/>
      <c r="O95" s="337"/>
    </row>
    <row r="96" spans="1:15" ht="20.100000000000001" customHeight="1">
      <c r="A96" s="283"/>
      <c r="B96" s="297" t="s">
        <v>366</v>
      </c>
      <c r="C96" s="319">
        <f t="shared" si="22"/>
        <v>3363</v>
      </c>
      <c r="D96" s="319">
        <f t="shared" si="23"/>
        <v>3685</v>
      </c>
      <c r="E96" s="336">
        <f>생잔율!H45</f>
        <v>0.92968000000000006</v>
      </c>
      <c r="F96" s="336">
        <f>생잔율!I45</f>
        <v>0.97253000000000001</v>
      </c>
      <c r="G96" s="547">
        <f t="shared" si="24"/>
        <v>4135</v>
      </c>
      <c r="H96" s="547">
        <f t="shared" si="25"/>
        <v>4273</v>
      </c>
      <c r="I96" s="322"/>
      <c r="J96" s="323"/>
      <c r="K96" s="323"/>
      <c r="L96" s="324"/>
      <c r="N96" s="337"/>
      <c r="O96" s="337"/>
    </row>
    <row r="97" spans="1:15" ht="20.100000000000001" customHeight="1">
      <c r="A97" s="283"/>
      <c r="B97" s="297" t="s">
        <v>367</v>
      </c>
      <c r="C97" s="319">
        <f t="shared" si="22"/>
        <v>3004</v>
      </c>
      <c r="D97" s="319">
        <f t="shared" si="23"/>
        <v>3933</v>
      </c>
      <c r="E97" s="336">
        <f>생잔율!H46</f>
        <v>0.88668000000000002</v>
      </c>
      <c r="F97" s="336">
        <f>생잔율!I46</f>
        <v>0.94877999999999996</v>
      </c>
      <c r="G97" s="547">
        <f t="shared" si="24"/>
        <v>3127</v>
      </c>
      <c r="H97" s="547">
        <f t="shared" si="25"/>
        <v>3584</v>
      </c>
      <c r="I97" s="322"/>
      <c r="J97" s="323"/>
      <c r="K97" s="323"/>
      <c r="L97" s="324"/>
      <c r="N97" s="337"/>
      <c r="O97" s="337"/>
    </row>
    <row r="98" spans="1:15" ht="20.100000000000001" customHeight="1">
      <c r="A98" s="283"/>
      <c r="B98" s="297" t="s">
        <v>369</v>
      </c>
      <c r="C98" s="319">
        <f t="shared" si="22"/>
        <v>2497</v>
      </c>
      <c r="D98" s="319">
        <f t="shared" si="23"/>
        <v>3801</v>
      </c>
      <c r="E98" s="336">
        <f>생잔율!H47</f>
        <v>0.81932000000000005</v>
      </c>
      <c r="F98" s="336">
        <f>생잔율!I47</f>
        <v>0.90531000000000006</v>
      </c>
      <c r="G98" s="547">
        <f t="shared" si="24"/>
        <v>2664</v>
      </c>
      <c r="H98" s="547">
        <f t="shared" si="25"/>
        <v>3732</v>
      </c>
      <c r="I98" s="322"/>
      <c r="J98" s="323"/>
      <c r="K98" s="323"/>
      <c r="L98" s="324"/>
      <c r="N98" s="337"/>
      <c r="O98" s="337"/>
    </row>
    <row r="99" spans="1:15" ht="20.100000000000001" customHeight="1">
      <c r="A99" s="283"/>
      <c r="B99" s="297" t="s">
        <v>378</v>
      </c>
      <c r="C99" s="319">
        <f t="shared" si="22"/>
        <v>1528</v>
      </c>
      <c r="D99" s="319">
        <f t="shared" si="23"/>
        <v>2709</v>
      </c>
      <c r="E99" s="336">
        <f>생잔율!H48</f>
        <v>0.72049000000000007</v>
      </c>
      <c r="F99" s="336">
        <f>생잔율!I48</f>
        <v>0.82940999999999998</v>
      </c>
      <c r="G99" s="547">
        <f t="shared" si="24"/>
        <v>2046</v>
      </c>
      <c r="H99" s="547">
        <f t="shared" si="25"/>
        <v>3441</v>
      </c>
      <c r="I99" s="322"/>
      <c r="J99" s="323"/>
      <c r="K99" s="323"/>
      <c r="L99" s="324"/>
      <c r="N99" s="337"/>
      <c r="O99" s="337"/>
    </row>
    <row r="100" spans="1:15" ht="20.100000000000001" customHeight="1">
      <c r="A100" s="283"/>
      <c r="B100" s="297" t="s">
        <v>372</v>
      </c>
      <c r="C100" s="319">
        <f t="shared" si="22"/>
        <v>810</v>
      </c>
      <c r="D100" s="319">
        <f t="shared" si="23"/>
        <v>1752</v>
      </c>
      <c r="E100" s="336">
        <f>생잔율!H49</f>
        <v>0.58606000000000003</v>
      </c>
      <c r="F100" s="336">
        <f>생잔율!I49</f>
        <v>0.70589999999999997</v>
      </c>
      <c r="G100" s="547">
        <f t="shared" si="24"/>
        <v>1101</v>
      </c>
      <c r="H100" s="547">
        <f t="shared" si="25"/>
        <v>2247</v>
      </c>
      <c r="I100" s="328"/>
      <c r="J100" s="329"/>
      <c r="K100" s="329"/>
      <c r="L100" s="330"/>
      <c r="N100" s="337"/>
      <c r="O100" s="337"/>
    </row>
    <row r="101" spans="1:15" ht="20.100000000000001" customHeight="1">
      <c r="A101" s="283"/>
      <c r="B101" s="297" t="s">
        <v>374</v>
      </c>
      <c r="C101" s="319">
        <f t="shared" si="22"/>
        <v>226</v>
      </c>
      <c r="D101" s="319">
        <f t="shared" si="23"/>
        <v>534</v>
      </c>
      <c r="E101" s="336">
        <f>생잔율!H50</f>
        <v>0.42390000000000005</v>
      </c>
      <c r="F101" s="336">
        <f>생잔율!I50</f>
        <v>0.52841000000000005</v>
      </c>
      <c r="G101" s="547">
        <f t="shared" si="24"/>
        <v>475</v>
      </c>
      <c r="H101" s="547">
        <f t="shared" si="25"/>
        <v>1237</v>
      </c>
      <c r="I101" s="328"/>
      <c r="J101" s="329"/>
      <c r="K101" s="329"/>
      <c r="L101" s="330"/>
      <c r="N101" s="337"/>
      <c r="O101" s="337"/>
    </row>
    <row r="102" spans="1:15" ht="20.100000000000001" customHeight="1" thickBot="1">
      <c r="A102" s="283"/>
      <c r="B102" s="309" t="s">
        <v>375</v>
      </c>
      <c r="C102" s="319">
        <f t="shared" si="22"/>
        <v>22</v>
      </c>
      <c r="D102" s="319">
        <f t="shared" si="23"/>
        <v>55</v>
      </c>
      <c r="E102" s="336">
        <f>생잔율!H51</f>
        <v>0.25914999999999999</v>
      </c>
      <c r="F102" s="336">
        <f>생잔율!I51</f>
        <v>0.32021999999999995</v>
      </c>
      <c r="G102" s="547">
        <f>ROUND(C101*E101^1+C102*E102^1,0)</f>
        <v>102</v>
      </c>
      <c r="H102" s="547">
        <f>ROUND(D101*F101^1+D102*F102^1,0)</f>
        <v>300</v>
      </c>
      <c r="I102" s="328"/>
      <c r="J102" s="329"/>
      <c r="K102" s="329"/>
      <c r="L102" s="330"/>
      <c r="N102" s="337"/>
      <c r="O102" s="337"/>
    </row>
    <row r="103" spans="1:15" ht="20.100000000000001" customHeight="1">
      <c r="A103" s="283"/>
      <c r="B103" s="604" t="s">
        <v>376</v>
      </c>
      <c r="C103" s="332">
        <f>SUM(C83:C102)</f>
        <v>62805</v>
      </c>
      <c r="D103" s="332">
        <f>SUM(D83:D102)</f>
        <v>62963</v>
      </c>
      <c r="E103" s="289"/>
      <c r="F103" s="289"/>
      <c r="G103" s="548">
        <f>SUM(G83:G102)</f>
        <v>62911</v>
      </c>
      <c r="H103" s="548">
        <f>SUM(H83:H102)</f>
        <v>63367</v>
      </c>
      <c r="I103" s="289"/>
      <c r="J103" s="332">
        <f>SUM(J86:J102)</f>
        <v>5255</v>
      </c>
      <c r="K103" s="332">
        <f>SUM(K86:K102)</f>
        <v>2687</v>
      </c>
      <c r="L103" s="334">
        <f>SUM(L86:L102)</f>
        <v>2568</v>
      </c>
    </row>
    <row r="104" spans="1:15" ht="20.100000000000001" customHeight="1" thickBot="1">
      <c r="A104" s="283"/>
      <c r="B104" s="605"/>
      <c r="C104" s="602">
        <f>SUM(C103:D103)</f>
        <v>125768</v>
      </c>
      <c r="D104" s="602"/>
      <c r="E104" s="414"/>
      <c r="F104" s="331"/>
      <c r="G104" s="607">
        <f>SUM(G103:H103)</f>
        <v>126278</v>
      </c>
      <c r="H104" s="607"/>
      <c r="I104" s="335"/>
      <c r="J104" s="415"/>
      <c r="K104" s="415"/>
      <c r="L104" s="416"/>
    </row>
    <row r="105" spans="1:15" ht="20.100000000000001" customHeight="1">
      <c r="A105" s="283"/>
      <c r="B105" s="283"/>
      <c r="C105" s="284"/>
      <c r="D105" s="284"/>
      <c r="E105" s="284"/>
      <c r="F105" s="283"/>
      <c r="G105" s="283"/>
      <c r="H105" s="283"/>
      <c r="I105" s="283"/>
      <c r="J105" s="283"/>
      <c r="K105" s="283"/>
      <c r="L105" s="283"/>
    </row>
    <row r="106" spans="1:15" ht="20.100000000000001" customHeight="1" thickBot="1">
      <c r="A106" s="283"/>
      <c r="B106" s="315" t="s">
        <v>388</v>
      </c>
      <c r="C106" s="316"/>
      <c r="D106" s="316"/>
      <c r="E106" s="316"/>
      <c r="F106" s="317"/>
      <c r="G106" s="317"/>
      <c r="H106" s="317"/>
      <c r="I106" s="317"/>
      <c r="J106" s="317"/>
      <c r="K106" s="317"/>
      <c r="L106" s="317"/>
    </row>
    <row r="107" spans="1:15" ht="20.100000000000001" customHeight="1">
      <c r="A107" s="283"/>
      <c r="B107" s="591" t="s">
        <v>344</v>
      </c>
      <c r="C107" s="600" t="s">
        <v>389</v>
      </c>
      <c r="D107" s="600"/>
      <c r="E107" s="600" t="s">
        <v>390</v>
      </c>
      <c r="F107" s="600"/>
      <c r="G107" s="600" t="s">
        <v>391</v>
      </c>
      <c r="H107" s="600"/>
      <c r="I107" s="600" t="s">
        <v>392</v>
      </c>
      <c r="J107" s="600" t="s">
        <v>377</v>
      </c>
      <c r="K107" s="600"/>
      <c r="L107" s="601"/>
    </row>
    <row r="108" spans="1:15" ht="20.100000000000001" customHeight="1" thickBot="1">
      <c r="A108" s="283"/>
      <c r="B108" s="592"/>
      <c r="C108" s="413" t="s">
        <v>346</v>
      </c>
      <c r="D108" s="413" t="s">
        <v>347</v>
      </c>
      <c r="E108" s="413" t="s">
        <v>346</v>
      </c>
      <c r="F108" s="413" t="s">
        <v>347</v>
      </c>
      <c r="G108" s="413" t="s">
        <v>346</v>
      </c>
      <c r="H108" s="413" t="s">
        <v>347</v>
      </c>
      <c r="I108" s="603"/>
      <c r="J108" s="413" t="s">
        <v>47</v>
      </c>
      <c r="K108" s="413" t="s">
        <v>346</v>
      </c>
      <c r="L108" s="424" t="s">
        <v>347</v>
      </c>
    </row>
    <row r="109" spans="1:15" ht="20.100000000000001" customHeight="1" thickTop="1">
      <c r="A109" s="283"/>
      <c r="B109" s="292" t="s">
        <v>353</v>
      </c>
      <c r="C109" s="319">
        <f t="shared" ref="C109:C128" si="30">G83</f>
        <v>2687</v>
      </c>
      <c r="D109" s="319">
        <f t="shared" ref="D109:D128" si="31">H83</f>
        <v>2568</v>
      </c>
      <c r="E109" s="336">
        <f>생잔율!J32</f>
        <v>0.99900800000000001</v>
      </c>
      <c r="F109" s="336">
        <f>생잔율!K32</f>
        <v>0.99904400000000004</v>
      </c>
      <c r="G109" s="546">
        <f>SUM(K112:K118)</f>
        <v>2774</v>
      </c>
      <c r="H109" s="546">
        <f>SUM(L112:L118)</f>
        <v>2653</v>
      </c>
      <c r="I109" s="318"/>
      <c r="J109" s="319"/>
      <c r="K109" s="319"/>
      <c r="L109" s="320"/>
    </row>
    <row r="110" spans="1:15" ht="20.100000000000001" customHeight="1">
      <c r="A110" s="283"/>
      <c r="B110" s="297" t="s">
        <v>355</v>
      </c>
      <c r="C110" s="319">
        <f t="shared" si="30"/>
        <v>2332</v>
      </c>
      <c r="D110" s="319">
        <f t="shared" si="31"/>
        <v>2218</v>
      </c>
      <c r="E110" s="336">
        <f>생잔율!J33</f>
        <v>0.99975999999999998</v>
      </c>
      <c r="F110" s="336">
        <f>생잔율!K33</f>
        <v>0.99975999999999998</v>
      </c>
      <c r="G110" s="547">
        <f>ROUND(C109*E109^1,0)</f>
        <v>2684</v>
      </c>
      <c r="H110" s="547">
        <f>ROUND(D109*F109^1,0)</f>
        <v>2566</v>
      </c>
      <c r="I110" s="322"/>
      <c r="J110" s="323"/>
      <c r="K110" s="323"/>
      <c r="L110" s="324"/>
    </row>
    <row r="111" spans="1:15" ht="20.100000000000001" customHeight="1">
      <c r="A111" s="283"/>
      <c r="B111" s="297" t="s">
        <v>357</v>
      </c>
      <c r="C111" s="319">
        <f t="shared" si="30"/>
        <v>2451</v>
      </c>
      <c r="D111" s="319">
        <f t="shared" si="31"/>
        <v>2345</v>
      </c>
      <c r="E111" s="336">
        <f>생잔율!J34</f>
        <v>0.99961999999999995</v>
      </c>
      <c r="F111" s="336">
        <f>생잔율!K34</f>
        <v>0.99968000000000001</v>
      </c>
      <c r="G111" s="547">
        <f t="shared" ref="G111:G127" si="32">ROUND(C110*E110^1,0)</f>
        <v>2331</v>
      </c>
      <c r="H111" s="547">
        <f t="shared" ref="H111:H127" si="33">ROUND(D110*F110^1,0)</f>
        <v>2217</v>
      </c>
      <c r="I111" s="322"/>
      <c r="J111" s="323"/>
      <c r="K111" s="323"/>
      <c r="L111" s="324"/>
    </row>
    <row r="112" spans="1:15" ht="20.100000000000001" customHeight="1">
      <c r="A112" s="283"/>
      <c r="B112" s="297" t="s">
        <v>354</v>
      </c>
      <c r="C112" s="319">
        <f t="shared" si="30"/>
        <v>2965</v>
      </c>
      <c r="D112" s="319">
        <f t="shared" si="31"/>
        <v>2757</v>
      </c>
      <c r="E112" s="336">
        <f>생잔율!J35</f>
        <v>0.99897999999999998</v>
      </c>
      <c r="F112" s="336">
        <f>생잔율!K35</f>
        <v>0.99953999999999998</v>
      </c>
      <c r="G112" s="547">
        <f t="shared" si="32"/>
        <v>2450</v>
      </c>
      <c r="H112" s="547">
        <f t="shared" si="33"/>
        <v>2344</v>
      </c>
      <c r="I112" s="325">
        <f t="shared" ref="I112:I118" si="34">K5</f>
        <v>2.21</v>
      </c>
      <c r="J112" s="326">
        <f t="shared" ref="J112:J118" si="35">ROUND(I112*5*D112/1000,0)</f>
        <v>30</v>
      </c>
      <c r="K112" s="326">
        <f t="shared" ref="K112:K118" si="36">ROUND(J112*$K$22,0)</f>
        <v>15</v>
      </c>
      <c r="L112" s="327">
        <f t="shared" ref="L112:L118" si="37">J112-K112</f>
        <v>15</v>
      </c>
    </row>
    <row r="113" spans="1:12" ht="20.100000000000001" customHeight="1">
      <c r="A113" s="283"/>
      <c r="B113" s="297" t="s">
        <v>356</v>
      </c>
      <c r="C113" s="319">
        <f t="shared" si="30"/>
        <v>3681</v>
      </c>
      <c r="D113" s="319">
        <f t="shared" si="31"/>
        <v>3457</v>
      </c>
      <c r="E113" s="336">
        <f>생잔율!J36</f>
        <v>0.99822</v>
      </c>
      <c r="F113" s="336">
        <f>생잔율!K36</f>
        <v>0.99921000000000004</v>
      </c>
      <c r="G113" s="547">
        <f t="shared" si="32"/>
        <v>2962</v>
      </c>
      <c r="H113" s="547">
        <f t="shared" si="33"/>
        <v>2756</v>
      </c>
      <c r="I113" s="325">
        <f t="shared" si="34"/>
        <v>24.69</v>
      </c>
      <c r="J113" s="326">
        <f t="shared" si="35"/>
        <v>427</v>
      </c>
      <c r="K113" s="323">
        <f t="shared" si="36"/>
        <v>218</v>
      </c>
      <c r="L113" s="324">
        <f t="shared" si="37"/>
        <v>209</v>
      </c>
    </row>
    <row r="114" spans="1:12" ht="20.100000000000001" customHeight="1">
      <c r="A114" s="283"/>
      <c r="B114" s="297" t="s">
        <v>358</v>
      </c>
      <c r="C114" s="319">
        <f t="shared" si="30"/>
        <v>3991</v>
      </c>
      <c r="D114" s="319">
        <f t="shared" si="31"/>
        <v>3610</v>
      </c>
      <c r="E114" s="336">
        <f>생잔율!J37</f>
        <v>0.99750000000000005</v>
      </c>
      <c r="F114" s="336">
        <f>생잔율!K37</f>
        <v>0.99875999999999998</v>
      </c>
      <c r="G114" s="547">
        <f t="shared" si="32"/>
        <v>3674</v>
      </c>
      <c r="H114" s="547">
        <f t="shared" si="33"/>
        <v>3454</v>
      </c>
      <c r="I114" s="325">
        <f t="shared" si="34"/>
        <v>92.68</v>
      </c>
      <c r="J114" s="323">
        <f t="shared" si="35"/>
        <v>1673</v>
      </c>
      <c r="K114" s="323">
        <f t="shared" si="36"/>
        <v>855</v>
      </c>
      <c r="L114" s="324">
        <f t="shared" si="37"/>
        <v>818</v>
      </c>
    </row>
    <row r="115" spans="1:12" ht="20.100000000000001" customHeight="1">
      <c r="A115" s="283"/>
      <c r="B115" s="297" t="s">
        <v>359</v>
      </c>
      <c r="C115" s="319">
        <f t="shared" si="30"/>
        <v>3649</v>
      </c>
      <c r="D115" s="319">
        <f t="shared" si="31"/>
        <v>3000</v>
      </c>
      <c r="E115" s="336">
        <f>생잔율!J38</f>
        <v>0.997</v>
      </c>
      <c r="F115" s="336">
        <f>생잔율!K38</f>
        <v>0.99821000000000004</v>
      </c>
      <c r="G115" s="547">
        <f t="shared" si="32"/>
        <v>3981</v>
      </c>
      <c r="H115" s="547">
        <f t="shared" si="33"/>
        <v>3606</v>
      </c>
      <c r="I115" s="325">
        <f t="shared" si="34"/>
        <v>127.47</v>
      </c>
      <c r="J115" s="323">
        <f t="shared" si="35"/>
        <v>1912</v>
      </c>
      <c r="K115" s="323">
        <f t="shared" si="36"/>
        <v>978</v>
      </c>
      <c r="L115" s="324">
        <f t="shared" si="37"/>
        <v>934</v>
      </c>
    </row>
    <row r="116" spans="1:12" ht="20.100000000000001" customHeight="1">
      <c r="A116" s="283"/>
      <c r="B116" s="297" t="s">
        <v>360</v>
      </c>
      <c r="C116" s="319">
        <f t="shared" si="30"/>
        <v>3705</v>
      </c>
      <c r="D116" s="319">
        <f t="shared" si="31"/>
        <v>3156</v>
      </c>
      <c r="E116" s="336">
        <f>생잔율!J39</f>
        <v>0.99548000000000003</v>
      </c>
      <c r="F116" s="336">
        <f>생잔율!K39</f>
        <v>0.99743000000000004</v>
      </c>
      <c r="G116" s="547">
        <f t="shared" si="32"/>
        <v>3638</v>
      </c>
      <c r="H116" s="547">
        <f t="shared" si="33"/>
        <v>2995</v>
      </c>
      <c r="I116" s="325">
        <f t="shared" si="34"/>
        <v>69.05</v>
      </c>
      <c r="J116" s="323">
        <f t="shared" si="35"/>
        <v>1090</v>
      </c>
      <c r="K116" s="323">
        <f t="shared" si="36"/>
        <v>557</v>
      </c>
      <c r="L116" s="324">
        <f t="shared" si="37"/>
        <v>533</v>
      </c>
    </row>
    <row r="117" spans="1:12" ht="20.100000000000001" customHeight="1">
      <c r="A117" s="283"/>
      <c r="B117" s="297" t="s">
        <v>361</v>
      </c>
      <c r="C117" s="319">
        <f t="shared" si="30"/>
        <v>3935</v>
      </c>
      <c r="D117" s="319">
        <f t="shared" si="31"/>
        <v>3370</v>
      </c>
      <c r="E117" s="336">
        <f>생잔율!J40</f>
        <v>0.99224000000000001</v>
      </c>
      <c r="F117" s="336">
        <f>생잔율!K40</f>
        <v>0.99694000000000005</v>
      </c>
      <c r="G117" s="547">
        <f t="shared" si="32"/>
        <v>3688</v>
      </c>
      <c r="H117" s="547">
        <f t="shared" si="33"/>
        <v>3148</v>
      </c>
      <c r="I117" s="325">
        <f t="shared" si="34"/>
        <v>15.67</v>
      </c>
      <c r="J117" s="323">
        <f t="shared" si="35"/>
        <v>264</v>
      </c>
      <c r="K117" s="323">
        <f t="shared" si="36"/>
        <v>135</v>
      </c>
      <c r="L117" s="324">
        <f t="shared" si="37"/>
        <v>129</v>
      </c>
    </row>
    <row r="118" spans="1:12" ht="20.100000000000001" customHeight="1">
      <c r="A118" s="283"/>
      <c r="B118" s="297" t="s">
        <v>362</v>
      </c>
      <c r="C118" s="319">
        <f t="shared" si="30"/>
        <v>4563</v>
      </c>
      <c r="D118" s="319">
        <f t="shared" si="31"/>
        <v>3922</v>
      </c>
      <c r="E118" s="336">
        <f>생잔율!J41</f>
        <v>0.98770000000000002</v>
      </c>
      <c r="F118" s="336">
        <f>생잔율!K41</f>
        <v>0.99536000000000002</v>
      </c>
      <c r="G118" s="547">
        <f t="shared" si="32"/>
        <v>3904</v>
      </c>
      <c r="H118" s="547">
        <f t="shared" si="33"/>
        <v>3360</v>
      </c>
      <c r="I118" s="325">
        <f t="shared" si="34"/>
        <v>1.57</v>
      </c>
      <c r="J118" s="323">
        <f t="shared" si="35"/>
        <v>31</v>
      </c>
      <c r="K118" s="323">
        <f t="shared" si="36"/>
        <v>16</v>
      </c>
      <c r="L118" s="324">
        <f t="shared" si="37"/>
        <v>15</v>
      </c>
    </row>
    <row r="119" spans="1:12" ht="20.100000000000001" customHeight="1">
      <c r="A119" s="283"/>
      <c r="B119" s="297" t="s">
        <v>363</v>
      </c>
      <c r="C119" s="319">
        <f t="shared" si="30"/>
        <v>4831</v>
      </c>
      <c r="D119" s="319">
        <f t="shared" si="31"/>
        <v>4255</v>
      </c>
      <c r="E119" s="336">
        <f>생잔율!J42</f>
        <v>0.98165999999999998</v>
      </c>
      <c r="F119" s="336">
        <f>생잔율!K42</f>
        <v>0.99341999999999997</v>
      </c>
      <c r="G119" s="547">
        <f t="shared" si="32"/>
        <v>4507</v>
      </c>
      <c r="H119" s="547">
        <f t="shared" si="33"/>
        <v>3904</v>
      </c>
      <c r="I119" s="322"/>
      <c r="J119" s="323"/>
      <c r="K119" s="323"/>
      <c r="L119" s="324"/>
    </row>
    <row r="120" spans="1:12" ht="20.100000000000001" customHeight="1">
      <c r="A120" s="283"/>
      <c r="B120" s="297" t="s">
        <v>364</v>
      </c>
      <c r="C120" s="319">
        <f t="shared" si="30"/>
        <v>5248</v>
      </c>
      <c r="D120" s="319">
        <f t="shared" si="31"/>
        <v>4879</v>
      </c>
      <c r="E120" s="336">
        <f>생잔율!J43</f>
        <v>0.97465000000000002</v>
      </c>
      <c r="F120" s="336">
        <f>생잔율!K43</f>
        <v>0.99143000000000003</v>
      </c>
      <c r="G120" s="547">
        <f t="shared" si="32"/>
        <v>4742</v>
      </c>
      <c r="H120" s="547">
        <f t="shared" si="33"/>
        <v>4227</v>
      </c>
      <c r="I120" s="322"/>
      <c r="J120" s="323"/>
      <c r="K120" s="323"/>
      <c r="L120" s="324"/>
    </row>
    <row r="121" spans="1:12" ht="20.100000000000001" customHeight="1">
      <c r="A121" s="283"/>
      <c r="B121" s="297" t="s">
        <v>365</v>
      </c>
      <c r="C121" s="319">
        <f t="shared" si="30"/>
        <v>5223</v>
      </c>
      <c r="D121" s="319">
        <f t="shared" si="31"/>
        <v>5016</v>
      </c>
      <c r="E121" s="336">
        <f>생잔율!J44</f>
        <v>0.96331</v>
      </c>
      <c r="F121" s="336">
        <f>생잔율!K44</f>
        <v>0.98677999999999999</v>
      </c>
      <c r="G121" s="547">
        <f t="shared" si="32"/>
        <v>5115</v>
      </c>
      <c r="H121" s="547">
        <f t="shared" si="33"/>
        <v>4837</v>
      </c>
      <c r="I121" s="322"/>
      <c r="J121" s="323"/>
      <c r="K121" s="323"/>
      <c r="L121" s="324"/>
    </row>
    <row r="122" spans="1:12" ht="20.100000000000001" customHeight="1">
      <c r="A122" s="283"/>
      <c r="B122" s="297" t="s">
        <v>366</v>
      </c>
      <c r="C122" s="319">
        <f t="shared" si="30"/>
        <v>4135</v>
      </c>
      <c r="D122" s="319">
        <f t="shared" si="31"/>
        <v>4273</v>
      </c>
      <c r="E122" s="336">
        <f>생잔율!J45</f>
        <v>0.93835000000000002</v>
      </c>
      <c r="F122" s="336">
        <f>생잔율!K45</f>
        <v>0.97604999999999997</v>
      </c>
      <c r="G122" s="547">
        <f t="shared" si="32"/>
        <v>5031</v>
      </c>
      <c r="H122" s="547">
        <f t="shared" si="33"/>
        <v>4950</v>
      </c>
      <c r="I122" s="322"/>
      <c r="J122" s="323"/>
      <c r="K122" s="323"/>
      <c r="L122" s="324"/>
    </row>
    <row r="123" spans="1:12" ht="20.100000000000001" customHeight="1">
      <c r="A123" s="283"/>
      <c r="B123" s="297" t="s">
        <v>367</v>
      </c>
      <c r="C123" s="319">
        <f t="shared" si="30"/>
        <v>3127</v>
      </c>
      <c r="D123" s="319">
        <f t="shared" si="31"/>
        <v>3584</v>
      </c>
      <c r="E123" s="336">
        <f>생잔율!J46</f>
        <v>0.89844999999999997</v>
      </c>
      <c r="F123" s="336">
        <f>생잔율!K46</f>
        <v>0.95433999999999997</v>
      </c>
      <c r="G123" s="547">
        <f t="shared" si="32"/>
        <v>3880</v>
      </c>
      <c r="H123" s="547">
        <f t="shared" si="33"/>
        <v>4171</v>
      </c>
      <c r="I123" s="322"/>
      <c r="J123" s="323"/>
      <c r="K123" s="323"/>
      <c r="L123" s="324"/>
    </row>
    <row r="124" spans="1:12" ht="20.100000000000001" customHeight="1">
      <c r="A124" s="283"/>
      <c r="B124" s="297" t="s">
        <v>369</v>
      </c>
      <c r="C124" s="319">
        <f t="shared" si="30"/>
        <v>2664</v>
      </c>
      <c r="D124" s="319">
        <f t="shared" si="31"/>
        <v>3732</v>
      </c>
      <c r="E124" s="336">
        <f>생잔율!J47</f>
        <v>0.83448999999999995</v>
      </c>
      <c r="F124" s="336">
        <f>생잔율!K47</f>
        <v>0.91373000000000004</v>
      </c>
      <c r="G124" s="547">
        <f t="shared" si="32"/>
        <v>2809</v>
      </c>
      <c r="H124" s="547">
        <f t="shared" si="33"/>
        <v>3420</v>
      </c>
      <c r="I124" s="322"/>
      <c r="J124" s="323"/>
      <c r="K124" s="323"/>
      <c r="L124" s="324"/>
    </row>
    <row r="125" spans="1:12" ht="20.100000000000001" customHeight="1">
      <c r="A125" s="283"/>
      <c r="B125" s="297" t="s">
        <v>378</v>
      </c>
      <c r="C125" s="319">
        <f t="shared" si="30"/>
        <v>2046</v>
      </c>
      <c r="D125" s="319">
        <f t="shared" si="31"/>
        <v>3441</v>
      </c>
      <c r="E125" s="336">
        <f>생잔율!J48</f>
        <v>0.73807</v>
      </c>
      <c r="F125" s="336">
        <f>생잔율!K48</f>
        <v>0.84099999999999997</v>
      </c>
      <c r="G125" s="547">
        <f t="shared" si="32"/>
        <v>2223</v>
      </c>
      <c r="H125" s="547">
        <f t="shared" si="33"/>
        <v>3410</v>
      </c>
      <c r="I125" s="322"/>
      <c r="J125" s="323"/>
      <c r="K125" s="323"/>
      <c r="L125" s="324"/>
    </row>
    <row r="126" spans="1:12" ht="20.100000000000001" customHeight="1">
      <c r="A126" s="283"/>
      <c r="B126" s="297" t="s">
        <v>372</v>
      </c>
      <c r="C126" s="319">
        <f t="shared" si="30"/>
        <v>1101</v>
      </c>
      <c r="D126" s="319">
        <f t="shared" si="31"/>
        <v>2247</v>
      </c>
      <c r="E126" s="336">
        <f>생잔율!J49</f>
        <v>0.60348000000000002</v>
      </c>
      <c r="F126" s="336">
        <f>생잔율!K49</f>
        <v>0.71957000000000004</v>
      </c>
      <c r="G126" s="547">
        <f t="shared" si="32"/>
        <v>1510</v>
      </c>
      <c r="H126" s="547">
        <f t="shared" si="33"/>
        <v>2894</v>
      </c>
      <c r="I126" s="328"/>
      <c r="J126" s="329"/>
      <c r="K126" s="329"/>
      <c r="L126" s="330"/>
    </row>
    <row r="127" spans="1:12" ht="20.100000000000001" customHeight="1">
      <c r="A127" s="283"/>
      <c r="B127" s="297" t="s">
        <v>374</v>
      </c>
      <c r="C127" s="319">
        <f t="shared" si="30"/>
        <v>475</v>
      </c>
      <c r="D127" s="319">
        <f t="shared" si="31"/>
        <v>1237</v>
      </c>
      <c r="E127" s="336">
        <f>생잔율!J50</f>
        <v>0.43762999999999996</v>
      </c>
      <c r="F127" s="336">
        <f>생잔율!K50</f>
        <v>0.54103999999999997</v>
      </c>
      <c r="G127" s="547">
        <f t="shared" si="32"/>
        <v>664</v>
      </c>
      <c r="H127" s="547">
        <f t="shared" si="33"/>
        <v>1617</v>
      </c>
      <c r="I127" s="328"/>
      <c r="J127" s="329"/>
      <c r="K127" s="329"/>
      <c r="L127" s="330"/>
    </row>
    <row r="128" spans="1:12" ht="20.100000000000001" customHeight="1" thickBot="1">
      <c r="A128" s="283"/>
      <c r="B128" s="309" t="s">
        <v>375</v>
      </c>
      <c r="C128" s="319">
        <f t="shared" si="30"/>
        <v>102</v>
      </c>
      <c r="D128" s="319">
        <f t="shared" si="31"/>
        <v>300</v>
      </c>
      <c r="E128" s="336">
        <f>생잔율!J51</f>
        <v>0.26668000000000003</v>
      </c>
      <c r="F128" s="336">
        <f>생잔율!K51</f>
        <v>0.32803000000000004</v>
      </c>
      <c r="G128" s="547">
        <f>ROUND(C127*E127^1+C128*E128^1,0)</f>
        <v>235</v>
      </c>
      <c r="H128" s="547">
        <f>ROUND(D127*F127^1+D128*F128^1,0)</f>
        <v>768</v>
      </c>
      <c r="I128" s="328"/>
      <c r="J128" s="329"/>
      <c r="K128" s="329"/>
      <c r="L128" s="330"/>
    </row>
    <row r="129" spans="1:12" ht="20.100000000000001" customHeight="1">
      <c r="A129" s="283"/>
      <c r="B129" s="604" t="s">
        <v>376</v>
      </c>
      <c r="C129" s="332">
        <f>SUM(C109:C128)</f>
        <v>62911</v>
      </c>
      <c r="D129" s="332">
        <f>SUM(D109:D128)</f>
        <v>63367</v>
      </c>
      <c r="E129" s="289"/>
      <c r="F129" s="289"/>
      <c r="G129" s="548">
        <f>SUM(G109:G128)</f>
        <v>62802</v>
      </c>
      <c r="H129" s="548">
        <f>SUM(H109:H128)</f>
        <v>63297</v>
      </c>
      <c r="I129" s="289"/>
      <c r="J129" s="332">
        <f>SUM(J112:J128)</f>
        <v>5427</v>
      </c>
      <c r="K129" s="332">
        <f>SUM(K112:K128)</f>
        <v>2774</v>
      </c>
      <c r="L129" s="334">
        <f>SUM(L112:L128)</f>
        <v>2653</v>
      </c>
    </row>
    <row r="130" spans="1:12" ht="20.100000000000001" customHeight="1" thickBot="1">
      <c r="A130" s="283"/>
      <c r="B130" s="605"/>
      <c r="C130" s="602">
        <f>SUM(C129:D129)</f>
        <v>126278</v>
      </c>
      <c r="D130" s="602"/>
      <c r="E130" s="414"/>
      <c r="F130" s="331"/>
      <c r="G130" s="607">
        <f>SUM(G129:H129)</f>
        <v>126099</v>
      </c>
      <c r="H130" s="607"/>
      <c r="I130" s="335"/>
      <c r="J130" s="415"/>
      <c r="K130" s="415"/>
      <c r="L130" s="416"/>
    </row>
    <row r="131" spans="1:12" ht="20.100000000000001" customHeight="1">
      <c r="A131" s="283"/>
      <c r="B131" s="283"/>
      <c r="C131" s="284"/>
      <c r="D131" s="284"/>
      <c r="E131" s="284"/>
      <c r="F131" s="283"/>
      <c r="G131" s="283"/>
      <c r="H131" s="283"/>
      <c r="I131" s="283"/>
      <c r="J131" s="283"/>
      <c r="K131" s="283"/>
      <c r="L131" s="283"/>
    </row>
    <row r="132" spans="1:12" ht="20.100000000000001" customHeight="1" thickBot="1">
      <c r="A132" s="283"/>
      <c r="B132" s="315" t="s">
        <v>122</v>
      </c>
      <c r="C132" s="316"/>
      <c r="D132" s="316"/>
      <c r="E132" s="316"/>
      <c r="F132" s="317"/>
      <c r="G132" s="317"/>
      <c r="H132" s="317"/>
      <c r="I132" s="317"/>
      <c r="J132" s="317"/>
      <c r="K132" s="317"/>
      <c r="L132" s="317"/>
    </row>
    <row r="133" spans="1:12" ht="20.100000000000001" customHeight="1">
      <c r="A133" s="283"/>
      <c r="B133" s="591" t="s">
        <v>344</v>
      </c>
      <c r="C133" s="600" t="s">
        <v>123</v>
      </c>
      <c r="D133" s="600"/>
      <c r="E133" s="600" t="s">
        <v>124</v>
      </c>
      <c r="F133" s="600"/>
      <c r="G133" s="600" t="s">
        <v>125</v>
      </c>
      <c r="H133" s="600"/>
      <c r="I133" s="600" t="s">
        <v>119</v>
      </c>
      <c r="J133" s="600" t="s">
        <v>377</v>
      </c>
      <c r="K133" s="600"/>
      <c r="L133" s="601"/>
    </row>
    <row r="134" spans="1:12" ht="20.100000000000001" customHeight="1" thickBot="1">
      <c r="A134" s="283"/>
      <c r="B134" s="592"/>
      <c r="C134" s="413" t="s">
        <v>346</v>
      </c>
      <c r="D134" s="413" t="s">
        <v>347</v>
      </c>
      <c r="E134" s="413" t="s">
        <v>346</v>
      </c>
      <c r="F134" s="413" t="s">
        <v>347</v>
      </c>
      <c r="G134" s="413" t="s">
        <v>346</v>
      </c>
      <c r="H134" s="413" t="s">
        <v>347</v>
      </c>
      <c r="I134" s="603"/>
      <c r="J134" s="413" t="s">
        <v>47</v>
      </c>
      <c r="K134" s="413" t="s">
        <v>346</v>
      </c>
      <c r="L134" s="424" t="s">
        <v>347</v>
      </c>
    </row>
    <row r="135" spans="1:12" ht="20.100000000000001" customHeight="1" thickTop="1">
      <c r="A135" s="283"/>
      <c r="B135" s="292" t="s">
        <v>353</v>
      </c>
      <c r="C135" s="319">
        <f t="shared" ref="C135:C154" si="38">G109</f>
        <v>2774</v>
      </c>
      <c r="D135" s="319">
        <f t="shared" ref="D135:D154" si="39">H109</f>
        <v>2653</v>
      </c>
      <c r="E135" s="336">
        <f>생잔율!L32</f>
        <v>0.99914800000000004</v>
      </c>
      <c r="F135" s="336">
        <f>생잔율!M32</f>
        <v>0.99920600000000004</v>
      </c>
      <c r="G135" s="546">
        <f>SUM(K138:K144)</f>
        <v>2891</v>
      </c>
      <c r="H135" s="546">
        <f>SUM(L138:L144)</f>
        <v>2766</v>
      </c>
      <c r="I135" s="318"/>
      <c r="J135" s="319"/>
      <c r="K135" s="319"/>
      <c r="L135" s="320"/>
    </row>
    <row r="136" spans="1:12" ht="20.100000000000001" customHeight="1">
      <c r="A136" s="283"/>
      <c r="B136" s="297" t="s">
        <v>355</v>
      </c>
      <c r="C136" s="319">
        <f t="shared" si="38"/>
        <v>2684</v>
      </c>
      <c r="D136" s="319">
        <f t="shared" si="39"/>
        <v>2566</v>
      </c>
      <c r="E136" s="336">
        <f>생잔율!L33</f>
        <v>0.99983</v>
      </c>
      <c r="F136" s="336">
        <f>생잔율!M33</f>
        <v>0.99983</v>
      </c>
      <c r="G136" s="547">
        <f>ROUND(C135*E135^1,0)</f>
        <v>2772</v>
      </c>
      <c r="H136" s="547">
        <f>ROUND(D135*F135^1,0)</f>
        <v>2651</v>
      </c>
      <c r="I136" s="322"/>
      <c r="J136" s="323"/>
      <c r="K136" s="323"/>
      <c r="L136" s="324"/>
    </row>
    <row r="137" spans="1:12" ht="20.100000000000001" customHeight="1">
      <c r="A137" s="283"/>
      <c r="B137" s="297" t="s">
        <v>357</v>
      </c>
      <c r="C137" s="319">
        <f t="shared" si="38"/>
        <v>2331</v>
      </c>
      <c r="D137" s="319">
        <f t="shared" si="39"/>
        <v>2217</v>
      </c>
      <c r="E137" s="336">
        <f>생잔율!L34</f>
        <v>0.99972000000000005</v>
      </c>
      <c r="F137" s="336">
        <f>생잔율!M34</f>
        <v>0.99977000000000005</v>
      </c>
      <c r="G137" s="547">
        <f t="shared" ref="G137:G153" si="40">ROUND(C136*E136^1,0)</f>
        <v>2684</v>
      </c>
      <c r="H137" s="547">
        <f t="shared" ref="H137:H153" si="41">ROUND(D136*F136^1,0)</f>
        <v>2566</v>
      </c>
      <c r="I137" s="322"/>
      <c r="J137" s="323"/>
      <c r="K137" s="323"/>
      <c r="L137" s="324"/>
    </row>
    <row r="138" spans="1:12" ht="20.100000000000001" customHeight="1">
      <c r="A138" s="283"/>
      <c r="B138" s="297" t="s">
        <v>354</v>
      </c>
      <c r="C138" s="319">
        <f t="shared" si="38"/>
        <v>2450</v>
      </c>
      <c r="D138" s="319">
        <f t="shared" si="39"/>
        <v>2344</v>
      </c>
      <c r="E138" s="336">
        <f>생잔율!L35</f>
        <v>0.99922</v>
      </c>
      <c r="F138" s="336">
        <f>생잔율!M35</f>
        <v>0.99965000000000004</v>
      </c>
      <c r="G138" s="547">
        <f t="shared" si="40"/>
        <v>2330</v>
      </c>
      <c r="H138" s="547">
        <f t="shared" si="41"/>
        <v>2216</v>
      </c>
      <c r="I138" s="325">
        <f>L5</f>
        <v>2.36</v>
      </c>
      <c r="J138" s="326">
        <f t="shared" ref="J138:J144" si="42">ROUND(I138*5*D138/1000,0)</f>
        <v>28</v>
      </c>
      <c r="K138" s="326">
        <f t="shared" ref="K138:K144" si="43">ROUND(J138*$K$22,0)</f>
        <v>14</v>
      </c>
      <c r="L138" s="327">
        <f t="shared" ref="L138:L144" si="44">J138-K138</f>
        <v>14</v>
      </c>
    </row>
    <row r="139" spans="1:12" ht="20.100000000000001" customHeight="1">
      <c r="A139" s="283"/>
      <c r="B139" s="297" t="s">
        <v>356</v>
      </c>
      <c r="C139" s="319">
        <f t="shared" si="38"/>
        <v>2962</v>
      </c>
      <c r="D139" s="319">
        <f t="shared" si="39"/>
        <v>2756</v>
      </c>
      <c r="E139" s="336">
        <f>생잔율!L36</f>
        <v>0.99861</v>
      </c>
      <c r="F139" s="336">
        <f>생잔율!M36</f>
        <v>0.99938000000000005</v>
      </c>
      <c r="G139" s="547">
        <f t="shared" si="40"/>
        <v>2448</v>
      </c>
      <c r="H139" s="547">
        <f t="shared" si="41"/>
        <v>2343</v>
      </c>
      <c r="I139" s="325">
        <f t="shared" ref="I139:I144" si="45">L6</f>
        <v>25</v>
      </c>
      <c r="J139" s="326">
        <f t="shared" si="42"/>
        <v>345</v>
      </c>
      <c r="K139" s="323">
        <f t="shared" si="43"/>
        <v>176</v>
      </c>
      <c r="L139" s="324">
        <f t="shared" si="44"/>
        <v>169</v>
      </c>
    </row>
    <row r="140" spans="1:12" ht="20.100000000000001" customHeight="1">
      <c r="A140" s="283"/>
      <c r="B140" s="297" t="s">
        <v>358</v>
      </c>
      <c r="C140" s="319">
        <f t="shared" si="38"/>
        <v>3674</v>
      </c>
      <c r="D140" s="319">
        <f t="shared" si="39"/>
        <v>3454</v>
      </c>
      <c r="E140" s="336">
        <f>생잔율!L37</f>
        <v>0.998</v>
      </c>
      <c r="F140" s="336">
        <f>생잔율!M37</f>
        <v>0.99900999999999995</v>
      </c>
      <c r="G140" s="547">
        <f t="shared" si="40"/>
        <v>2958</v>
      </c>
      <c r="H140" s="547">
        <f t="shared" si="41"/>
        <v>2754</v>
      </c>
      <c r="I140" s="325">
        <f t="shared" si="45"/>
        <v>92.03</v>
      </c>
      <c r="J140" s="323">
        <f t="shared" si="42"/>
        <v>1589</v>
      </c>
      <c r="K140" s="323">
        <f t="shared" si="43"/>
        <v>812</v>
      </c>
      <c r="L140" s="324">
        <f t="shared" si="44"/>
        <v>777</v>
      </c>
    </row>
    <row r="141" spans="1:12" ht="20.100000000000001" customHeight="1">
      <c r="A141" s="283"/>
      <c r="B141" s="297" t="s">
        <v>359</v>
      </c>
      <c r="C141" s="319">
        <f t="shared" si="38"/>
        <v>3981</v>
      </c>
      <c r="D141" s="319">
        <f t="shared" si="39"/>
        <v>3606</v>
      </c>
      <c r="E141" s="336">
        <f>생잔율!L38</f>
        <v>0.99756</v>
      </c>
      <c r="F141" s="336">
        <f>생잔율!M38</f>
        <v>0.99853999999999998</v>
      </c>
      <c r="G141" s="547">
        <f t="shared" si="40"/>
        <v>3667</v>
      </c>
      <c r="H141" s="547">
        <f t="shared" si="41"/>
        <v>3451</v>
      </c>
      <c r="I141" s="325">
        <f t="shared" si="45"/>
        <v>128.02000000000001</v>
      </c>
      <c r="J141" s="323">
        <f t="shared" si="42"/>
        <v>2308</v>
      </c>
      <c r="K141" s="323">
        <f t="shared" si="43"/>
        <v>1180</v>
      </c>
      <c r="L141" s="324">
        <f t="shared" si="44"/>
        <v>1128</v>
      </c>
    </row>
    <row r="142" spans="1:12" ht="20.100000000000001" customHeight="1">
      <c r="A142" s="283"/>
      <c r="B142" s="297" t="s">
        <v>360</v>
      </c>
      <c r="C142" s="319">
        <f t="shared" si="38"/>
        <v>3638</v>
      </c>
      <c r="D142" s="319">
        <f t="shared" si="39"/>
        <v>2995</v>
      </c>
      <c r="E142" s="336">
        <f>생잔율!L39</f>
        <v>0.99624000000000001</v>
      </c>
      <c r="F142" s="336">
        <f>생잔율!M39</f>
        <v>0.99787000000000003</v>
      </c>
      <c r="G142" s="547">
        <f t="shared" si="40"/>
        <v>3971</v>
      </c>
      <c r="H142" s="547">
        <f t="shared" si="41"/>
        <v>3601</v>
      </c>
      <c r="I142" s="325">
        <f t="shared" si="45"/>
        <v>72.11</v>
      </c>
      <c r="J142" s="323">
        <f t="shared" si="42"/>
        <v>1080</v>
      </c>
      <c r="K142" s="323">
        <f t="shared" si="43"/>
        <v>552</v>
      </c>
      <c r="L142" s="324">
        <f t="shared" si="44"/>
        <v>528</v>
      </c>
    </row>
    <row r="143" spans="1:12" ht="20.100000000000001" customHeight="1">
      <c r="A143" s="283"/>
      <c r="B143" s="297" t="s">
        <v>361</v>
      </c>
      <c r="C143" s="319">
        <f t="shared" si="38"/>
        <v>3688</v>
      </c>
      <c r="D143" s="319">
        <f t="shared" si="39"/>
        <v>3148</v>
      </c>
      <c r="E143" s="336">
        <f>생잔율!L40</f>
        <v>0.99346000000000001</v>
      </c>
      <c r="F143" s="336">
        <f>생잔율!M40</f>
        <v>0.99743000000000004</v>
      </c>
      <c r="G143" s="547">
        <f t="shared" si="40"/>
        <v>3624</v>
      </c>
      <c r="H143" s="547">
        <f t="shared" si="41"/>
        <v>2989</v>
      </c>
      <c r="I143" s="325">
        <f t="shared" si="45"/>
        <v>17.45</v>
      </c>
      <c r="J143" s="323">
        <f t="shared" si="42"/>
        <v>275</v>
      </c>
      <c r="K143" s="323">
        <f t="shared" si="43"/>
        <v>141</v>
      </c>
      <c r="L143" s="324">
        <f t="shared" si="44"/>
        <v>134</v>
      </c>
    </row>
    <row r="144" spans="1:12" ht="20.100000000000001" customHeight="1">
      <c r="A144" s="283"/>
      <c r="B144" s="297" t="s">
        <v>362</v>
      </c>
      <c r="C144" s="319">
        <f t="shared" si="38"/>
        <v>3904</v>
      </c>
      <c r="D144" s="319">
        <f t="shared" si="39"/>
        <v>3360</v>
      </c>
      <c r="E144" s="336">
        <f>생잔율!L41</f>
        <v>0.98955000000000004</v>
      </c>
      <c r="F144" s="336">
        <f>생잔율!M41</f>
        <v>0.99607000000000001</v>
      </c>
      <c r="G144" s="547">
        <f t="shared" si="40"/>
        <v>3664</v>
      </c>
      <c r="H144" s="547">
        <f t="shared" si="41"/>
        <v>3140</v>
      </c>
      <c r="I144" s="325">
        <f t="shared" si="45"/>
        <v>1.91</v>
      </c>
      <c r="J144" s="323">
        <f t="shared" si="42"/>
        <v>32</v>
      </c>
      <c r="K144" s="323">
        <f t="shared" si="43"/>
        <v>16</v>
      </c>
      <c r="L144" s="324">
        <f t="shared" si="44"/>
        <v>16</v>
      </c>
    </row>
    <row r="145" spans="1:12" ht="20.100000000000001" customHeight="1">
      <c r="A145" s="283"/>
      <c r="B145" s="297" t="s">
        <v>363</v>
      </c>
      <c r="C145" s="319">
        <f t="shared" si="38"/>
        <v>4507</v>
      </c>
      <c r="D145" s="319">
        <f t="shared" si="39"/>
        <v>3904</v>
      </c>
      <c r="E145" s="336">
        <f>생잔율!L42</f>
        <v>0.98443000000000003</v>
      </c>
      <c r="F145" s="336">
        <f>생잔율!M42</f>
        <v>0.99443000000000004</v>
      </c>
      <c r="G145" s="547">
        <f t="shared" si="40"/>
        <v>3863</v>
      </c>
      <c r="H145" s="547">
        <f t="shared" si="41"/>
        <v>3347</v>
      </c>
      <c r="I145" s="322"/>
      <c r="J145" s="323"/>
      <c r="K145" s="323"/>
      <c r="L145" s="324"/>
    </row>
    <row r="146" spans="1:12" ht="20.100000000000001" customHeight="1">
      <c r="A146" s="283"/>
      <c r="B146" s="297" t="s">
        <v>364</v>
      </c>
      <c r="C146" s="319">
        <f t="shared" si="38"/>
        <v>4742</v>
      </c>
      <c r="D146" s="319">
        <f t="shared" si="39"/>
        <v>4227</v>
      </c>
      <c r="E146" s="336">
        <f>생잔율!L43</f>
        <v>0.97848000000000002</v>
      </c>
      <c r="F146" s="336">
        <f>생잔율!M43</f>
        <v>0.99273999999999996</v>
      </c>
      <c r="G146" s="547">
        <f t="shared" si="40"/>
        <v>4437</v>
      </c>
      <c r="H146" s="547">
        <f t="shared" si="41"/>
        <v>3882</v>
      </c>
      <c r="I146" s="322"/>
      <c r="J146" s="323"/>
      <c r="K146" s="323"/>
      <c r="L146" s="324"/>
    </row>
    <row r="147" spans="1:12" ht="20.100000000000001" customHeight="1">
      <c r="A147" s="283"/>
      <c r="B147" s="297" t="s">
        <v>365</v>
      </c>
      <c r="C147" s="319">
        <f t="shared" si="38"/>
        <v>5115</v>
      </c>
      <c r="D147" s="319">
        <f t="shared" si="39"/>
        <v>4837</v>
      </c>
      <c r="E147" s="336">
        <f>생잔율!L44</f>
        <v>0.96872999999999998</v>
      </c>
      <c r="F147" s="336">
        <f>생잔율!M44</f>
        <v>0.98875999999999997</v>
      </c>
      <c r="G147" s="547">
        <f t="shared" si="40"/>
        <v>4640</v>
      </c>
      <c r="H147" s="547">
        <f t="shared" si="41"/>
        <v>4196</v>
      </c>
      <c r="I147" s="322"/>
      <c r="J147" s="323"/>
      <c r="K147" s="323"/>
      <c r="L147" s="324"/>
    </row>
    <row r="148" spans="1:12" ht="20.100000000000001" customHeight="1">
      <c r="A148" s="283"/>
      <c r="B148" s="297" t="s">
        <v>366</v>
      </c>
      <c r="C148" s="319">
        <f t="shared" si="38"/>
        <v>5031</v>
      </c>
      <c r="D148" s="319">
        <f t="shared" si="39"/>
        <v>4950</v>
      </c>
      <c r="E148" s="336">
        <f>생잔율!L45</f>
        <v>0.94643999999999995</v>
      </c>
      <c r="F148" s="336">
        <f>생잔율!M45</f>
        <v>0.97926999999999997</v>
      </c>
      <c r="G148" s="547">
        <f t="shared" si="40"/>
        <v>4955</v>
      </c>
      <c r="H148" s="547">
        <f t="shared" si="41"/>
        <v>4783</v>
      </c>
      <c r="I148" s="322"/>
      <c r="J148" s="323"/>
      <c r="K148" s="323"/>
      <c r="L148" s="324"/>
    </row>
    <row r="149" spans="1:12" ht="20.100000000000001" customHeight="1">
      <c r="A149" s="283"/>
      <c r="B149" s="297" t="s">
        <v>367</v>
      </c>
      <c r="C149" s="319">
        <f t="shared" si="38"/>
        <v>3880</v>
      </c>
      <c r="D149" s="319">
        <f t="shared" si="39"/>
        <v>4171</v>
      </c>
      <c r="E149" s="336">
        <f>생잔율!L46</f>
        <v>0.90975000000000006</v>
      </c>
      <c r="F149" s="336">
        <f>생잔율!M46</f>
        <v>0.95957000000000003</v>
      </c>
      <c r="G149" s="547">
        <f t="shared" si="40"/>
        <v>4762</v>
      </c>
      <c r="H149" s="547">
        <f t="shared" si="41"/>
        <v>4847</v>
      </c>
      <c r="I149" s="322"/>
      <c r="J149" s="323"/>
      <c r="K149" s="323"/>
      <c r="L149" s="324"/>
    </row>
    <row r="150" spans="1:12" ht="20.100000000000001" customHeight="1">
      <c r="A150" s="283"/>
      <c r="B150" s="297" t="s">
        <v>369</v>
      </c>
      <c r="C150" s="319">
        <f t="shared" si="38"/>
        <v>2809</v>
      </c>
      <c r="D150" s="319">
        <f t="shared" si="39"/>
        <v>3420</v>
      </c>
      <c r="E150" s="336">
        <f>생잔율!L47</f>
        <v>0.84938000000000002</v>
      </c>
      <c r="F150" s="336">
        <f>생잔율!M47</f>
        <v>0.92181999999999997</v>
      </c>
      <c r="G150" s="547">
        <f t="shared" si="40"/>
        <v>3530</v>
      </c>
      <c r="H150" s="547">
        <f t="shared" si="41"/>
        <v>4002</v>
      </c>
      <c r="I150" s="322"/>
      <c r="J150" s="323"/>
      <c r="K150" s="323"/>
      <c r="L150" s="324"/>
    </row>
    <row r="151" spans="1:12" ht="20.100000000000001" customHeight="1">
      <c r="A151" s="283"/>
      <c r="B151" s="297" t="s">
        <v>378</v>
      </c>
      <c r="C151" s="319">
        <f t="shared" si="38"/>
        <v>2223</v>
      </c>
      <c r="D151" s="319">
        <f t="shared" si="39"/>
        <v>3410</v>
      </c>
      <c r="E151" s="336">
        <f>생잔율!L48</f>
        <v>0.75567000000000006</v>
      </c>
      <c r="F151" s="336">
        <f>생잔율!M48</f>
        <v>0.85238000000000003</v>
      </c>
      <c r="G151" s="547">
        <f t="shared" si="40"/>
        <v>2386</v>
      </c>
      <c r="H151" s="547">
        <f t="shared" si="41"/>
        <v>3153</v>
      </c>
      <c r="I151" s="322"/>
      <c r="J151" s="323"/>
      <c r="K151" s="323"/>
      <c r="L151" s="324"/>
    </row>
    <row r="152" spans="1:12" ht="20.100000000000001" customHeight="1">
      <c r="A152" s="283"/>
      <c r="B152" s="297" t="s">
        <v>372</v>
      </c>
      <c r="C152" s="319">
        <f t="shared" si="38"/>
        <v>1510</v>
      </c>
      <c r="D152" s="319">
        <f t="shared" si="39"/>
        <v>2894</v>
      </c>
      <c r="E152" s="336">
        <f>생잔율!L49</f>
        <v>0.62156999999999996</v>
      </c>
      <c r="F152" s="336">
        <f>생잔율!M49</f>
        <v>0.73343999999999998</v>
      </c>
      <c r="G152" s="547">
        <f t="shared" si="40"/>
        <v>1680</v>
      </c>
      <c r="H152" s="547">
        <f t="shared" si="41"/>
        <v>2907</v>
      </c>
      <c r="I152" s="328"/>
      <c r="J152" s="329"/>
      <c r="K152" s="329"/>
      <c r="L152" s="330"/>
    </row>
    <row r="153" spans="1:12" ht="20.100000000000001" customHeight="1">
      <c r="A153" s="283"/>
      <c r="B153" s="297" t="s">
        <v>374</v>
      </c>
      <c r="C153" s="319">
        <f t="shared" si="38"/>
        <v>664</v>
      </c>
      <c r="D153" s="319">
        <f t="shared" si="39"/>
        <v>1617</v>
      </c>
      <c r="E153" s="336">
        <f>생잔율!L50</f>
        <v>0.45245000000000002</v>
      </c>
      <c r="F153" s="336">
        <f>생잔율!M50</f>
        <v>0.55438999999999994</v>
      </c>
      <c r="G153" s="547">
        <f t="shared" si="40"/>
        <v>939</v>
      </c>
      <c r="H153" s="547">
        <f t="shared" si="41"/>
        <v>2123</v>
      </c>
      <c r="I153" s="328"/>
      <c r="J153" s="329"/>
      <c r="K153" s="329"/>
      <c r="L153" s="330"/>
    </row>
    <row r="154" spans="1:12" ht="20.100000000000001" customHeight="1" thickBot="1">
      <c r="A154" s="283"/>
      <c r="B154" s="309" t="s">
        <v>375</v>
      </c>
      <c r="C154" s="319">
        <f t="shared" si="38"/>
        <v>235</v>
      </c>
      <c r="D154" s="319">
        <f t="shared" si="39"/>
        <v>768</v>
      </c>
      <c r="E154" s="336">
        <f>생잔율!L51</f>
        <v>0.27500000000000002</v>
      </c>
      <c r="F154" s="336">
        <f>생잔율!M51</f>
        <v>0.33648999999999996</v>
      </c>
      <c r="G154" s="547">
        <f>ROUND(C153*E153^1+C154*E154^1,0)</f>
        <v>365</v>
      </c>
      <c r="H154" s="547">
        <f>ROUND(D153*F153^1+D154*F154^1,0)</f>
        <v>1155</v>
      </c>
      <c r="I154" s="328"/>
      <c r="J154" s="329"/>
      <c r="K154" s="329"/>
      <c r="L154" s="330"/>
    </row>
    <row r="155" spans="1:12" ht="20.100000000000001" customHeight="1">
      <c r="A155" s="283"/>
      <c r="B155" s="604" t="s">
        <v>376</v>
      </c>
      <c r="C155" s="332">
        <f>SUM(C135:C154)</f>
        <v>62802</v>
      </c>
      <c r="D155" s="332">
        <f>SUM(D135:D154)</f>
        <v>63297</v>
      </c>
      <c r="E155" s="289"/>
      <c r="F155" s="289"/>
      <c r="G155" s="548">
        <f>SUM(G135:G154)</f>
        <v>62566</v>
      </c>
      <c r="H155" s="548">
        <f>SUM(H135:H154)</f>
        <v>62872</v>
      </c>
      <c r="I155" s="289"/>
      <c r="J155" s="332">
        <f>SUM(J138:J154)</f>
        <v>5657</v>
      </c>
      <c r="K155" s="332">
        <f>SUM(K138:K154)</f>
        <v>2891</v>
      </c>
      <c r="L155" s="334">
        <f>SUM(L138:L154)</f>
        <v>2766</v>
      </c>
    </row>
    <row r="156" spans="1:12" ht="20.100000000000001" customHeight="1" thickBot="1">
      <c r="A156" s="283"/>
      <c r="B156" s="605"/>
      <c r="C156" s="602">
        <f>SUM(C155:D155)</f>
        <v>126099</v>
      </c>
      <c r="D156" s="602"/>
      <c r="E156" s="414"/>
      <c r="F156" s="331"/>
      <c r="G156" s="607">
        <f>SUM(G155:H155)</f>
        <v>125438</v>
      </c>
      <c r="H156" s="607"/>
      <c r="I156" s="335"/>
      <c r="J156" s="415"/>
      <c r="K156" s="415"/>
      <c r="L156" s="416"/>
    </row>
    <row r="157" spans="1:12" ht="20.100000000000001" customHeight="1">
      <c r="A157" s="283"/>
      <c r="B157" s="283"/>
      <c r="C157" s="284"/>
      <c r="D157" s="284"/>
      <c r="E157" s="284"/>
      <c r="F157" s="283"/>
      <c r="G157" s="283"/>
      <c r="H157" s="283"/>
      <c r="I157" s="283"/>
      <c r="J157" s="283"/>
      <c r="K157" s="283"/>
      <c r="L157" s="283"/>
    </row>
    <row r="158" spans="1:12" ht="20.100000000000001" customHeight="1" thickBot="1">
      <c r="A158" s="283"/>
      <c r="B158" s="315" t="s">
        <v>591</v>
      </c>
      <c r="C158" s="316"/>
      <c r="D158" s="316"/>
      <c r="E158" s="316"/>
      <c r="F158" s="317"/>
      <c r="G158" s="317"/>
      <c r="H158" s="317"/>
      <c r="I158" s="317"/>
      <c r="J158" s="317"/>
      <c r="K158" s="317"/>
      <c r="L158" s="317"/>
    </row>
    <row r="159" spans="1:12" ht="20.100000000000001" customHeight="1">
      <c r="A159" s="283"/>
      <c r="B159" s="591" t="s">
        <v>2</v>
      </c>
      <c r="C159" s="600" t="s">
        <v>593</v>
      </c>
      <c r="D159" s="600"/>
      <c r="E159" s="600" t="s">
        <v>594</v>
      </c>
      <c r="F159" s="600"/>
      <c r="G159" s="600" t="s">
        <v>595</v>
      </c>
      <c r="H159" s="600"/>
      <c r="I159" s="600" t="s">
        <v>596</v>
      </c>
      <c r="J159" s="600" t="s">
        <v>377</v>
      </c>
      <c r="K159" s="600"/>
      <c r="L159" s="601"/>
    </row>
    <row r="160" spans="1:12" ht="20.100000000000001" customHeight="1" thickBot="1">
      <c r="A160" s="283"/>
      <c r="B160" s="592"/>
      <c r="C160" s="413" t="s">
        <v>5</v>
      </c>
      <c r="D160" s="413" t="s">
        <v>6</v>
      </c>
      <c r="E160" s="413" t="s">
        <v>5</v>
      </c>
      <c r="F160" s="413" t="s">
        <v>6</v>
      </c>
      <c r="G160" s="413" t="s">
        <v>5</v>
      </c>
      <c r="H160" s="413" t="s">
        <v>6</v>
      </c>
      <c r="I160" s="603"/>
      <c r="J160" s="413" t="s">
        <v>47</v>
      </c>
      <c r="K160" s="413" t="s">
        <v>5</v>
      </c>
      <c r="L160" s="424" t="s">
        <v>6</v>
      </c>
    </row>
    <row r="161" spans="1:12" ht="20.100000000000001" customHeight="1" thickTop="1">
      <c r="A161" s="283"/>
      <c r="B161" s="292" t="s">
        <v>12</v>
      </c>
      <c r="C161" s="319">
        <f t="shared" ref="C161:C180" si="46">G135</f>
        <v>2891</v>
      </c>
      <c r="D161" s="319">
        <f t="shared" ref="D161:D180" si="47">H135</f>
        <v>2766</v>
      </c>
      <c r="E161" s="336">
        <f>생잔율!N32</f>
        <v>0.99926000000000004</v>
      </c>
      <c r="F161" s="336">
        <f>생잔율!O32</f>
        <v>0.999332</v>
      </c>
      <c r="G161" s="319">
        <f>SUM(K164:K170)</f>
        <v>2777</v>
      </c>
      <c r="H161" s="319">
        <f>SUM(L164:L170)</f>
        <v>2655</v>
      </c>
      <c r="I161" s="318"/>
      <c r="J161" s="319"/>
      <c r="K161" s="319"/>
      <c r="L161" s="320"/>
    </row>
    <row r="162" spans="1:12" ht="20.100000000000001" customHeight="1">
      <c r="A162" s="283"/>
      <c r="B162" s="297" t="s">
        <v>13</v>
      </c>
      <c r="C162" s="319">
        <f t="shared" si="46"/>
        <v>2772</v>
      </c>
      <c r="D162" s="319">
        <f t="shared" si="47"/>
        <v>2651</v>
      </c>
      <c r="E162" s="336">
        <f>생잔율!N33</f>
        <v>0.99987999999999999</v>
      </c>
      <c r="F162" s="336">
        <f>생잔율!O33</f>
        <v>0.99987999999999999</v>
      </c>
      <c r="G162" s="321">
        <f>ROUND(C161*E161^1,0)</f>
        <v>2889</v>
      </c>
      <c r="H162" s="321">
        <f>ROUND(D161*F161^1,0)</f>
        <v>2764</v>
      </c>
      <c r="I162" s="322"/>
      <c r="J162" s="323"/>
      <c r="K162" s="323"/>
      <c r="L162" s="324"/>
    </row>
    <row r="163" spans="1:12" ht="20.100000000000001" customHeight="1">
      <c r="A163" s="283"/>
      <c r="B163" s="297" t="s">
        <v>15</v>
      </c>
      <c r="C163" s="319">
        <f t="shared" si="46"/>
        <v>2684</v>
      </c>
      <c r="D163" s="319">
        <f t="shared" si="47"/>
        <v>2566</v>
      </c>
      <c r="E163" s="336">
        <f>생잔율!N34</f>
        <v>0.99980000000000002</v>
      </c>
      <c r="F163" s="336">
        <f>생잔율!O34</f>
        <v>0.99983</v>
      </c>
      <c r="G163" s="321">
        <f t="shared" ref="G163:G179" si="48">ROUND(C162*E162^1,0)</f>
        <v>2772</v>
      </c>
      <c r="H163" s="321">
        <f t="shared" ref="H163:H179" si="49">ROUND(D162*F162^1,0)</f>
        <v>2651</v>
      </c>
      <c r="I163" s="322"/>
      <c r="J163" s="323"/>
      <c r="K163" s="323"/>
      <c r="L163" s="324"/>
    </row>
    <row r="164" spans="1:12" ht="20.100000000000001" customHeight="1">
      <c r="A164" s="283"/>
      <c r="B164" s="297" t="s">
        <v>17</v>
      </c>
      <c r="C164" s="319">
        <f t="shared" si="46"/>
        <v>2330</v>
      </c>
      <c r="D164" s="319">
        <f t="shared" si="47"/>
        <v>2216</v>
      </c>
      <c r="E164" s="336">
        <f>생잔율!N35</f>
        <v>0.99941000000000002</v>
      </c>
      <c r="F164" s="336">
        <f>생잔율!O35</f>
        <v>0.99973000000000001</v>
      </c>
      <c r="G164" s="321">
        <f t="shared" si="48"/>
        <v>2683</v>
      </c>
      <c r="H164" s="321">
        <f t="shared" si="49"/>
        <v>2566</v>
      </c>
      <c r="I164" s="325">
        <f>M5</f>
        <v>2.46</v>
      </c>
      <c r="J164" s="326">
        <f t="shared" ref="J164:J170" si="50">ROUND(I164*5*D164/1000,0)</f>
        <v>27</v>
      </c>
      <c r="K164" s="326">
        <f t="shared" ref="K164:K170" si="51">ROUND(J164*$K$22,0)</f>
        <v>14</v>
      </c>
      <c r="L164" s="327">
        <f t="shared" ref="L164:L170" si="52">J164-K164</f>
        <v>13</v>
      </c>
    </row>
    <row r="165" spans="1:12" ht="20.100000000000001" customHeight="1">
      <c r="A165" s="283"/>
      <c r="B165" s="297" t="s">
        <v>14</v>
      </c>
      <c r="C165" s="319">
        <f t="shared" si="46"/>
        <v>2448</v>
      </c>
      <c r="D165" s="319">
        <f t="shared" si="47"/>
        <v>2343</v>
      </c>
      <c r="E165" s="336">
        <f>생잔율!N36</f>
        <v>0.99890999999999996</v>
      </c>
      <c r="F165" s="336">
        <f>생잔율!O36</f>
        <v>0.99951000000000001</v>
      </c>
      <c r="G165" s="321">
        <f t="shared" si="48"/>
        <v>2329</v>
      </c>
      <c r="H165" s="321">
        <f t="shared" si="49"/>
        <v>2215</v>
      </c>
      <c r="I165" s="325">
        <f t="shared" ref="I165:I170" si="53">M6</f>
        <v>25.25</v>
      </c>
      <c r="J165" s="326">
        <f t="shared" si="50"/>
        <v>296</v>
      </c>
      <c r="K165" s="323">
        <f t="shared" si="51"/>
        <v>151</v>
      </c>
      <c r="L165" s="324">
        <f t="shared" si="52"/>
        <v>145</v>
      </c>
    </row>
    <row r="166" spans="1:12" ht="20.100000000000001" customHeight="1">
      <c r="A166" s="283"/>
      <c r="B166" s="297" t="s">
        <v>16</v>
      </c>
      <c r="C166" s="319">
        <f t="shared" si="46"/>
        <v>2958</v>
      </c>
      <c r="D166" s="319">
        <f t="shared" si="47"/>
        <v>2754</v>
      </c>
      <c r="E166" s="336">
        <f>생잔율!N37</f>
        <v>0.99839</v>
      </c>
      <c r="F166" s="336">
        <f>생잔율!O37</f>
        <v>0.99921000000000004</v>
      </c>
      <c r="G166" s="321">
        <f t="shared" si="48"/>
        <v>2445</v>
      </c>
      <c r="H166" s="321">
        <f t="shared" si="49"/>
        <v>2342</v>
      </c>
      <c r="I166" s="325">
        <f t="shared" si="53"/>
        <v>91.8</v>
      </c>
      <c r="J166" s="323">
        <f t="shared" si="50"/>
        <v>1264</v>
      </c>
      <c r="K166" s="323">
        <f t="shared" si="51"/>
        <v>646</v>
      </c>
      <c r="L166" s="324">
        <f t="shared" si="52"/>
        <v>618</v>
      </c>
    </row>
    <row r="167" spans="1:12" ht="20.100000000000001" customHeight="1">
      <c r="A167" s="283"/>
      <c r="B167" s="297" t="s">
        <v>18</v>
      </c>
      <c r="C167" s="319">
        <f t="shared" si="46"/>
        <v>3667</v>
      </c>
      <c r="D167" s="319">
        <f t="shared" si="47"/>
        <v>3451</v>
      </c>
      <c r="E167" s="336">
        <f>생잔율!N38</f>
        <v>0.99800999999999995</v>
      </c>
      <c r="F167" s="336">
        <f>생잔율!O38</f>
        <v>0.99880999999999998</v>
      </c>
      <c r="G167" s="321">
        <f t="shared" si="48"/>
        <v>2953</v>
      </c>
      <c r="H167" s="321">
        <f t="shared" si="49"/>
        <v>2752</v>
      </c>
      <c r="I167" s="325">
        <f t="shared" si="53"/>
        <v>128.21</v>
      </c>
      <c r="J167" s="323">
        <f t="shared" si="50"/>
        <v>2212</v>
      </c>
      <c r="K167" s="323">
        <f t="shared" si="51"/>
        <v>1131</v>
      </c>
      <c r="L167" s="324">
        <f t="shared" si="52"/>
        <v>1081</v>
      </c>
    </row>
    <row r="168" spans="1:12" ht="20.100000000000001" customHeight="1">
      <c r="A168" s="283"/>
      <c r="B168" s="297" t="s">
        <v>19</v>
      </c>
      <c r="C168" s="319">
        <f t="shared" si="46"/>
        <v>3971</v>
      </c>
      <c r="D168" s="319">
        <f t="shared" si="47"/>
        <v>3601</v>
      </c>
      <c r="E168" s="336">
        <f>생잔율!N39</f>
        <v>0.99687000000000003</v>
      </c>
      <c r="F168" s="336">
        <f>생잔율!O39</f>
        <v>0.99822</v>
      </c>
      <c r="G168" s="321">
        <f t="shared" si="48"/>
        <v>3660</v>
      </c>
      <c r="H168" s="321">
        <f t="shared" si="49"/>
        <v>3447</v>
      </c>
      <c r="I168" s="325">
        <f t="shared" si="53"/>
        <v>73.58</v>
      </c>
      <c r="J168" s="323">
        <f t="shared" si="50"/>
        <v>1325</v>
      </c>
      <c r="K168" s="323">
        <f t="shared" si="51"/>
        <v>677</v>
      </c>
      <c r="L168" s="324">
        <f t="shared" si="52"/>
        <v>648</v>
      </c>
    </row>
    <row r="169" spans="1:12" ht="20.100000000000001" customHeight="1">
      <c r="A169" s="283"/>
      <c r="B169" s="297" t="s">
        <v>20</v>
      </c>
      <c r="C169" s="319">
        <f t="shared" si="46"/>
        <v>3624</v>
      </c>
      <c r="D169" s="319">
        <f t="shared" si="47"/>
        <v>2989</v>
      </c>
      <c r="E169" s="336">
        <f>생잔율!N40</f>
        <v>0.99448999999999999</v>
      </c>
      <c r="F169" s="336">
        <f>생잔율!O40</f>
        <v>0.99782999999999999</v>
      </c>
      <c r="G169" s="321">
        <f t="shared" si="48"/>
        <v>3959</v>
      </c>
      <c r="H169" s="321">
        <f t="shared" si="49"/>
        <v>3595</v>
      </c>
      <c r="I169" s="325">
        <f t="shared" si="53"/>
        <v>18.39</v>
      </c>
      <c r="J169" s="323">
        <f t="shared" si="50"/>
        <v>275</v>
      </c>
      <c r="K169" s="323">
        <f t="shared" si="51"/>
        <v>141</v>
      </c>
      <c r="L169" s="324">
        <f t="shared" si="52"/>
        <v>134</v>
      </c>
    </row>
    <row r="170" spans="1:12" ht="20.100000000000001" customHeight="1">
      <c r="A170" s="283"/>
      <c r="B170" s="297" t="s">
        <v>21</v>
      </c>
      <c r="C170" s="319">
        <f t="shared" si="46"/>
        <v>3664</v>
      </c>
      <c r="D170" s="319">
        <f t="shared" si="47"/>
        <v>3140</v>
      </c>
      <c r="E170" s="336">
        <f>생잔율!N41</f>
        <v>0.99112999999999996</v>
      </c>
      <c r="F170" s="336">
        <f>생잔율!O41</f>
        <v>0.99665999999999999</v>
      </c>
      <c r="G170" s="321">
        <f t="shared" si="48"/>
        <v>3604</v>
      </c>
      <c r="H170" s="321">
        <f t="shared" si="49"/>
        <v>2983</v>
      </c>
      <c r="I170" s="325">
        <f t="shared" si="53"/>
        <v>2.11</v>
      </c>
      <c r="J170" s="323">
        <f t="shared" si="50"/>
        <v>33</v>
      </c>
      <c r="K170" s="323">
        <f t="shared" si="51"/>
        <v>17</v>
      </c>
      <c r="L170" s="324">
        <f t="shared" si="52"/>
        <v>16</v>
      </c>
    </row>
    <row r="171" spans="1:12" ht="20.100000000000001" customHeight="1">
      <c r="A171" s="283"/>
      <c r="B171" s="297" t="s">
        <v>363</v>
      </c>
      <c r="C171" s="319">
        <f t="shared" si="46"/>
        <v>3863</v>
      </c>
      <c r="D171" s="319">
        <f t="shared" si="47"/>
        <v>3347</v>
      </c>
      <c r="E171" s="336">
        <f>생잔율!N42</f>
        <v>0.98679000000000006</v>
      </c>
      <c r="F171" s="336">
        <f>생잔율!O42</f>
        <v>0.99526999999999999</v>
      </c>
      <c r="G171" s="321">
        <f t="shared" si="48"/>
        <v>3632</v>
      </c>
      <c r="H171" s="321">
        <f t="shared" si="49"/>
        <v>3130</v>
      </c>
      <c r="I171" s="322"/>
      <c r="J171" s="323"/>
      <c r="K171" s="323"/>
      <c r="L171" s="324"/>
    </row>
    <row r="172" spans="1:12" ht="20.100000000000001" customHeight="1">
      <c r="A172" s="283"/>
      <c r="B172" s="297" t="s">
        <v>364</v>
      </c>
      <c r="C172" s="319">
        <f t="shared" si="46"/>
        <v>4437</v>
      </c>
      <c r="D172" s="319">
        <f t="shared" si="47"/>
        <v>3882</v>
      </c>
      <c r="E172" s="336">
        <f>생잔율!N43</f>
        <v>0.98172000000000004</v>
      </c>
      <c r="F172" s="336">
        <f>생잔율!O43</f>
        <v>0.99383999999999995</v>
      </c>
      <c r="G172" s="321">
        <f t="shared" si="48"/>
        <v>3812</v>
      </c>
      <c r="H172" s="321">
        <f t="shared" si="49"/>
        <v>3331</v>
      </c>
      <c r="I172" s="322"/>
      <c r="J172" s="323"/>
      <c r="K172" s="323"/>
      <c r="L172" s="324"/>
    </row>
    <row r="173" spans="1:12" ht="20.100000000000001" customHeight="1">
      <c r="A173" s="283"/>
      <c r="B173" s="297" t="s">
        <v>365</v>
      </c>
      <c r="C173" s="319">
        <f t="shared" si="46"/>
        <v>4640</v>
      </c>
      <c r="D173" s="319">
        <f t="shared" si="47"/>
        <v>4196</v>
      </c>
      <c r="E173" s="336">
        <f>생잔율!N44</f>
        <v>0.97331999999999996</v>
      </c>
      <c r="F173" s="336">
        <f>생잔율!O44</f>
        <v>0.99041999999999997</v>
      </c>
      <c r="G173" s="321">
        <f t="shared" si="48"/>
        <v>4356</v>
      </c>
      <c r="H173" s="321">
        <f t="shared" si="49"/>
        <v>3858</v>
      </c>
      <c r="I173" s="322"/>
      <c r="J173" s="323"/>
      <c r="K173" s="323"/>
      <c r="L173" s="324"/>
    </row>
    <row r="174" spans="1:12" ht="20.100000000000001" customHeight="1">
      <c r="A174" s="283"/>
      <c r="B174" s="297" t="s">
        <v>366</v>
      </c>
      <c r="C174" s="319">
        <f t="shared" si="46"/>
        <v>4955</v>
      </c>
      <c r="D174" s="319">
        <f t="shared" si="47"/>
        <v>4783</v>
      </c>
      <c r="E174" s="336">
        <f>생잔율!N45</f>
        <v>0.95345000000000002</v>
      </c>
      <c r="F174" s="336">
        <f>생잔율!O45</f>
        <v>0.98202</v>
      </c>
      <c r="G174" s="321">
        <f t="shared" si="48"/>
        <v>4516</v>
      </c>
      <c r="H174" s="321">
        <f t="shared" si="49"/>
        <v>4156</v>
      </c>
      <c r="I174" s="322"/>
      <c r="J174" s="323"/>
      <c r="K174" s="323"/>
      <c r="L174" s="324"/>
    </row>
    <row r="175" spans="1:12" ht="20.100000000000001" customHeight="1">
      <c r="A175" s="283"/>
      <c r="B175" s="297" t="s">
        <v>367</v>
      </c>
      <c r="C175" s="319">
        <f t="shared" si="46"/>
        <v>4762</v>
      </c>
      <c r="D175" s="319">
        <f t="shared" si="47"/>
        <v>4847</v>
      </c>
      <c r="E175" s="336">
        <f>생잔율!N46</f>
        <v>0.91976000000000002</v>
      </c>
      <c r="F175" s="336">
        <f>생잔율!O46</f>
        <v>0.96414999999999995</v>
      </c>
      <c r="G175" s="321">
        <f t="shared" si="48"/>
        <v>4724</v>
      </c>
      <c r="H175" s="321">
        <f t="shared" si="49"/>
        <v>4697</v>
      </c>
      <c r="I175" s="322"/>
      <c r="J175" s="323"/>
      <c r="K175" s="323"/>
      <c r="L175" s="324"/>
    </row>
    <row r="176" spans="1:12" ht="20.100000000000001" customHeight="1">
      <c r="A176" s="283"/>
      <c r="B176" s="297" t="s">
        <v>369</v>
      </c>
      <c r="C176" s="319">
        <f t="shared" si="46"/>
        <v>3530</v>
      </c>
      <c r="D176" s="319">
        <f t="shared" si="47"/>
        <v>4002</v>
      </c>
      <c r="E176" s="336">
        <f>생잔율!N47</f>
        <v>0.86294000000000004</v>
      </c>
      <c r="F176" s="336">
        <f>생잔율!O47</f>
        <v>0.92908999999999997</v>
      </c>
      <c r="G176" s="321">
        <f t="shared" si="48"/>
        <v>4380</v>
      </c>
      <c r="H176" s="321">
        <f t="shared" si="49"/>
        <v>4673</v>
      </c>
      <c r="I176" s="322"/>
      <c r="J176" s="323"/>
      <c r="K176" s="323"/>
      <c r="L176" s="324"/>
    </row>
    <row r="177" spans="1:12" ht="20.100000000000001" customHeight="1">
      <c r="A177" s="283"/>
      <c r="B177" s="297" t="s">
        <v>378</v>
      </c>
      <c r="C177" s="319">
        <f t="shared" si="46"/>
        <v>2386</v>
      </c>
      <c r="D177" s="319">
        <f t="shared" si="47"/>
        <v>3153</v>
      </c>
      <c r="E177" s="336">
        <f>생잔율!N48</f>
        <v>0.77234999999999998</v>
      </c>
      <c r="F177" s="336">
        <f>생잔율!O48</f>
        <v>0.86285000000000001</v>
      </c>
      <c r="G177" s="321">
        <f t="shared" si="48"/>
        <v>3046</v>
      </c>
      <c r="H177" s="321">
        <f t="shared" si="49"/>
        <v>3718</v>
      </c>
      <c r="I177" s="322"/>
      <c r="J177" s="323"/>
      <c r="K177" s="323"/>
      <c r="L177" s="324"/>
    </row>
    <row r="178" spans="1:12" ht="20.100000000000001" customHeight="1">
      <c r="A178" s="283"/>
      <c r="B178" s="297" t="s">
        <v>24</v>
      </c>
      <c r="C178" s="319">
        <f t="shared" si="46"/>
        <v>1680</v>
      </c>
      <c r="D178" s="319">
        <f t="shared" si="47"/>
        <v>2907</v>
      </c>
      <c r="E178" s="336">
        <f>생잔율!N49</f>
        <v>0.63894000000000006</v>
      </c>
      <c r="F178" s="336">
        <f>생잔율!O49</f>
        <v>0.74641999999999997</v>
      </c>
      <c r="G178" s="321">
        <f t="shared" si="48"/>
        <v>1843</v>
      </c>
      <c r="H178" s="321">
        <f t="shared" si="49"/>
        <v>2721</v>
      </c>
      <c r="I178" s="328"/>
      <c r="J178" s="329"/>
      <c r="K178" s="329"/>
      <c r="L178" s="330"/>
    </row>
    <row r="179" spans="1:12" ht="20.100000000000001" customHeight="1">
      <c r="A179" s="283"/>
      <c r="B179" s="297" t="s">
        <v>26</v>
      </c>
      <c r="C179" s="319">
        <f t="shared" si="46"/>
        <v>939</v>
      </c>
      <c r="D179" s="319">
        <f t="shared" si="47"/>
        <v>2123</v>
      </c>
      <c r="E179" s="336">
        <f>생잔율!N50</f>
        <v>0.46675</v>
      </c>
      <c r="F179" s="336">
        <f>생잔율!O50</f>
        <v>0.56708000000000003</v>
      </c>
      <c r="G179" s="321">
        <f t="shared" si="48"/>
        <v>1073</v>
      </c>
      <c r="H179" s="321">
        <f t="shared" si="49"/>
        <v>2170</v>
      </c>
      <c r="I179" s="328"/>
      <c r="J179" s="329"/>
      <c r="K179" s="329"/>
      <c r="L179" s="330"/>
    </row>
    <row r="180" spans="1:12" ht="20.100000000000001" customHeight="1" thickBot="1">
      <c r="A180" s="283"/>
      <c r="B180" s="309" t="s">
        <v>27</v>
      </c>
      <c r="C180" s="319">
        <f t="shared" si="46"/>
        <v>365</v>
      </c>
      <c r="D180" s="319">
        <f t="shared" si="47"/>
        <v>1155</v>
      </c>
      <c r="E180" s="336">
        <f>생잔율!N51</f>
        <v>0.28308999999999995</v>
      </c>
      <c r="F180" s="336">
        <f>생잔율!O51</f>
        <v>0.34469000000000005</v>
      </c>
      <c r="G180" s="321">
        <f>ROUND(C179*E179^1+C180*E180^1,0)</f>
        <v>542</v>
      </c>
      <c r="H180" s="321">
        <f>ROUND(D179*F179^1+D180*F180^1,0)</f>
        <v>1602</v>
      </c>
      <c r="I180" s="328"/>
      <c r="J180" s="329"/>
      <c r="K180" s="329"/>
      <c r="L180" s="330"/>
    </row>
    <row r="181" spans="1:12" ht="20.100000000000001" customHeight="1">
      <c r="A181" s="283"/>
      <c r="B181" s="604" t="s">
        <v>28</v>
      </c>
      <c r="C181" s="332">
        <f>SUM(C161:C180)</f>
        <v>62566</v>
      </c>
      <c r="D181" s="332">
        <f>SUM(D161:D180)</f>
        <v>62872</v>
      </c>
      <c r="E181" s="289"/>
      <c r="F181" s="289"/>
      <c r="G181" s="333">
        <f>SUM(G161:G180)</f>
        <v>61995</v>
      </c>
      <c r="H181" s="333">
        <f>SUM(H161:H180)</f>
        <v>62026</v>
      </c>
      <c r="I181" s="289"/>
      <c r="J181" s="332">
        <f>SUM(J164:J180)</f>
        <v>5432</v>
      </c>
      <c r="K181" s="332">
        <f>SUM(K164:K180)</f>
        <v>2777</v>
      </c>
      <c r="L181" s="334">
        <f>SUM(L164:L180)</f>
        <v>2655</v>
      </c>
    </row>
    <row r="182" spans="1:12" ht="20.100000000000001" customHeight="1" thickBot="1">
      <c r="A182" s="283"/>
      <c r="B182" s="605"/>
      <c r="C182" s="602">
        <f>SUM(C181:D181)</f>
        <v>125438</v>
      </c>
      <c r="D182" s="602"/>
      <c r="E182" s="414"/>
      <c r="F182" s="331"/>
      <c r="G182" s="602">
        <f>SUM(G181:H181)</f>
        <v>124021</v>
      </c>
      <c r="H182" s="602"/>
      <c r="I182" s="335"/>
      <c r="J182" s="415"/>
      <c r="K182" s="415"/>
      <c r="L182" s="416"/>
    </row>
    <row r="183" spans="1:12" ht="20.100000000000001" customHeight="1">
      <c r="A183" s="283"/>
      <c r="B183" s="283"/>
      <c r="C183" s="284"/>
      <c r="D183" s="284"/>
      <c r="E183" s="284"/>
      <c r="F183" s="283"/>
      <c r="G183" s="283"/>
      <c r="H183" s="283"/>
      <c r="I183" s="283"/>
      <c r="J183" s="283"/>
      <c r="K183" s="283"/>
      <c r="L183" s="283"/>
    </row>
    <row r="184" spans="1:12" ht="20.100000000000001" customHeight="1" thickBot="1">
      <c r="A184" s="283"/>
      <c r="B184" s="315" t="s">
        <v>592</v>
      </c>
      <c r="C184" s="316"/>
      <c r="D184" s="316"/>
      <c r="E184" s="316"/>
      <c r="F184" s="317"/>
      <c r="G184" s="317"/>
      <c r="H184" s="317"/>
      <c r="I184" s="317"/>
      <c r="J184" s="317"/>
      <c r="K184" s="317"/>
      <c r="L184" s="317"/>
    </row>
    <row r="185" spans="1:12" ht="20.100000000000001" customHeight="1">
      <c r="A185" s="283"/>
      <c r="B185" s="591" t="s">
        <v>2</v>
      </c>
      <c r="C185" s="600" t="s">
        <v>597</v>
      </c>
      <c r="D185" s="600"/>
      <c r="E185" s="600" t="s">
        <v>598</v>
      </c>
      <c r="F185" s="600"/>
      <c r="G185" s="600" t="s">
        <v>599</v>
      </c>
      <c r="H185" s="600"/>
      <c r="I185" s="600" t="s">
        <v>600</v>
      </c>
      <c r="J185" s="600" t="s">
        <v>377</v>
      </c>
      <c r="K185" s="600"/>
      <c r="L185" s="601"/>
    </row>
    <row r="186" spans="1:12" ht="20.100000000000001" customHeight="1" thickBot="1">
      <c r="A186" s="283"/>
      <c r="B186" s="592"/>
      <c r="C186" s="413" t="s">
        <v>5</v>
      </c>
      <c r="D186" s="413" t="s">
        <v>6</v>
      </c>
      <c r="E186" s="413" t="s">
        <v>5</v>
      </c>
      <c r="F186" s="413" t="s">
        <v>6</v>
      </c>
      <c r="G186" s="413" t="s">
        <v>5</v>
      </c>
      <c r="H186" s="413" t="s">
        <v>6</v>
      </c>
      <c r="I186" s="603"/>
      <c r="J186" s="413" t="s">
        <v>47</v>
      </c>
      <c r="K186" s="413" t="s">
        <v>5</v>
      </c>
      <c r="L186" s="424" t="s">
        <v>6</v>
      </c>
    </row>
    <row r="187" spans="1:12" ht="20.100000000000001" customHeight="1" thickTop="1">
      <c r="A187" s="283"/>
      <c r="B187" s="292" t="s">
        <v>12</v>
      </c>
      <c r="C187" s="319">
        <f t="shared" ref="C187:C206" si="54">G161</f>
        <v>2777</v>
      </c>
      <c r="D187" s="319">
        <f t="shared" ref="D187:D206" si="55">H161</f>
        <v>2655</v>
      </c>
      <c r="E187" s="336">
        <f>생잔율!P32</f>
        <v>0.99935200000000002</v>
      </c>
      <c r="F187" s="336">
        <f>생잔율!Q32</f>
        <v>0.99943000000000004</v>
      </c>
      <c r="G187" s="319">
        <f>SUM(K190:K196)</f>
        <v>2448</v>
      </c>
      <c r="H187" s="319">
        <f>SUM(L190:L196)</f>
        <v>2343</v>
      </c>
      <c r="I187" s="318"/>
      <c r="J187" s="319"/>
      <c r="K187" s="319"/>
      <c r="L187" s="320"/>
    </row>
    <row r="188" spans="1:12" ht="20.100000000000001" customHeight="1">
      <c r="A188" s="283"/>
      <c r="B188" s="297" t="s">
        <v>13</v>
      </c>
      <c r="C188" s="319">
        <f t="shared" si="54"/>
        <v>2889</v>
      </c>
      <c r="D188" s="319">
        <f t="shared" si="55"/>
        <v>2764</v>
      </c>
      <c r="E188" s="336">
        <f>생잔율!P33</f>
        <v>0.99990999999999997</v>
      </c>
      <c r="F188" s="336">
        <f>생잔율!Q33</f>
        <v>0.99990999999999997</v>
      </c>
      <c r="G188" s="321">
        <f>ROUND(C187*E187^1,0)</f>
        <v>2775</v>
      </c>
      <c r="H188" s="321">
        <f>ROUND(D187*F187^1,0)</f>
        <v>2653</v>
      </c>
      <c r="I188" s="322"/>
      <c r="J188" s="323"/>
      <c r="K188" s="323"/>
      <c r="L188" s="324"/>
    </row>
    <row r="189" spans="1:12" ht="20.100000000000001" customHeight="1">
      <c r="A189" s="283"/>
      <c r="B189" s="297" t="s">
        <v>15</v>
      </c>
      <c r="C189" s="319">
        <f t="shared" si="54"/>
        <v>2772</v>
      </c>
      <c r="D189" s="319">
        <f t="shared" si="55"/>
        <v>2651</v>
      </c>
      <c r="E189" s="336">
        <f>생잔율!P34</f>
        <v>0.99985000000000002</v>
      </c>
      <c r="F189" s="336">
        <f>생잔율!Q34</f>
        <v>0.99987999999999999</v>
      </c>
      <c r="G189" s="321">
        <f t="shared" ref="G189:G205" si="56">ROUND(C188*E188^1,0)</f>
        <v>2889</v>
      </c>
      <c r="H189" s="321">
        <f t="shared" ref="H189:H205" si="57">ROUND(D188*F188^1,0)</f>
        <v>2764</v>
      </c>
      <c r="I189" s="322"/>
      <c r="J189" s="323"/>
      <c r="K189" s="323"/>
      <c r="L189" s="324"/>
    </row>
    <row r="190" spans="1:12" ht="20.100000000000001" customHeight="1">
      <c r="A190" s="283"/>
      <c r="B190" s="297" t="s">
        <v>17</v>
      </c>
      <c r="C190" s="319">
        <f t="shared" si="54"/>
        <v>2683</v>
      </c>
      <c r="D190" s="319">
        <f t="shared" si="55"/>
        <v>2566</v>
      </c>
      <c r="E190" s="336">
        <f>생잔율!P35</f>
        <v>0.99953999999999998</v>
      </c>
      <c r="F190" s="336">
        <f>생잔율!Q35</f>
        <v>0.99978999999999996</v>
      </c>
      <c r="G190" s="321">
        <f t="shared" si="56"/>
        <v>2772</v>
      </c>
      <c r="H190" s="321">
        <f t="shared" si="57"/>
        <v>2651</v>
      </c>
      <c r="I190" s="325">
        <f>N5</f>
        <v>2.5099999999999998</v>
      </c>
      <c r="J190" s="326">
        <f t="shared" ref="J190:J196" si="58">ROUND(I190*5*D190/1000,0)</f>
        <v>32</v>
      </c>
      <c r="K190" s="326">
        <f t="shared" ref="K190:K196" si="59">ROUND(J190*$K$22,0)</f>
        <v>16</v>
      </c>
      <c r="L190" s="327">
        <f t="shared" ref="L190:L196" si="60">J190-K190</f>
        <v>16</v>
      </c>
    </row>
    <row r="191" spans="1:12" ht="20.100000000000001" customHeight="1">
      <c r="A191" s="283"/>
      <c r="B191" s="297" t="s">
        <v>14</v>
      </c>
      <c r="C191" s="319">
        <f t="shared" si="54"/>
        <v>2329</v>
      </c>
      <c r="D191" s="319">
        <f t="shared" si="55"/>
        <v>2215</v>
      </c>
      <c r="E191" s="336">
        <f>생잔율!P36</f>
        <v>0.99912999999999996</v>
      </c>
      <c r="F191" s="336">
        <f>생잔율!Q36</f>
        <v>0.99961</v>
      </c>
      <c r="G191" s="321">
        <f t="shared" si="56"/>
        <v>2682</v>
      </c>
      <c r="H191" s="321">
        <f t="shared" si="57"/>
        <v>2565</v>
      </c>
      <c r="I191" s="325">
        <f t="shared" ref="I191:I196" si="61">N6</f>
        <v>25.44</v>
      </c>
      <c r="J191" s="326">
        <f t="shared" si="58"/>
        <v>282</v>
      </c>
      <c r="K191" s="323">
        <f t="shared" si="59"/>
        <v>144</v>
      </c>
      <c r="L191" s="324">
        <f t="shared" si="60"/>
        <v>138</v>
      </c>
    </row>
    <row r="192" spans="1:12" ht="20.100000000000001" customHeight="1">
      <c r="A192" s="283"/>
      <c r="B192" s="297" t="s">
        <v>16</v>
      </c>
      <c r="C192" s="319">
        <f t="shared" si="54"/>
        <v>2445</v>
      </c>
      <c r="D192" s="319">
        <f t="shared" si="55"/>
        <v>2342</v>
      </c>
      <c r="E192" s="336">
        <f>생잔율!P37</f>
        <v>0.99868000000000001</v>
      </c>
      <c r="F192" s="336">
        <f>생잔율!Q37</f>
        <v>0.99934999999999996</v>
      </c>
      <c r="G192" s="321">
        <f t="shared" si="56"/>
        <v>2327</v>
      </c>
      <c r="H192" s="321">
        <f t="shared" si="57"/>
        <v>2214</v>
      </c>
      <c r="I192" s="325">
        <f t="shared" si="61"/>
        <v>91.88</v>
      </c>
      <c r="J192" s="323">
        <f t="shared" si="58"/>
        <v>1076</v>
      </c>
      <c r="K192" s="323">
        <f t="shared" si="59"/>
        <v>550</v>
      </c>
      <c r="L192" s="324">
        <f t="shared" si="60"/>
        <v>526</v>
      </c>
    </row>
    <row r="193" spans="1:12" ht="20.100000000000001" customHeight="1">
      <c r="A193" s="283"/>
      <c r="B193" s="297" t="s">
        <v>18</v>
      </c>
      <c r="C193" s="319">
        <f t="shared" si="54"/>
        <v>2953</v>
      </c>
      <c r="D193" s="319">
        <f t="shared" si="55"/>
        <v>2752</v>
      </c>
      <c r="E193" s="336">
        <f>생잔율!P38</f>
        <v>0.99834999999999996</v>
      </c>
      <c r="F193" s="336">
        <f>생잔율!Q38</f>
        <v>0.99902000000000002</v>
      </c>
      <c r="G193" s="321">
        <f t="shared" si="56"/>
        <v>2442</v>
      </c>
      <c r="H193" s="321">
        <f t="shared" si="57"/>
        <v>2340</v>
      </c>
      <c r="I193" s="325">
        <f t="shared" si="61"/>
        <v>128.15</v>
      </c>
      <c r="J193" s="323">
        <f t="shared" si="58"/>
        <v>1763</v>
      </c>
      <c r="K193" s="323">
        <f t="shared" si="59"/>
        <v>901</v>
      </c>
      <c r="L193" s="324">
        <f t="shared" si="60"/>
        <v>862</v>
      </c>
    </row>
    <row r="194" spans="1:12" ht="20.100000000000001" customHeight="1">
      <c r="A194" s="283"/>
      <c r="B194" s="297" t="s">
        <v>19</v>
      </c>
      <c r="C194" s="319">
        <f t="shared" si="54"/>
        <v>3660</v>
      </c>
      <c r="D194" s="319">
        <f t="shared" si="55"/>
        <v>3447</v>
      </c>
      <c r="E194" s="336">
        <f>생잔율!P39</f>
        <v>0.99734</v>
      </c>
      <c r="F194" s="336">
        <f>생잔율!Q39</f>
        <v>0.99850000000000005</v>
      </c>
      <c r="G194" s="321">
        <f t="shared" si="56"/>
        <v>2948</v>
      </c>
      <c r="H194" s="321">
        <f t="shared" si="57"/>
        <v>2749</v>
      </c>
      <c r="I194" s="325">
        <f t="shared" si="61"/>
        <v>73.81</v>
      </c>
      <c r="J194" s="323">
        <f t="shared" si="58"/>
        <v>1272</v>
      </c>
      <c r="K194" s="323">
        <f t="shared" si="59"/>
        <v>650</v>
      </c>
      <c r="L194" s="324">
        <f t="shared" si="60"/>
        <v>622</v>
      </c>
    </row>
    <row r="195" spans="1:12" ht="20.100000000000001" customHeight="1">
      <c r="A195" s="283"/>
      <c r="B195" s="297" t="s">
        <v>20</v>
      </c>
      <c r="C195" s="319">
        <f t="shared" si="54"/>
        <v>3959</v>
      </c>
      <c r="D195" s="319">
        <f t="shared" si="55"/>
        <v>3595</v>
      </c>
      <c r="E195" s="336">
        <f>생잔율!P40</f>
        <v>0.99529000000000001</v>
      </c>
      <c r="F195" s="336">
        <f>생잔율!Q40</f>
        <v>0.99816000000000005</v>
      </c>
      <c r="G195" s="321">
        <f t="shared" si="56"/>
        <v>3650</v>
      </c>
      <c r="H195" s="321">
        <f t="shared" si="57"/>
        <v>3442</v>
      </c>
      <c r="I195" s="325">
        <f t="shared" si="61"/>
        <v>18.600000000000001</v>
      </c>
      <c r="J195" s="323">
        <f t="shared" si="58"/>
        <v>334</v>
      </c>
      <c r="K195" s="323">
        <f t="shared" si="59"/>
        <v>171</v>
      </c>
      <c r="L195" s="324">
        <f t="shared" si="60"/>
        <v>163</v>
      </c>
    </row>
    <row r="196" spans="1:12" ht="20.100000000000001" customHeight="1">
      <c r="A196" s="283"/>
      <c r="B196" s="297" t="s">
        <v>21</v>
      </c>
      <c r="C196" s="319">
        <f t="shared" si="54"/>
        <v>3604</v>
      </c>
      <c r="D196" s="319">
        <f t="shared" si="55"/>
        <v>2983</v>
      </c>
      <c r="E196" s="336">
        <f>생잔율!P41</f>
        <v>0.99236000000000002</v>
      </c>
      <c r="F196" s="336">
        <f>생잔율!Q41</f>
        <v>0.99714000000000003</v>
      </c>
      <c r="G196" s="321">
        <f t="shared" si="56"/>
        <v>3940</v>
      </c>
      <c r="H196" s="321">
        <f t="shared" si="57"/>
        <v>3588</v>
      </c>
      <c r="I196" s="325">
        <f t="shared" si="61"/>
        <v>2.16</v>
      </c>
      <c r="J196" s="323">
        <f t="shared" si="58"/>
        <v>32</v>
      </c>
      <c r="K196" s="323">
        <f t="shared" si="59"/>
        <v>16</v>
      </c>
      <c r="L196" s="324">
        <f t="shared" si="60"/>
        <v>16</v>
      </c>
    </row>
    <row r="197" spans="1:12" ht="20.100000000000001" customHeight="1">
      <c r="A197" s="283"/>
      <c r="B197" s="297" t="s">
        <v>363</v>
      </c>
      <c r="C197" s="319">
        <f t="shared" si="54"/>
        <v>3632</v>
      </c>
      <c r="D197" s="319">
        <f t="shared" si="55"/>
        <v>3130</v>
      </c>
      <c r="E197" s="336">
        <f>생잔율!P42</f>
        <v>0.98863999999999996</v>
      </c>
      <c r="F197" s="336">
        <f>생잔율!Q42</f>
        <v>0.99595999999999996</v>
      </c>
      <c r="G197" s="321">
        <f t="shared" si="56"/>
        <v>3576</v>
      </c>
      <c r="H197" s="321">
        <f t="shared" si="57"/>
        <v>2974</v>
      </c>
      <c r="I197" s="322"/>
      <c r="J197" s="323"/>
      <c r="K197" s="323"/>
      <c r="L197" s="324"/>
    </row>
    <row r="198" spans="1:12" ht="20.100000000000001" customHeight="1">
      <c r="A198" s="283"/>
      <c r="B198" s="297" t="s">
        <v>364</v>
      </c>
      <c r="C198" s="319">
        <f t="shared" si="54"/>
        <v>3812</v>
      </c>
      <c r="D198" s="319">
        <f t="shared" si="55"/>
        <v>3331</v>
      </c>
      <c r="E198" s="336">
        <f>생잔율!P43</f>
        <v>0.98424999999999996</v>
      </c>
      <c r="F198" s="336">
        <f>생잔율!Q43</f>
        <v>0.99472000000000005</v>
      </c>
      <c r="G198" s="321">
        <f t="shared" si="56"/>
        <v>3591</v>
      </c>
      <c r="H198" s="321">
        <f t="shared" si="57"/>
        <v>3117</v>
      </c>
      <c r="I198" s="322"/>
      <c r="J198" s="323"/>
      <c r="K198" s="323"/>
      <c r="L198" s="324"/>
    </row>
    <row r="199" spans="1:12" ht="20.100000000000001" customHeight="1">
      <c r="A199" s="283"/>
      <c r="B199" s="297" t="s">
        <v>365</v>
      </c>
      <c r="C199" s="319">
        <f t="shared" si="54"/>
        <v>4356</v>
      </c>
      <c r="D199" s="319">
        <f t="shared" si="55"/>
        <v>3858</v>
      </c>
      <c r="E199" s="336">
        <f>생잔율!P44</f>
        <v>0.97694999999999999</v>
      </c>
      <c r="F199" s="336">
        <f>생잔율!Q44</f>
        <v>0.99177000000000004</v>
      </c>
      <c r="G199" s="321">
        <f t="shared" si="56"/>
        <v>3752</v>
      </c>
      <c r="H199" s="321">
        <f t="shared" si="57"/>
        <v>3313</v>
      </c>
      <c r="I199" s="322"/>
      <c r="J199" s="323"/>
      <c r="K199" s="323"/>
      <c r="L199" s="324"/>
    </row>
    <row r="200" spans="1:12" ht="20.100000000000001" customHeight="1">
      <c r="A200" s="283"/>
      <c r="B200" s="297" t="s">
        <v>366</v>
      </c>
      <c r="C200" s="319">
        <f t="shared" si="54"/>
        <v>4516</v>
      </c>
      <c r="D200" s="319">
        <f t="shared" si="55"/>
        <v>4156</v>
      </c>
      <c r="E200" s="336">
        <f>생잔율!P45</f>
        <v>0.95911999999999997</v>
      </c>
      <c r="F200" s="336">
        <f>생잔율!Q45</f>
        <v>0.98426999999999998</v>
      </c>
      <c r="G200" s="321">
        <f t="shared" si="56"/>
        <v>4256</v>
      </c>
      <c r="H200" s="321">
        <f t="shared" si="57"/>
        <v>3826</v>
      </c>
      <c r="I200" s="322"/>
      <c r="J200" s="323"/>
      <c r="K200" s="323"/>
      <c r="L200" s="324"/>
    </row>
    <row r="201" spans="1:12" ht="20.100000000000001" customHeight="1">
      <c r="A201" s="283"/>
      <c r="B201" s="297" t="s">
        <v>367</v>
      </c>
      <c r="C201" s="319">
        <f t="shared" si="54"/>
        <v>4724</v>
      </c>
      <c r="D201" s="319">
        <f t="shared" si="55"/>
        <v>4697</v>
      </c>
      <c r="E201" s="336">
        <f>생잔율!P46</f>
        <v>0.92801</v>
      </c>
      <c r="F201" s="336">
        <f>생잔율!Q46</f>
        <v>0.96799000000000002</v>
      </c>
      <c r="G201" s="321">
        <f t="shared" si="56"/>
        <v>4331</v>
      </c>
      <c r="H201" s="321">
        <f t="shared" si="57"/>
        <v>4091</v>
      </c>
      <c r="I201" s="322"/>
      <c r="J201" s="323"/>
      <c r="K201" s="323"/>
      <c r="L201" s="324"/>
    </row>
    <row r="202" spans="1:12" ht="20.100000000000001" customHeight="1">
      <c r="A202" s="283"/>
      <c r="B202" s="297" t="s">
        <v>369</v>
      </c>
      <c r="C202" s="319">
        <f t="shared" si="54"/>
        <v>4380</v>
      </c>
      <c r="D202" s="319">
        <f t="shared" si="55"/>
        <v>4673</v>
      </c>
      <c r="E202" s="336">
        <f>생잔율!P47</f>
        <v>0.87434000000000001</v>
      </c>
      <c r="F202" s="336">
        <f>생잔율!Q47</f>
        <v>0.93528999999999995</v>
      </c>
      <c r="G202" s="321">
        <f t="shared" si="56"/>
        <v>4384</v>
      </c>
      <c r="H202" s="321">
        <f t="shared" si="57"/>
        <v>4547</v>
      </c>
      <c r="I202" s="322"/>
      <c r="J202" s="323"/>
      <c r="K202" s="323"/>
      <c r="L202" s="324"/>
    </row>
    <row r="203" spans="1:12" ht="20.100000000000001" customHeight="1">
      <c r="A203" s="283"/>
      <c r="B203" s="297" t="s">
        <v>378</v>
      </c>
      <c r="C203" s="319">
        <f t="shared" si="54"/>
        <v>3046</v>
      </c>
      <c r="D203" s="319">
        <f t="shared" si="55"/>
        <v>3718</v>
      </c>
      <c r="E203" s="336">
        <f>생잔율!P48</f>
        <v>0.78656999999999999</v>
      </c>
      <c r="F203" s="336">
        <f>생잔율!Q48</f>
        <v>0.872</v>
      </c>
      <c r="G203" s="321">
        <f t="shared" si="56"/>
        <v>3830</v>
      </c>
      <c r="H203" s="321">
        <f t="shared" si="57"/>
        <v>4371</v>
      </c>
      <c r="I203" s="322"/>
      <c r="J203" s="323"/>
      <c r="K203" s="323"/>
      <c r="L203" s="324"/>
    </row>
    <row r="204" spans="1:12" ht="20.100000000000001" customHeight="1">
      <c r="A204" s="283"/>
      <c r="B204" s="297" t="s">
        <v>24</v>
      </c>
      <c r="C204" s="319">
        <f t="shared" si="54"/>
        <v>1843</v>
      </c>
      <c r="D204" s="319">
        <f t="shared" si="55"/>
        <v>2721</v>
      </c>
      <c r="E204" s="336">
        <f>생잔율!P49</f>
        <v>0.65425</v>
      </c>
      <c r="F204" s="336">
        <f>생잔율!Q49</f>
        <v>0.75807000000000002</v>
      </c>
      <c r="G204" s="321">
        <f t="shared" si="56"/>
        <v>2396</v>
      </c>
      <c r="H204" s="321">
        <f t="shared" si="57"/>
        <v>3242</v>
      </c>
      <c r="I204" s="328"/>
      <c r="J204" s="329"/>
      <c r="K204" s="329"/>
      <c r="L204" s="330"/>
    </row>
    <row r="205" spans="1:12" ht="20.100000000000001" customHeight="1">
      <c r="A205" s="283"/>
      <c r="B205" s="297" t="s">
        <v>26</v>
      </c>
      <c r="C205" s="319">
        <f t="shared" si="54"/>
        <v>1073</v>
      </c>
      <c r="D205" s="319">
        <f t="shared" si="55"/>
        <v>2170</v>
      </c>
      <c r="E205" s="336">
        <f>생잔율!P50</f>
        <v>0.47977999999999998</v>
      </c>
      <c r="F205" s="336">
        <f>생잔율!Q50</f>
        <v>0.57882</v>
      </c>
      <c r="G205" s="321">
        <f t="shared" si="56"/>
        <v>1206</v>
      </c>
      <c r="H205" s="321">
        <f t="shared" si="57"/>
        <v>2063</v>
      </c>
      <c r="I205" s="328"/>
      <c r="J205" s="329"/>
      <c r="K205" s="329"/>
      <c r="L205" s="330"/>
    </row>
    <row r="206" spans="1:12" ht="20.100000000000001" customHeight="1" thickBot="1">
      <c r="A206" s="283"/>
      <c r="B206" s="309" t="s">
        <v>27</v>
      </c>
      <c r="C206" s="319">
        <f t="shared" si="54"/>
        <v>542</v>
      </c>
      <c r="D206" s="319">
        <f t="shared" si="55"/>
        <v>1602</v>
      </c>
      <c r="E206" s="336">
        <f>생잔율!P51</f>
        <v>0.29061000000000003</v>
      </c>
      <c r="F206" s="336">
        <f>생잔율!Q51</f>
        <v>0.35241</v>
      </c>
      <c r="G206" s="321">
        <f>ROUND(C205*E205^1+C206*E206^1,0)</f>
        <v>672</v>
      </c>
      <c r="H206" s="321">
        <f>ROUND(D205*F205^1+D206*F206^1,0)</f>
        <v>1821</v>
      </c>
      <c r="I206" s="328"/>
      <c r="J206" s="329"/>
      <c r="K206" s="329"/>
      <c r="L206" s="330"/>
    </row>
    <row r="207" spans="1:12" ht="20.100000000000001" customHeight="1">
      <c r="A207" s="283"/>
      <c r="B207" s="604" t="s">
        <v>28</v>
      </c>
      <c r="C207" s="332">
        <f>SUM(C187:C206)</f>
        <v>61995</v>
      </c>
      <c r="D207" s="332">
        <f>SUM(D187:D206)</f>
        <v>62026</v>
      </c>
      <c r="E207" s="289"/>
      <c r="F207" s="289"/>
      <c r="G207" s="333">
        <f>SUM(G187:G206)</f>
        <v>60867</v>
      </c>
      <c r="H207" s="333">
        <f>SUM(H187:H206)</f>
        <v>60674</v>
      </c>
      <c r="I207" s="289"/>
      <c r="J207" s="332">
        <f>SUM(J190:J206)</f>
        <v>4791</v>
      </c>
      <c r="K207" s="332">
        <f>SUM(K190:K206)</f>
        <v>2448</v>
      </c>
      <c r="L207" s="334">
        <f>SUM(L190:L206)</f>
        <v>2343</v>
      </c>
    </row>
    <row r="208" spans="1:12" ht="20.100000000000001" customHeight="1" thickBot="1">
      <c r="A208" s="283"/>
      <c r="B208" s="605"/>
      <c r="C208" s="602">
        <f>SUM(C207:D207)</f>
        <v>124021</v>
      </c>
      <c r="D208" s="602"/>
      <c r="E208" s="414"/>
      <c r="F208" s="331"/>
      <c r="G208" s="602">
        <f>SUM(G207:H207)</f>
        <v>121541</v>
      </c>
      <c r="H208" s="602"/>
      <c r="I208" s="335"/>
      <c r="J208" s="415"/>
      <c r="K208" s="415"/>
      <c r="L208" s="416"/>
    </row>
    <row r="209" spans="1:16" ht="20.100000000000001" customHeight="1">
      <c r="A209" s="283"/>
      <c r="B209" s="283"/>
      <c r="C209" s="284"/>
      <c r="D209" s="284"/>
      <c r="E209" s="284"/>
      <c r="F209" s="283"/>
      <c r="G209" s="283"/>
      <c r="H209" s="283"/>
      <c r="I209" s="283"/>
      <c r="J209" s="283"/>
      <c r="K209" s="283"/>
      <c r="L209" s="283"/>
    </row>
    <row r="210" spans="1:16" ht="19.5" customHeight="1">
      <c r="A210" s="283"/>
      <c r="B210" s="303" t="s">
        <v>393</v>
      </c>
      <c r="C210" s="284"/>
      <c r="D210" s="284"/>
      <c r="E210" s="284"/>
      <c r="F210" s="283"/>
      <c r="G210" s="283"/>
      <c r="H210" s="283"/>
      <c r="I210" s="283"/>
      <c r="J210" s="283"/>
      <c r="K210" s="283"/>
      <c r="L210" s="283"/>
    </row>
    <row r="211" spans="1:16" ht="19.5" customHeight="1" thickBot="1">
      <c r="A211" s="283"/>
      <c r="B211" s="283"/>
      <c r="C211" s="284"/>
      <c r="D211" s="284"/>
      <c r="E211" s="284"/>
      <c r="F211" s="283"/>
      <c r="G211" s="283"/>
      <c r="H211" s="283"/>
      <c r="I211" s="283"/>
      <c r="J211" s="283"/>
      <c r="K211" s="283"/>
      <c r="L211" s="283" t="s">
        <v>394</v>
      </c>
    </row>
    <row r="212" spans="1:16" ht="19.5" customHeight="1">
      <c r="A212" s="283"/>
      <c r="B212" s="591" t="s">
        <v>344</v>
      </c>
      <c r="C212" s="593" t="s">
        <v>395</v>
      </c>
      <c r="D212" s="594"/>
      <c r="E212" s="593" t="s">
        <v>396</v>
      </c>
      <c r="F212" s="594"/>
      <c r="G212" s="593" t="s">
        <v>397</v>
      </c>
      <c r="H212" s="594"/>
      <c r="I212" s="596" t="s">
        <v>126</v>
      </c>
      <c r="J212" s="593"/>
      <c r="K212" s="596" t="s">
        <v>601</v>
      </c>
      <c r="L212" s="593"/>
      <c r="M212" s="596" t="s">
        <v>602</v>
      </c>
      <c r="N212" s="593"/>
      <c r="O212" s="586" t="s">
        <v>1</v>
      </c>
      <c r="P212" s="587"/>
    </row>
    <row r="213" spans="1:16" ht="19.5" customHeight="1" thickBot="1">
      <c r="A213" s="283"/>
      <c r="B213" s="592"/>
      <c r="C213" s="417" t="s">
        <v>346</v>
      </c>
      <c r="D213" s="417" t="s">
        <v>347</v>
      </c>
      <c r="E213" s="417" t="s">
        <v>346</v>
      </c>
      <c r="F213" s="417" t="s">
        <v>347</v>
      </c>
      <c r="G213" s="417" t="s">
        <v>346</v>
      </c>
      <c r="H213" s="425" t="s">
        <v>347</v>
      </c>
      <c r="I213" s="417" t="s">
        <v>346</v>
      </c>
      <c r="J213" s="425" t="s">
        <v>347</v>
      </c>
      <c r="K213" s="417" t="s">
        <v>5</v>
      </c>
      <c r="L213" s="425" t="s">
        <v>6</v>
      </c>
      <c r="M213" s="417" t="s">
        <v>5</v>
      </c>
      <c r="N213" s="425" t="s">
        <v>6</v>
      </c>
      <c r="O213" s="588"/>
      <c r="P213" s="589"/>
    </row>
    <row r="214" spans="1:16" ht="19.5" customHeight="1" thickTop="1">
      <c r="A214" s="283"/>
      <c r="B214" s="292" t="s">
        <v>353</v>
      </c>
      <c r="C214" s="338">
        <f t="shared" ref="C214:C233" si="62">G57</f>
        <v>2346</v>
      </c>
      <c r="D214" s="338">
        <f t="shared" ref="D214:D233" si="63">H57</f>
        <v>2231</v>
      </c>
      <c r="E214" s="338">
        <f t="shared" ref="E214:E233" si="64">G83</f>
        <v>2687</v>
      </c>
      <c r="F214" s="338">
        <f t="shared" ref="F214:F233" si="65">H83</f>
        <v>2568</v>
      </c>
      <c r="G214" s="338">
        <f t="shared" ref="G214:H233" si="66">G109</f>
        <v>2774</v>
      </c>
      <c r="H214" s="411">
        <f t="shared" si="66"/>
        <v>2653</v>
      </c>
      <c r="I214" s="338">
        <f t="shared" ref="I214:I233" si="67">G135</f>
        <v>2891</v>
      </c>
      <c r="J214" s="438">
        <f t="shared" ref="J214:J233" si="68">H135</f>
        <v>2766</v>
      </c>
      <c r="K214" s="338">
        <f>G161</f>
        <v>2777</v>
      </c>
      <c r="L214" s="438">
        <f>H161</f>
        <v>2655</v>
      </c>
      <c r="M214" s="338">
        <f>G187</f>
        <v>2448</v>
      </c>
      <c r="N214" s="438">
        <f>H187</f>
        <v>2343</v>
      </c>
      <c r="O214" s="439"/>
      <c r="P214" s="440"/>
    </row>
    <row r="215" spans="1:16" ht="19.5" customHeight="1">
      <c r="A215" s="283"/>
      <c r="B215" s="297" t="s">
        <v>355</v>
      </c>
      <c r="C215" s="338">
        <f t="shared" si="62"/>
        <v>2452</v>
      </c>
      <c r="D215" s="338">
        <f t="shared" si="63"/>
        <v>2346</v>
      </c>
      <c r="E215" s="338">
        <f t="shared" si="64"/>
        <v>2332</v>
      </c>
      <c r="F215" s="338">
        <f t="shared" si="65"/>
        <v>2218</v>
      </c>
      <c r="G215" s="338">
        <f t="shared" si="66"/>
        <v>2684</v>
      </c>
      <c r="H215" s="411">
        <f t="shared" si="66"/>
        <v>2566</v>
      </c>
      <c r="I215" s="338">
        <f t="shared" si="67"/>
        <v>2772</v>
      </c>
      <c r="J215" s="441">
        <f t="shared" si="68"/>
        <v>2651</v>
      </c>
      <c r="K215" s="338">
        <f t="shared" ref="K215:K233" si="69">G162</f>
        <v>2889</v>
      </c>
      <c r="L215" s="441">
        <f t="shared" ref="L215:L233" si="70">H162</f>
        <v>2764</v>
      </c>
      <c r="M215" s="338">
        <f t="shared" ref="M215:M233" si="71">G188</f>
        <v>2775</v>
      </c>
      <c r="N215" s="441">
        <f t="shared" ref="N215:N233" si="72">H188</f>
        <v>2653</v>
      </c>
      <c r="O215" s="442"/>
      <c r="P215" s="443"/>
    </row>
    <row r="216" spans="1:16" ht="19.5" customHeight="1">
      <c r="A216" s="283"/>
      <c r="B216" s="297" t="s">
        <v>357</v>
      </c>
      <c r="C216" s="338">
        <f t="shared" si="62"/>
        <v>2967</v>
      </c>
      <c r="D216" s="338">
        <f t="shared" si="63"/>
        <v>2758</v>
      </c>
      <c r="E216" s="338">
        <f t="shared" si="64"/>
        <v>2451</v>
      </c>
      <c r="F216" s="338">
        <f t="shared" si="65"/>
        <v>2345</v>
      </c>
      <c r="G216" s="338">
        <f t="shared" si="66"/>
        <v>2331</v>
      </c>
      <c r="H216" s="411">
        <f t="shared" si="66"/>
        <v>2217</v>
      </c>
      <c r="I216" s="338">
        <f t="shared" si="67"/>
        <v>2684</v>
      </c>
      <c r="J216" s="441">
        <f t="shared" si="68"/>
        <v>2566</v>
      </c>
      <c r="K216" s="338">
        <f t="shared" si="69"/>
        <v>2772</v>
      </c>
      <c r="L216" s="441">
        <f t="shared" si="70"/>
        <v>2651</v>
      </c>
      <c r="M216" s="338">
        <f t="shared" si="71"/>
        <v>2889</v>
      </c>
      <c r="N216" s="441">
        <f t="shared" si="72"/>
        <v>2764</v>
      </c>
      <c r="O216" s="442"/>
      <c r="P216" s="443"/>
    </row>
    <row r="217" spans="1:16" ht="19.5" customHeight="1">
      <c r="A217" s="283"/>
      <c r="B217" s="297" t="s">
        <v>354</v>
      </c>
      <c r="C217" s="338">
        <f t="shared" si="62"/>
        <v>3686</v>
      </c>
      <c r="D217" s="338">
        <f t="shared" si="63"/>
        <v>3459</v>
      </c>
      <c r="E217" s="338">
        <f t="shared" si="64"/>
        <v>2965</v>
      </c>
      <c r="F217" s="338">
        <f t="shared" si="65"/>
        <v>2757</v>
      </c>
      <c r="G217" s="338">
        <f t="shared" si="66"/>
        <v>2450</v>
      </c>
      <c r="H217" s="411">
        <f t="shared" si="66"/>
        <v>2344</v>
      </c>
      <c r="I217" s="338">
        <f t="shared" si="67"/>
        <v>2330</v>
      </c>
      <c r="J217" s="441">
        <f t="shared" si="68"/>
        <v>2216</v>
      </c>
      <c r="K217" s="338">
        <f t="shared" si="69"/>
        <v>2683</v>
      </c>
      <c r="L217" s="441">
        <f t="shared" si="70"/>
        <v>2566</v>
      </c>
      <c r="M217" s="338">
        <f t="shared" si="71"/>
        <v>2772</v>
      </c>
      <c r="N217" s="441">
        <f t="shared" si="72"/>
        <v>2651</v>
      </c>
      <c r="O217" s="442"/>
      <c r="P217" s="443"/>
    </row>
    <row r="218" spans="1:16" ht="19.5" customHeight="1">
      <c r="A218" s="283"/>
      <c r="B218" s="297" t="s">
        <v>356</v>
      </c>
      <c r="C218" s="338">
        <f t="shared" si="62"/>
        <v>4000</v>
      </c>
      <c r="D218" s="338">
        <f t="shared" si="63"/>
        <v>3614</v>
      </c>
      <c r="E218" s="338">
        <f t="shared" si="64"/>
        <v>3681</v>
      </c>
      <c r="F218" s="338">
        <f t="shared" si="65"/>
        <v>3457</v>
      </c>
      <c r="G218" s="338">
        <f t="shared" si="66"/>
        <v>2962</v>
      </c>
      <c r="H218" s="411">
        <f t="shared" si="66"/>
        <v>2756</v>
      </c>
      <c r="I218" s="338">
        <f t="shared" si="67"/>
        <v>2448</v>
      </c>
      <c r="J218" s="441">
        <f t="shared" si="68"/>
        <v>2343</v>
      </c>
      <c r="K218" s="338">
        <f t="shared" si="69"/>
        <v>2329</v>
      </c>
      <c r="L218" s="441">
        <f t="shared" si="70"/>
        <v>2215</v>
      </c>
      <c r="M218" s="338">
        <f t="shared" si="71"/>
        <v>2682</v>
      </c>
      <c r="N218" s="441">
        <f t="shared" si="72"/>
        <v>2565</v>
      </c>
      <c r="O218" s="442"/>
      <c r="P218" s="443"/>
    </row>
    <row r="219" spans="1:16" ht="19.5" customHeight="1">
      <c r="A219" s="283"/>
      <c r="B219" s="297" t="s">
        <v>358</v>
      </c>
      <c r="C219" s="338">
        <f t="shared" si="62"/>
        <v>3660</v>
      </c>
      <c r="D219" s="338">
        <f t="shared" si="63"/>
        <v>3005</v>
      </c>
      <c r="E219" s="338">
        <f t="shared" si="64"/>
        <v>3991</v>
      </c>
      <c r="F219" s="338">
        <f t="shared" si="65"/>
        <v>3610</v>
      </c>
      <c r="G219" s="338">
        <f t="shared" si="66"/>
        <v>3674</v>
      </c>
      <c r="H219" s="411">
        <f t="shared" si="66"/>
        <v>3454</v>
      </c>
      <c r="I219" s="338">
        <f t="shared" si="67"/>
        <v>2958</v>
      </c>
      <c r="J219" s="441">
        <f t="shared" si="68"/>
        <v>2754</v>
      </c>
      <c r="K219" s="338">
        <f t="shared" si="69"/>
        <v>2445</v>
      </c>
      <c r="L219" s="441">
        <f t="shared" si="70"/>
        <v>2342</v>
      </c>
      <c r="M219" s="338">
        <f t="shared" si="71"/>
        <v>2327</v>
      </c>
      <c r="N219" s="441">
        <f t="shared" si="72"/>
        <v>2214</v>
      </c>
      <c r="O219" s="442"/>
      <c r="P219" s="443"/>
    </row>
    <row r="220" spans="1:16" ht="19.5" customHeight="1">
      <c r="A220" s="283"/>
      <c r="B220" s="297" t="s">
        <v>359</v>
      </c>
      <c r="C220" s="338">
        <f t="shared" si="62"/>
        <v>3718</v>
      </c>
      <c r="D220" s="338">
        <f t="shared" si="63"/>
        <v>3163</v>
      </c>
      <c r="E220" s="338">
        <f t="shared" si="64"/>
        <v>3649</v>
      </c>
      <c r="F220" s="338">
        <f t="shared" si="65"/>
        <v>3000</v>
      </c>
      <c r="G220" s="338">
        <f t="shared" si="66"/>
        <v>3981</v>
      </c>
      <c r="H220" s="411">
        <f t="shared" si="66"/>
        <v>3606</v>
      </c>
      <c r="I220" s="338">
        <f t="shared" si="67"/>
        <v>3667</v>
      </c>
      <c r="J220" s="441">
        <f t="shared" si="68"/>
        <v>3451</v>
      </c>
      <c r="K220" s="338">
        <f t="shared" si="69"/>
        <v>2953</v>
      </c>
      <c r="L220" s="441">
        <f t="shared" si="70"/>
        <v>2752</v>
      </c>
      <c r="M220" s="338">
        <f t="shared" si="71"/>
        <v>2442</v>
      </c>
      <c r="N220" s="441">
        <f t="shared" si="72"/>
        <v>2340</v>
      </c>
      <c r="O220" s="442"/>
      <c r="P220" s="443"/>
    </row>
    <row r="221" spans="1:16" ht="19.5" customHeight="1">
      <c r="A221" s="283"/>
      <c r="B221" s="297" t="s">
        <v>360</v>
      </c>
      <c r="C221" s="338">
        <f t="shared" si="62"/>
        <v>3956</v>
      </c>
      <c r="D221" s="338">
        <f t="shared" si="63"/>
        <v>3380</v>
      </c>
      <c r="E221" s="338">
        <f t="shared" si="64"/>
        <v>3705</v>
      </c>
      <c r="F221" s="338">
        <f t="shared" si="65"/>
        <v>3156</v>
      </c>
      <c r="G221" s="338">
        <f t="shared" si="66"/>
        <v>3638</v>
      </c>
      <c r="H221" s="411">
        <f t="shared" si="66"/>
        <v>2995</v>
      </c>
      <c r="I221" s="338">
        <f t="shared" si="67"/>
        <v>3971</v>
      </c>
      <c r="J221" s="441">
        <f t="shared" si="68"/>
        <v>3601</v>
      </c>
      <c r="K221" s="338">
        <f t="shared" si="69"/>
        <v>3660</v>
      </c>
      <c r="L221" s="441">
        <f t="shared" si="70"/>
        <v>3447</v>
      </c>
      <c r="M221" s="338">
        <f t="shared" si="71"/>
        <v>2948</v>
      </c>
      <c r="N221" s="441">
        <f t="shared" si="72"/>
        <v>2749</v>
      </c>
      <c r="O221" s="442"/>
      <c r="P221" s="443"/>
    </row>
    <row r="222" spans="1:16" ht="19.5" customHeight="1">
      <c r="A222" s="283"/>
      <c r="B222" s="297" t="s">
        <v>361</v>
      </c>
      <c r="C222" s="338">
        <f t="shared" si="62"/>
        <v>4605</v>
      </c>
      <c r="D222" s="338">
        <f t="shared" si="63"/>
        <v>3936</v>
      </c>
      <c r="E222" s="338">
        <f t="shared" si="64"/>
        <v>3935</v>
      </c>
      <c r="F222" s="338">
        <f t="shared" si="65"/>
        <v>3370</v>
      </c>
      <c r="G222" s="338">
        <f t="shared" si="66"/>
        <v>3688</v>
      </c>
      <c r="H222" s="411">
        <f t="shared" si="66"/>
        <v>3148</v>
      </c>
      <c r="I222" s="338">
        <f t="shared" si="67"/>
        <v>3624</v>
      </c>
      <c r="J222" s="441">
        <f t="shared" si="68"/>
        <v>2989</v>
      </c>
      <c r="K222" s="338">
        <f t="shared" si="69"/>
        <v>3959</v>
      </c>
      <c r="L222" s="441">
        <f t="shared" si="70"/>
        <v>3595</v>
      </c>
      <c r="M222" s="338">
        <f t="shared" si="71"/>
        <v>3650</v>
      </c>
      <c r="N222" s="441">
        <f t="shared" si="72"/>
        <v>3442</v>
      </c>
      <c r="O222" s="442"/>
      <c r="P222" s="443"/>
    </row>
    <row r="223" spans="1:16" ht="19.5" customHeight="1">
      <c r="A223" s="283"/>
      <c r="B223" s="297" t="s">
        <v>362</v>
      </c>
      <c r="C223" s="338">
        <f t="shared" si="62"/>
        <v>4901</v>
      </c>
      <c r="D223" s="338">
        <f t="shared" si="63"/>
        <v>4278</v>
      </c>
      <c r="E223" s="338">
        <f t="shared" si="64"/>
        <v>4563</v>
      </c>
      <c r="F223" s="338">
        <f t="shared" si="65"/>
        <v>3922</v>
      </c>
      <c r="G223" s="338">
        <f t="shared" si="66"/>
        <v>3904</v>
      </c>
      <c r="H223" s="411">
        <f t="shared" si="66"/>
        <v>3360</v>
      </c>
      <c r="I223" s="338">
        <f t="shared" si="67"/>
        <v>3664</v>
      </c>
      <c r="J223" s="441">
        <f t="shared" si="68"/>
        <v>3140</v>
      </c>
      <c r="K223" s="338">
        <f t="shared" si="69"/>
        <v>3604</v>
      </c>
      <c r="L223" s="441">
        <f t="shared" si="70"/>
        <v>2983</v>
      </c>
      <c r="M223" s="338">
        <f t="shared" si="71"/>
        <v>3940</v>
      </c>
      <c r="N223" s="441">
        <f t="shared" si="72"/>
        <v>3588</v>
      </c>
      <c r="O223" s="442"/>
      <c r="P223" s="443"/>
    </row>
    <row r="224" spans="1:16" ht="19.5" customHeight="1">
      <c r="A224" s="283"/>
      <c r="B224" s="297" t="s">
        <v>363</v>
      </c>
      <c r="C224" s="338">
        <f t="shared" si="62"/>
        <v>5363</v>
      </c>
      <c r="D224" s="338">
        <f t="shared" si="63"/>
        <v>4917</v>
      </c>
      <c r="E224" s="338">
        <f t="shared" si="64"/>
        <v>4831</v>
      </c>
      <c r="F224" s="338">
        <f t="shared" si="65"/>
        <v>4255</v>
      </c>
      <c r="G224" s="338">
        <f t="shared" si="66"/>
        <v>4507</v>
      </c>
      <c r="H224" s="411">
        <f t="shared" si="66"/>
        <v>3904</v>
      </c>
      <c r="I224" s="338">
        <f t="shared" si="67"/>
        <v>3863</v>
      </c>
      <c r="J224" s="441">
        <f t="shared" si="68"/>
        <v>3347</v>
      </c>
      <c r="K224" s="338">
        <f t="shared" si="69"/>
        <v>3632</v>
      </c>
      <c r="L224" s="441">
        <f t="shared" si="70"/>
        <v>3130</v>
      </c>
      <c r="M224" s="338">
        <f t="shared" si="71"/>
        <v>3576</v>
      </c>
      <c r="N224" s="441">
        <f t="shared" si="72"/>
        <v>2974</v>
      </c>
      <c r="O224" s="442"/>
      <c r="P224" s="443"/>
    </row>
    <row r="225" spans="1:16" ht="19.5" customHeight="1">
      <c r="A225" s="283"/>
      <c r="B225" s="297" t="s">
        <v>364</v>
      </c>
      <c r="C225" s="338">
        <f t="shared" si="62"/>
        <v>5382</v>
      </c>
      <c r="D225" s="338">
        <f t="shared" si="63"/>
        <v>5067</v>
      </c>
      <c r="E225" s="338">
        <f t="shared" si="64"/>
        <v>5248</v>
      </c>
      <c r="F225" s="338">
        <f t="shared" si="65"/>
        <v>4879</v>
      </c>
      <c r="G225" s="338">
        <f t="shared" si="66"/>
        <v>4742</v>
      </c>
      <c r="H225" s="411">
        <f t="shared" si="66"/>
        <v>4227</v>
      </c>
      <c r="I225" s="338">
        <f t="shared" si="67"/>
        <v>4437</v>
      </c>
      <c r="J225" s="441">
        <f t="shared" si="68"/>
        <v>3882</v>
      </c>
      <c r="K225" s="338">
        <f t="shared" si="69"/>
        <v>3812</v>
      </c>
      <c r="L225" s="441">
        <f t="shared" si="70"/>
        <v>3331</v>
      </c>
      <c r="M225" s="338">
        <f t="shared" si="71"/>
        <v>3591</v>
      </c>
      <c r="N225" s="441">
        <f t="shared" si="72"/>
        <v>3117</v>
      </c>
      <c r="O225" s="442"/>
      <c r="P225" s="443"/>
    </row>
    <row r="226" spans="1:16" ht="19.5" customHeight="1">
      <c r="A226" s="283"/>
      <c r="B226" s="297" t="s">
        <v>365</v>
      </c>
      <c r="C226" s="338">
        <f t="shared" si="62"/>
        <v>4319</v>
      </c>
      <c r="D226" s="338">
        <f t="shared" si="63"/>
        <v>4340</v>
      </c>
      <c r="E226" s="338">
        <f t="shared" si="64"/>
        <v>5223</v>
      </c>
      <c r="F226" s="338">
        <f t="shared" si="65"/>
        <v>5016</v>
      </c>
      <c r="G226" s="338">
        <f t="shared" si="66"/>
        <v>5115</v>
      </c>
      <c r="H226" s="411">
        <f t="shared" si="66"/>
        <v>4837</v>
      </c>
      <c r="I226" s="338">
        <f t="shared" si="67"/>
        <v>4640</v>
      </c>
      <c r="J226" s="441">
        <f t="shared" si="68"/>
        <v>4196</v>
      </c>
      <c r="K226" s="338">
        <f t="shared" si="69"/>
        <v>4356</v>
      </c>
      <c r="L226" s="441">
        <f t="shared" si="70"/>
        <v>3858</v>
      </c>
      <c r="M226" s="338">
        <f t="shared" si="71"/>
        <v>3752</v>
      </c>
      <c r="N226" s="441">
        <f t="shared" si="72"/>
        <v>3313</v>
      </c>
      <c r="O226" s="442"/>
      <c r="P226" s="443"/>
    </row>
    <row r="227" spans="1:16" ht="19.5" customHeight="1">
      <c r="A227" s="283"/>
      <c r="B227" s="297" t="s">
        <v>366</v>
      </c>
      <c r="C227" s="338">
        <f t="shared" si="62"/>
        <v>3363</v>
      </c>
      <c r="D227" s="338">
        <f t="shared" si="63"/>
        <v>3685</v>
      </c>
      <c r="E227" s="338">
        <f t="shared" si="64"/>
        <v>4135</v>
      </c>
      <c r="F227" s="338">
        <f t="shared" si="65"/>
        <v>4273</v>
      </c>
      <c r="G227" s="338">
        <f t="shared" si="66"/>
        <v>5031</v>
      </c>
      <c r="H227" s="411">
        <f t="shared" si="66"/>
        <v>4950</v>
      </c>
      <c r="I227" s="338">
        <f t="shared" si="67"/>
        <v>4955</v>
      </c>
      <c r="J227" s="441">
        <f t="shared" si="68"/>
        <v>4783</v>
      </c>
      <c r="K227" s="338">
        <f t="shared" si="69"/>
        <v>4516</v>
      </c>
      <c r="L227" s="441">
        <f t="shared" si="70"/>
        <v>4156</v>
      </c>
      <c r="M227" s="338">
        <f t="shared" si="71"/>
        <v>4256</v>
      </c>
      <c r="N227" s="441">
        <f t="shared" si="72"/>
        <v>3826</v>
      </c>
      <c r="O227" s="442"/>
      <c r="P227" s="443"/>
    </row>
    <row r="228" spans="1:16" ht="19.5" customHeight="1">
      <c r="A228" s="283"/>
      <c r="B228" s="297" t="s">
        <v>367</v>
      </c>
      <c r="C228" s="338">
        <f t="shared" si="62"/>
        <v>3004</v>
      </c>
      <c r="D228" s="338">
        <f t="shared" si="63"/>
        <v>3933</v>
      </c>
      <c r="E228" s="338">
        <f t="shared" si="64"/>
        <v>3127</v>
      </c>
      <c r="F228" s="338">
        <f t="shared" si="65"/>
        <v>3584</v>
      </c>
      <c r="G228" s="338">
        <f t="shared" si="66"/>
        <v>3880</v>
      </c>
      <c r="H228" s="411">
        <f t="shared" si="66"/>
        <v>4171</v>
      </c>
      <c r="I228" s="338">
        <f t="shared" si="67"/>
        <v>4762</v>
      </c>
      <c r="J228" s="441">
        <f t="shared" si="68"/>
        <v>4847</v>
      </c>
      <c r="K228" s="338">
        <f t="shared" si="69"/>
        <v>4724</v>
      </c>
      <c r="L228" s="441">
        <f t="shared" si="70"/>
        <v>4697</v>
      </c>
      <c r="M228" s="338">
        <f t="shared" si="71"/>
        <v>4331</v>
      </c>
      <c r="N228" s="441">
        <f t="shared" si="72"/>
        <v>4091</v>
      </c>
      <c r="O228" s="442"/>
      <c r="P228" s="443"/>
    </row>
    <row r="229" spans="1:16" ht="19.5" customHeight="1">
      <c r="A229" s="283"/>
      <c r="B229" s="297" t="s">
        <v>369</v>
      </c>
      <c r="C229" s="338">
        <f t="shared" si="62"/>
        <v>2497</v>
      </c>
      <c r="D229" s="338">
        <f t="shared" si="63"/>
        <v>3801</v>
      </c>
      <c r="E229" s="338">
        <f t="shared" si="64"/>
        <v>2664</v>
      </c>
      <c r="F229" s="338">
        <f t="shared" si="65"/>
        <v>3732</v>
      </c>
      <c r="G229" s="338">
        <f t="shared" si="66"/>
        <v>2809</v>
      </c>
      <c r="H229" s="411">
        <f t="shared" si="66"/>
        <v>3420</v>
      </c>
      <c r="I229" s="338">
        <f t="shared" si="67"/>
        <v>3530</v>
      </c>
      <c r="J229" s="441">
        <f t="shared" si="68"/>
        <v>4002</v>
      </c>
      <c r="K229" s="338">
        <f t="shared" si="69"/>
        <v>4380</v>
      </c>
      <c r="L229" s="441">
        <f t="shared" si="70"/>
        <v>4673</v>
      </c>
      <c r="M229" s="338">
        <f t="shared" si="71"/>
        <v>4384</v>
      </c>
      <c r="N229" s="441">
        <f t="shared" si="72"/>
        <v>4547</v>
      </c>
      <c r="O229" s="442"/>
      <c r="P229" s="443"/>
    </row>
    <row r="230" spans="1:16" ht="19.5" customHeight="1">
      <c r="A230" s="283"/>
      <c r="B230" s="297" t="s">
        <v>378</v>
      </c>
      <c r="C230" s="338">
        <f t="shared" si="62"/>
        <v>1528</v>
      </c>
      <c r="D230" s="338">
        <f t="shared" si="63"/>
        <v>2709</v>
      </c>
      <c r="E230" s="338">
        <f t="shared" si="64"/>
        <v>2046</v>
      </c>
      <c r="F230" s="338">
        <f t="shared" si="65"/>
        <v>3441</v>
      </c>
      <c r="G230" s="338">
        <f t="shared" si="66"/>
        <v>2223</v>
      </c>
      <c r="H230" s="411">
        <f t="shared" si="66"/>
        <v>3410</v>
      </c>
      <c r="I230" s="338">
        <f t="shared" si="67"/>
        <v>2386</v>
      </c>
      <c r="J230" s="441">
        <f t="shared" si="68"/>
        <v>3153</v>
      </c>
      <c r="K230" s="338">
        <f t="shared" si="69"/>
        <v>3046</v>
      </c>
      <c r="L230" s="441">
        <f t="shared" si="70"/>
        <v>3718</v>
      </c>
      <c r="M230" s="338">
        <f t="shared" si="71"/>
        <v>3830</v>
      </c>
      <c r="N230" s="441">
        <f t="shared" si="72"/>
        <v>4371</v>
      </c>
      <c r="O230" s="442"/>
      <c r="P230" s="443"/>
    </row>
    <row r="231" spans="1:16" ht="19.5" customHeight="1">
      <c r="A231" s="283"/>
      <c r="B231" s="309" t="s">
        <v>398</v>
      </c>
      <c r="C231" s="338">
        <f t="shared" si="62"/>
        <v>810</v>
      </c>
      <c r="D231" s="338">
        <f t="shared" si="63"/>
        <v>1752</v>
      </c>
      <c r="E231" s="338">
        <f t="shared" si="64"/>
        <v>1101</v>
      </c>
      <c r="F231" s="338">
        <f t="shared" si="65"/>
        <v>2247</v>
      </c>
      <c r="G231" s="338">
        <f t="shared" si="66"/>
        <v>1510</v>
      </c>
      <c r="H231" s="411">
        <f t="shared" si="66"/>
        <v>2894</v>
      </c>
      <c r="I231" s="338">
        <f t="shared" si="67"/>
        <v>1680</v>
      </c>
      <c r="J231" s="441">
        <f t="shared" si="68"/>
        <v>2907</v>
      </c>
      <c r="K231" s="338">
        <f t="shared" si="69"/>
        <v>1843</v>
      </c>
      <c r="L231" s="441">
        <f t="shared" si="70"/>
        <v>2721</v>
      </c>
      <c r="M231" s="338">
        <f t="shared" si="71"/>
        <v>2396</v>
      </c>
      <c r="N231" s="441">
        <f t="shared" si="72"/>
        <v>3242</v>
      </c>
      <c r="O231" s="442"/>
      <c r="P231" s="443"/>
    </row>
    <row r="232" spans="1:16" ht="19.5" customHeight="1">
      <c r="A232" s="283"/>
      <c r="B232" s="297" t="s">
        <v>374</v>
      </c>
      <c r="C232" s="338">
        <f t="shared" si="62"/>
        <v>226</v>
      </c>
      <c r="D232" s="338">
        <f t="shared" si="63"/>
        <v>534</v>
      </c>
      <c r="E232" s="338">
        <f t="shared" si="64"/>
        <v>475</v>
      </c>
      <c r="F232" s="338">
        <f t="shared" si="65"/>
        <v>1237</v>
      </c>
      <c r="G232" s="338">
        <f t="shared" si="66"/>
        <v>664</v>
      </c>
      <c r="H232" s="411">
        <f t="shared" si="66"/>
        <v>1617</v>
      </c>
      <c r="I232" s="338">
        <f t="shared" si="67"/>
        <v>939</v>
      </c>
      <c r="J232" s="441">
        <f t="shared" si="68"/>
        <v>2123</v>
      </c>
      <c r="K232" s="338">
        <f t="shared" si="69"/>
        <v>1073</v>
      </c>
      <c r="L232" s="441">
        <f t="shared" si="70"/>
        <v>2170</v>
      </c>
      <c r="M232" s="338">
        <f t="shared" si="71"/>
        <v>1206</v>
      </c>
      <c r="N232" s="441">
        <f t="shared" si="72"/>
        <v>2063</v>
      </c>
      <c r="O232" s="442"/>
      <c r="P232" s="443"/>
    </row>
    <row r="233" spans="1:16" ht="19.5" customHeight="1">
      <c r="A233" s="283"/>
      <c r="B233" s="309" t="s">
        <v>375</v>
      </c>
      <c r="C233" s="446">
        <f t="shared" si="62"/>
        <v>22</v>
      </c>
      <c r="D233" s="446">
        <f t="shared" si="63"/>
        <v>55</v>
      </c>
      <c r="E233" s="446">
        <f t="shared" si="64"/>
        <v>102</v>
      </c>
      <c r="F233" s="446">
        <f t="shared" si="65"/>
        <v>300</v>
      </c>
      <c r="G233" s="446">
        <f t="shared" si="66"/>
        <v>235</v>
      </c>
      <c r="H233" s="447">
        <f t="shared" si="66"/>
        <v>768</v>
      </c>
      <c r="I233" s="446">
        <f t="shared" si="67"/>
        <v>365</v>
      </c>
      <c r="J233" s="448">
        <f t="shared" si="68"/>
        <v>1155</v>
      </c>
      <c r="K233" s="338">
        <f t="shared" si="69"/>
        <v>542</v>
      </c>
      <c r="L233" s="470">
        <f t="shared" si="70"/>
        <v>1602</v>
      </c>
      <c r="M233" s="338">
        <f t="shared" si="71"/>
        <v>672</v>
      </c>
      <c r="N233" s="470">
        <f t="shared" si="72"/>
        <v>1821</v>
      </c>
      <c r="O233" s="444"/>
      <c r="P233" s="445"/>
    </row>
    <row r="234" spans="1:16" ht="19.5" customHeight="1">
      <c r="A234" s="283"/>
      <c r="B234" s="449" t="s">
        <v>376</v>
      </c>
      <c r="C234" s="595">
        <f>SUM(C214:D233)</f>
        <v>125768</v>
      </c>
      <c r="D234" s="595"/>
      <c r="E234" s="595">
        <f>SUM(E214:F233)</f>
        <v>126278</v>
      </c>
      <c r="F234" s="595"/>
      <c r="G234" s="595">
        <f>SUM(G214:H233)</f>
        <v>126099</v>
      </c>
      <c r="H234" s="595"/>
      <c r="I234" s="595">
        <f>SUM(I214:J233)</f>
        <v>125438</v>
      </c>
      <c r="J234" s="595"/>
      <c r="K234" s="595">
        <f>SUM(K214:L233)</f>
        <v>124021</v>
      </c>
      <c r="L234" s="595"/>
      <c r="M234" s="595">
        <f>SUM(M214:N233)</f>
        <v>121541</v>
      </c>
      <c r="N234" s="595"/>
      <c r="O234" s="450"/>
      <c r="P234" s="451"/>
    </row>
    <row r="235" spans="1:16" ht="19.5" customHeight="1" thickBot="1">
      <c r="A235" s="283"/>
      <c r="B235" s="452" t="s">
        <v>399</v>
      </c>
      <c r="C235" s="590">
        <f>ROUND(C234,-2)</f>
        <v>125800</v>
      </c>
      <c r="D235" s="590"/>
      <c r="E235" s="590">
        <f>ROUND(E234,-2)</f>
        <v>126300</v>
      </c>
      <c r="F235" s="590"/>
      <c r="G235" s="590">
        <f>ROUNDUP(G234,-2)</f>
        <v>126100</v>
      </c>
      <c r="H235" s="590"/>
      <c r="I235" s="590">
        <f>ROUNDUP(I234,-2)</f>
        <v>125500</v>
      </c>
      <c r="J235" s="590"/>
      <c r="K235" s="590">
        <f>ROUNDUP(K234,-2)</f>
        <v>124100</v>
      </c>
      <c r="L235" s="590"/>
      <c r="M235" s="590">
        <f>ROUNDUP(M234,-2)</f>
        <v>121600</v>
      </c>
      <c r="N235" s="590"/>
      <c r="O235" s="453"/>
      <c r="P235" s="454"/>
    </row>
    <row r="236" spans="1:16" ht="19.5" customHeight="1">
      <c r="C236" s="562">
        <f>SUM(C214:C233)</f>
        <v>62805</v>
      </c>
      <c r="D236" s="562">
        <f t="shared" ref="D236:J236" si="73">SUM(D214:D233)</f>
        <v>62963</v>
      </c>
      <c r="E236" s="562">
        <f t="shared" si="73"/>
        <v>62911</v>
      </c>
      <c r="F236" s="562">
        <f t="shared" si="73"/>
        <v>63367</v>
      </c>
      <c r="G236" s="562">
        <f t="shared" si="73"/>
        <v>62802</v>
      </c>
      <c r="H236" s="562">
        <f t="shared" si="73"/>
        <v>63297</v>
      </c>
      <c r="I236" s="562">
        <f t="shared" si="73"/>
        <v>62566</v>
      </c>
      <c r="J236" s="562">
        <f t="shared" si="73"/>
        <v>62872</v>
      </c>
    </row>
    <row r="237" spans="1:16" ht="19.5" customHeight="1"/>
    <row r="238" spans="1:16" ht="19.5" customHeight="1"/>
    <row r="239" spans="1:16" ht="19.5" customHeight="1"/>
    <row r="240" spans="1:16" ht="19.5" customHeight="1"/>
    <row r="241" ht="19.5" customHeight="1"/>
    <row r="242" ht="20.100000000000001" customHeight="1"/>
    <row r="243" ht="20.100000000000001" customHeight="1"/>
    <row r="244" ht="20.100000000000001" customHeight="1"/>
    <row r="245" ht="20.100000000000001" customHeight="1"/>
    <row r="246" ht="20.100000000000001" customHeight="1"/>
    <row r="247" ht="20.100000000000001" customHeight="1"/>
    <row r="248" ht="20.100000000000001" customHeight="1"/>
    <row r="249" ht="20.100000000000001" customHeight="1"/>
    <row r="250" ht="20.100000000000001" customHeight="1"/>
    <row r="251" ht="20.100000000000001" customHeight="1"/>
    <row r="252" ht="20.100000000000001" customHeight="1"/>
    <row r="253" ht="20.100000000000001" customHeight="1"/>
    <row r="254" ht="20.100000000000001" customHeight="1"/>
    <row r="255" ht="20.100000000000001" customHeight="1"/>
    <row r="256" ht="20.100000000000001" customHeight="1"/>
    <row r="257" ht="20.100000000000001" customHeight="1"/>
    <row r="258" ht="20.100000000000001" customHeight="1"/>
    <row r="259" ht="20.100000000000001" customHeight="1"/>
    <row r="260" ht="20.100000000000001" customHeight="1"/>
    <row r="261" ht="20.100000000000001" customHeight="1"/>
    <row r="262" ht="20.100000000000001" customHeight="1"/>
    <row r="263" ht="20.100000000000001" customHeight="1"/>
    <row r="264" ht="20.100000000000001" customHeight="1"/>
    <row r="265" ht="20.100000000000001" customHeight="1"/>
    <row r="266" ht="20.100000000000001" customHeight="1"/>
    <row r="267" ht="20.100000000000001" customHeight="1"/>
    <row r="268" ht="20.100000000000001" customHeight="1"/>
    <row r="269" ht="20.100000000000001" customHeight="1"/>
    <row r="270" ht="20.100000000000001" customHeight="1"/>
    <row r="271" ht="20.100000000000001" customHeight="1"/>
    <row r="272" ht="20.100000000000001" customHeight="1"/>
    <row r="273" ht="20.100000000000001" customHeight="1"/>
    <row r="274" ht="20.100000000000001" customHeight="1"/>
    <row r="275" ht="20.100000000000001" customHeight="1"/>
    <row r="276" ht="20.100000000000001" customHeight="1"/>
    <row r="277" ht="20.100000000000001" customHeight="1"/>
    <row r="278" ht="20.100000000000001" customHeight="1"/>
    <row r="279" ht="20.100000000000001" customHeight="1"/>
    <row r="280" ht="20.100000000000001" customHeight="1"/>
    <row r="281" ht="20.100000000000001" customHeight="1"/>
    <row r="282" ht="20.100000000000001" customHeight="1"/>
    <row r="283" ht="20.100000000000001" customHeight="1"/>
    <row r="284" ht="20.100000000000001" customHeight="1"/>
    <row r="285" ht="20.100000000000001" customHeight="1"/>
    <row r="286" ht="20.100000000000001" customHeight="1"/>
    <row r="287" ht="20.100000000000001" customHeight="1"/>
    <row r="288" ht="20.100000000000001" customHeight="1"/>
    <row r="289" ht="20.100000000000001" customHeight="1"/>
    <row r="290" ht="20.100000000000001" customHeight="1"/>
    <row r="291" ht="20.100000000000001" customHeight="1"/>
    <row r="292" ht="20.100000000000001" customHeight="1"/>
    <row r="293" ht="20.100000000000001" customHeight="1"/>
    <row r="294" ht="20.100000000000001" customHeight="1"/>
    <row r="295" ht="20.100000000000001" customHeight="1"/>
    <row r="296" ht="20.100000000000001" customHeight="1"/>
    <row r="297" ht="20.100000000000001" customHeight="1"/>
    <row r="298" ht="20.100000000000001" customHeight="1"/>
    <row r="299" ht="20.100000000000001" customHeight="1"/>
    <row r="300" ht="20.100000000000001" customHeight="1"/>
    <row r="301" ht="20.100000000000001" customHeight="1"/>
    <row r="302" ht="20.100000000000001" customHeight="1"/>
    <row r="303" ht="20.100000000000001" customHeight="1"/>
    <row r="304" ht="20.100000000000001" customHeight="1"/>
    <row r="305" ht="20.100000000000001" customHeight="1"/>
    <row r="306" ht="20.100000000000001" customHeight="1"/>
    <row r="307" ht="20.100000000000001" customHeight="1"/>
    <row r="308" ht="20.100000000000001" customHeight="1"/>
    <row r="309" ht="20.100000000000001" customHeight="1"/>
    <row r="310" ht="20.100000000000001" customHeight="1"/>
    <row r="311" ht="20.100000000000001" customHeight="1"/>
    <row r="312" ht="20.100000000000001" customHeight="1"/>
    <row r="313" ht="20.100000000000001" customHeight="1"/>
    <row r="314" ht="20.100000000000001" customHeight="1"/>
    <row r="315" ht="20.100000000000001" customHeight="1"/>
    <row r="316" ht="20.100000000000001" customHeight="1"/>
    <row r="317" ht="20.100000000000001" customHeight="1"/>
    <row r="318" ht="20.100000000000001" customHeight="1"/>
  </sheetData>
  <mergeCells count="89">
    <mergeCell ref="I133:I134"/>
    <mergeCell ref="J133:L133"/>
    <mergeCell ref="I185:I186"/>
    <mergeCell ref="J185:L185"/>
    <mergeCell ref="K235:L235"/>
    <mergeCell ref="I234:J234"/>
    <mergeCell ref="I212:J212"/>
    <mergeCell ref="G156:H156"/>
    <mergeCell ref="B133:B134"/>
    <mergeCell ref="C133:D133"/>
    <mergeCell ref="E133:F133"/>
    <mergeCell ref="G133:H133"/>
    <mergeCell ref="B2:D2"/>
    <mergeCell ref="B3:B4"/>
    <mergeCell ref="C3:E3"/>
    <mergeCell ref="C235:D235"/>
    <mergeCell ref="E55:F55"/>
    <mergeCell ref="B55:B56"/>
    <mergeCell ref="C55:D55"/>
    <mergeCell ref="B103:B104"/>
    <mergeCell ref="C104:D104"/>
    <mergeCell ref="B81:B82"/>
    <mergeCell ref="C81:D81"/>
    <mergeCell ref="E81:F81"/>
    <mergeCell ref="E185:F185"/>
    <mergeCell ref="B212:B213"/>
    <mergeCell ref="B155:B156"/>
    <mergeCell ref="C156:D156"/>
    <mergeCell ref="B77:B78"/>
    <mergeCell ref="C78:D78"/>
    <mergeCell ref="G78:H78"/>
    <mergeCell ref="B129:B130"/>
    <mergeCell ref="C130:D130"/>
    <mergeCell ref="G130:H130"/>
    <mergeCell ref="B107:B108"/>
    <mergeCell ref="C107:D107"/>
    <mergeCell ref="E107:F107"/>
    <mergeCell ref="G55:H55"/>
    <mergeCell ref="I55:I56"/>
    <mergeCell ref="J55:L55"/>
    <mergeCell ref="I107:I108"/>
    <mergeCell ref="J107:L107"/>
    <mergeCell ref="G107:H107"/>
    <mergeCell ref="I81:I82"/>
    <mergeCell ref="J81:L81"/>
    <mergeCell ref="G104:H104"/>
    <mergeCell ref="G81:H81"/>
    <mergeCell ref="O212:P213"/>
    <mergeCell ref="K212:L212"/>
    <mergeCell ref="I159:I160"/>
    <mergeCell ref="J159:L159"/>
    <mergeCell ref="C234:D234"/>
    <mergeCell ref="E234:F234"/>
    <mergeCell ref="G234:H234"/>
    <mergeCell ref="C212:D212"/>
    <mergeCell ref="E212:F212"/>
    <mergeCell ref="G212:H212"/>
    <mergeCell ref="M234:N234"/>
    <mergeCell ref="B159:B160"/>
    <mergeCell ref="C159:D159"/>
    <mergeCell ref="E159:F159"/>
    <mergeCell ref="G159:H159"/>
    <mergeCell ref="C185:D185"/>
    <mergeCell ref="M235:N235"/>
    <mergeCell ref="B207:B208"/>
    <mergeCell ref="C208:D208"/>
    <mergeCell ref="G208:H208"/>
    <mergeCell ref="B181:B182"/>
    <mergeCell ref="C182:D182"/>
    <mergeCell ref="G182:H182"/>
    <mergeCell ref="B185:B186"/>
    <mergeCell ref="K234:L234"/>
    <mergeCell ref="M212:N212"/>
    <mergeCell ref="G185:H185"/>
    <mergeCell ref="I235:J235"/>
    <mergeCell ref="E235:F235"/>
    <mergeCell ref="G235:H235"/>
    <mergeCell ref="P3:P4"/>
    <mergeCell ref="Q3:S3"/>
    <mergeCell ref="T3:V3"/>
    <mergeCell ref="J29:L29"/>
    <mergeCell ref="B51:B52"/>
    <mergeCell ref="C52:D52"/>
    <mergeCell ref="G52:H52"/>
    <mergeCell ref="B29:B30"/>
    <mergeCell ref="C29:D29"/>
    <mergeCell ref="E29:F29"/>
    <mergeCell ref="G29:H29"/>
    <mergeCell ref="I29:I30"/>
  </mergeCells>
  <phoneticPr fontId="10" type="noConversion"/>
  <printOptions horizontalCentered="1"/>
  <pageMargins left="0.39370078740157483" right="0.39370078740157483" top="0.39370078740157483" bottom="0.39370078740157483" header="0" footer="0"/>
  <pageSetup paperSize="9" scale="87" orientation="landscape" r:id="rId1"/>
  <headerFooter alignWithMargins="0"/>
  <rowBreaks count="8" manualBreakCount="8">
    <brk id="27" max="13" man="1"/>
    <brk id="53" max="13" man="1"/>
    <brk id="79" max="13" man="1"/>
    <brk id="105" max="13" man="1"/>
    <brk id="131" max="13" man="1"/>
    <brk id="157" max="13" man="1"/>
    <brk id="183" max="13" man="1"/>
    <brk id="209" max="13" man="1"/>
  </rowBreaks>
  <ignoredErrors>
    <ignoredError sqref="K214:K233" formula="1"/>
  </ignoredErrors>
</worksheet>
</file>

<file path=xl/worksheets/sheet36.xml><?xml version="1.0" encoding="utf-8"?>
<worksheet xmlns="http://schemas.openxmlformats.org/spreadsheetml/2006/main" xmlns:r="http://schemas.openxmlformats.org/officeDocument/2006/relationships">
  <sheetPr codeName="Sheet16" enableFormatConditionsCalculation="0">
    <tabColor rgb="FF92D050"/>
  </sheetPr>
  <dimension ref="A1:Q105"/>
  <sheetViews>
    <sheetView view="pageBreakPreview" zoomScale="60" workbookViewId="0">
      <selection activeCell="W40" sqref="W40"/>
    </sheetView>
  </sheetViews>
  <sheetFormatPr defaultRowHeight="20.100000000000001" customHeight="1"/>
  <cols>
    <col min="1" max="17" width="7.77734375" style="339" customWidth="1"/>
    <col min="18" max="16384" width="8.88671875" style="339"/>
  </cols>
  <sheetData>
    <row r="1" spans="1:17" ht="20.100000000000001" customHeight="1">
      <c r="A1" s="435" t="s">
        <v>543</v>
      </c>
    </row>
    <row r="2" spans="1:17" ht="21" customHeight="1" thickBot="1">
      <c r="A2" s="340" t="s">
        <v>582</v>
      </c>
      <c r="B2" s="341"/>
      <c r="C2" s="341"/>
      <c r="D2" s="341"/>
      <c r="E2" s="341"/>
      <c r="F2" s="341"/>
      <c r="G2" s="341"/>
      <c r="H2" s="341"/>
      <c r="I2" s="341"/>
    </row>
    <row r="3" spans="1:17" ht="21" customHeight="1">
      <c r="A3" s="612" t="s">
        <v>241</v>
      </c>
      <c r="B3" s="608" t="s">
        <v>583</v>
      </c>
      <c r="C3" s="608"/>
      <c r="D3" s="608" t="s">
        <v>578</v>
      </c>
      <c r="E3" s="608"/>
      <c r="F3" s="608" t="s">
        <v>584</v>
      </c>
      <c r="G3" s="608"/>
      <c r="H3" s="608" t="s">
        <v>585</v>
      </c>
      <c r="I3" s="608"/>
      <c r="J3" s="608" t="s">
        <v>586</v>
      </c>
      <c r="K3" s="611"/>
      <c r="L3" s="608" t="s">
        <v>587</v>
      </c>
      <c r="M3" s="611"/>
      <c r="N3" s="608" t="s">
        <v>576</v>
      </c>
      <c r="O3" s="608"/>
      <c r="P3" s="609" t="s">
        <v>577</v>
      </c>
      <c r="Q3" s="610"/>
    </row>
    <row r="4" spans="1:17" ht="21" customHeight="1" thickBot="1">
      <c r="A4" s="613"/>
      <c r="B4" s="426" t="s">
        <v>346</v>
      </c>
      <c r="C4" s="426" t="s">
        <v>347</v>
      </c>
      <c r="D4" s="426" t="s">
        <v>346</v>
      </c>
      <c r="E4" s="426" t="s">
        <v>347</v>
      </c>
      <c r="F4" s="426" t="s">
        <v>346</v>
      </c>
      <c r="G4" s="426" t="s">
        <v>347</v>
      </c>
      <c r="H4" s="426" t="s">
        <v>346</v>
      </c>
      <c r="I4" s="426" t="s">
        <v>347</v>
      </c>
      <c r="J4" s="426" t="s">
        <v>346</v>
      </c>
      <c r="K4" s="427" t="s">
        <v>347</v>
      </c>
      <c r="L4" s="426" t="s">
        <v>346</v>
      </c>
      <c r="M4" s="427" t="s">
        <v>347</v>
      </c>
      <c r="N4" s="426" t="s">
        <v>5</v>
      </c>
      <c r="O4" s="426" t="s">
        <v>6</v>
      </c>
      <c r="P4" s="480" t="s">
        <v>5</v>
      </c>
      <c r="Q4" s="428" t="s">
        <v>6</v>
      </c>
    </row>
    <row r="5" spans="1:17" ht="21" customHeight="1" thickTop="1">
      <c r="A5" s="342"/>
      <c r="B5" s="343"/>
      <c r="C5" s="344"/>
      <c r="D5" s="345"/>
      <c r="E5" s="346"/>
      <c r="F5" s="346"/>
      <c r="G5" s="346"/>
      <c r="H5" s="345"/>
      <c r="I5" s="346"/>
      <c r="J5" s="346"/>
      <c r="K5" s="402"/>
      <c r="L5" s="346"/>
      <c r="M5" s="402"/>
      <c r="N5" s="346"/>
      <c r="O5" s="346"/>
      <c r="P5" s="481"/>
      <c r="Q5" s="347"/>
    </row>
    <row r="6" spans="1:17" ht="21" customHeight="1">
      <c r="A6" s="348" t="s">
        <v>435</v>
      </c>
      <c r="B6" s="349">
        <f>(생명표!B7+생명표!B8*4)/5</f>
        <v>2.9239999999999999E-3</v>
      </c>
      <c r="C6" s="350">
        <f>(생명표!H7+생명표!H8*4)/5</f>
        <v>2.3839999999999998E-3</v>
      </c>
      <c r="D6" s="351">
        <f>(생명표!B33+생명표!B34*4)/5</f>
        <v>2.3839999999999998E-3</v>
      </c>
      <c r="E6" s="351">
        <f>(생명표!H33+생명표!H34*4)/5</f>
        <v>1.8079999999999999E-3</v>
      </c>
      <c r="F6" s="351">
        <f>(생명표!M7+생명표!M8*4)/5</f>
        <v>1.4139999999999999E-3</v>
      </c>
      <c r="G6" s="351">
        <f>(생명표!S7+생명표!S8*4)/5</f>
        <v>1.446E-3</v>
      </c>
      <c r="H6" s="351">
        <f>(생명표!M33+생명표!M34*4)/5</f>
        <v>1.176E-3</v>
      </c>
      <c r="I6" s="351">
        <f>(생명표!S33+생명표!S34*4)/5</f>
        <v>1.1620000000000001E-3</v>
      </c>
      <c r="J6" s="351">
        <f>(생명표!X7+생명표!X8*4)/5</f>
        <v>9.9200000000000004E-4</v>
      </c>
      <c r="K6" s="403">
        <f>(생명표!AD7+생명표!AD8*4)/5</f>
        <v>9.5600000000000004E-4</v>
      </c>
      <c r="L6" s="351">
        <f>(생명표!X33+생명표!X34*4)/5</f>
        <v>8.52E-4</v>
      </c>
      <c r="M6" s="403">
        <f>(생명표!AD33+생명표!AD34*4)/5</f>
        <v>7.9399999999999989E-4</v>
      </c>
      <c r="N6" s="351">
        <f>(생명표!AI7+생명표!AI8*4)/5</f>
        <v>7.3999999999999999E-4</v>
      </c>
      <c r="O6" s="351">
        <f>(생명표!AO7+생명표!AO8*4)/5</f>
        <v>6.6799999999999997E-4</v>
      </c>
      <c r="P6" s="482">
        <f>(생명표!AI33+생명표!AI34*4)/5</f>
        <v>6.4799999999999992E-4</v>
      </c>
      <c r="Q6" s="352">
        <f>(생명표!AO33+생명표!AO34*4)/5</f>
        <v>5.6999999999999998E-4</v>
      </c>
    </row>
    <row r="7" spans="1:17" ht="21" customHeight="1">
      <c r="A7" s="348" t="s">
        <v>436</v>
      </c>
      <c r="B7" s="353">
        <f>생명표!B9</f>
        <v>1.25E-3</v>
      </c>
      <c r="C7" s="353">
        <f>생명표!H9</f>
        <v>7.2000000000000005E-4</v>
      </c>
      <c r="D7" s="354">
        <f>생명표!B35</f>
        <v>7.2000000000000005E-4</v>
      </c>
      <c r="E7" s="354">
        <f>생명표!H35</f>
        <v>6.8999999999999997E-4</v>
      </c>
      <c r="F7" s="354">
        <f>생명표!M9</f>
        <v>4.8000000000000001E-4</v>
      </c>
      <c r="G7" s="354">
        <f>생명표!S9</f>
        <v>4.8999999999999998E-4</v>
      </c>
      <c r="H7" s="354">
        <f>생명표!M35</f>
        <v>3.4000000000000002E-4</v>
      </c>
      <c r="I7" s="354">
        <f>생명표!S35</f>
        <v>3.4000000000000002E-4</v>
      </c>
      <c r="J7" s="354">
        <f>생명표!X9</f>
        <v>2.4000000000000001E-4</v>
      </c>
      <c r="K7" s="404">
        <f>생명표!AD9</f>
        <v>2.4000000000000001E-4</v>
      </c>
      <c r="L7" s="354">
        <f>생명표!X35</f>
        <v>1.7000000000000001E-4</v>
      </c>
      <c r="M7" s="404">
        <f>생명표!AD35</f>
        <v>1.7000000000000001E-4</v>
      </c>
      <c r="N7" s="354">
        <f>생명표!AI9</f>
        <v>1.2E-4</v>
      </c>
      <c r="O7" s="354">
        <f>생명표!AO9</f>
        <v>1.2E-4</v>
      </c>
      <c r="P7" s="483">
        <f>생명표!AI35</f>
        <v>9.0000000000000006E-5</v>
      </c>
      <c r="Q7" s="355">
        <f>생명표!AO35</f>
        <v>9.0000000000000006E-5</v>
      </c>
    </row>
    <row r="8" spans="1:17" ht="21" customHeight="1">
      <c r="A8" s="348" t="s">
        <v>437</v>
      </c>
      <c r="B8" s="353">
        <f>생명표!B10</f>
        <v>8.8999999999999995E-4</v>
      </c>
      <c r="C8" s="353">
        <f>생명표!H10</f>
        <v>5.9000000000000003E-4</v>
      </c>
      <c r="D8" s="354">
        <f>생명표!B36</f>
        <v>5.9000000000000003E-4</v>
      </c>
      <c r="E8" s="354">
        <f>생명표!H36</f>
        <v>8.4000000000000003E-4</v>
      </c>
      <c r="F8" s="354">
        <f>생명표!M10</f>
        <v>7.1000000000000002E-4</v>
      </c>
      <c r="G8" s="354">
        <f>생명표!S10</f>
        <v>6.0999999999999997E-4</v>
      </c>
      <c r="H8" s="354">
        <f>생명표!M36</f>
        <v>5.1999999999999995E-4</v>
      </c>
      <c r="I8" s="354">
        <f>생명표!S36</f>
        <v>4.4000000000000002E-4</v>
      </c>
      <c r="J8" s="354">
        <f>생명표!X10</f>
        <v>3.8000000000000002E-4</v>
      </c>
      <c r="K8" s="404">
        <f>생명표!AD10</f>
        <v>3.2000000000000003E-4</v>
      </c>
      <c r="L8" s="354">
        <f>생명표!X36</f>
        <v>2.7999999999999998E-4</v>
      </c>
      <c r="M8" s="404">
        <f>생명표!AD36</f>
        <v>2.3000000000000001E-4</v>
      </c>
      <c r="N8" s="354">
        <f>생명표!AI10</f>
        <v>2.0000000000000001E-4</v>
      </c>
      <c r="O8" s="354">
        <f>생명표!AO10</f>
        <v>1.7000000000000001E-4</v>
      </c>
      <c r="P8" s="483">
        <f>생명표!AI36</f>
        <v>1.4999999999999999E-4</v>
      </c>
      <c r="Q8" s="355">
        <f>생명표!AO36</f>
        <v>1.2E-4</v>
      </c>
    </row>
    <row r="9" spans="1:17" ht="21" customHeight="1">
      <c r="A9" s="348" t="s">
        <v>415</v>
      </c>
      <c r="B9" s="353">
        <f>생명표!B11</f>
        <v>2.9099999999999998E-3</v>
      </c>
      <c r="C9" s="353">
        <f>생명표!H11</f>
        <v>1.2999999999999999E-3</v>
      </c>
      <c r="D9" s="354">
        <f>생명표!B37</f>
        <v>1.2999999999999999E-3</v>
      </c>
      <c r="E9" s="354">
        <f>생명표!H37</f>
        <v>1.0200000000000001E-3</v>
      </c>
      <c r="F9" s="354">
        <f>생명표!M11</f>
        <v>1.73E-3</v>
      </c>
      <c r="G9" s="354">
        <f>생명표!S11</f>
        <v>7.9000000000000001E-4</v>
      </c>
      <c r="H9" s="354">
        <f>생명표!M37</f>
        <v>1.32E-3</v>
      </c>
      <c r="I9" s="354">
        <f>생명표!S37</f>
        <v>5.9999999999999995E-4</v>
      </c>
      <c r="J9" s="354">
        <f>생명표!X11</f>
        <v>1.0200000000000001E-3</v>
      </c>
      <c r="K9" s="404">
        <f>생명표!AD11</f>
        <v>4.6000000000000001E-4</v>
      </c>
      <c r="L9" s="354">
        <f>생명표!X37</f>
        <v>7.7999999999999999E-4</v>
      </c>
      <c r="M9" s="404">
        <f>생명표!AD37</f>
        <v>3.5E-4</v>
      </c>
      <c r="N9" s="354">
        <f>생명표!AI11</f>
        <v>5.9000000000000003E-4</v>
      </c>
      <c r="O9" s="354">
        <f>생명표!AO11</f>
        <v>2.7E-4</v>
      </c>
      <c r="P9" s="483">
        <f>생명표!AI37</f>
        <v>4.6000000000000001E-4</v>
      </c>
      <c r="Q9" s="355">
        <f>생명표!AO37</f>
        <v>2.1000000000000001E-4</v>
      </c>
    </row>
    <row r="10" spans="1:17" ht="21" customHeight="1">
      <c r="A10" s="348" t="s">
        <v>416</v>
      </c>
      <c r="B10" s="353">
        <f>생명표!B12</f>
        <v>4.0800000000000003E-3</v>
      </c>
      <c r="C10" s="353">
        <f>생명표!H12</f>
        <v>2.0300000000000001E-3</v>
      </c>
      <c r="D10" s="354">
        <f>생명표!B38</f>
        <v>2.0300000000000001E-3</v>
      </c>
      <c r="E10" s="354">
        <f>생명표!H38</f>
        <v>1.6299999999999999E-3</v>
      </c>
      <c r="F10" s="354">
        <f>생명표!M12</f>
        <v>2.8700000000000002E-3</v>
      </c>
      <c r="G10" s="354">
        <f>생명표!S12</f>
        <v>1.2899999999999999E-3</v>
      </c>
      <c r="H10" s="354">
        <f>생명표!M38</f>
        <v>2.2399999999999998E-3</v>
      </c>
      <c r="I10" s="354">
        <f>생명표!S38</f>
        <v>1.01E-3</v>
      </c>
      <c r="J10" s="354">
        <f>생명표!X12</f>
        <v>1.7799999999999999E-3</v>
      </c>
      <c r="K10" s="404">
        <f>생명표!AD12</f>
        <v>7.9000000000000001E-4</v>
      </c>
      <c r="L10" s="354">
        <f>생명표!X38</f>
        <v>1.39E-3</v>
      </c>
      <c r="M10" s="404">
        <f>생명표!AD38</f>
        <v>6.2E-4</v>
      </c>
      <c r="N10" s="354">
        <f>생명표!AI12</f>
        <v>1.09E-3</v>
      </c>
      <c r="O10" s="354">
        <f>생명표!AO12</f>
        <v>4.8999999999999998E-4</v>
      </c>
      <c r="P10" s="483">
        <f>생명표!AI38</f>
        <v>8.7000000000000001E-4</v>
      </c>
      <c r="Q10" s="355">
        <f>생명표!AO38</f>
        <v>3.8999999999999999E-4</v>
      </c>
    </row>
    <row r="11" spans="1:17" ht="21" customHeight="1">
      <c r="A11" s="348" t="s">
        <v>417</v>
      </c>
      <c r="B11" s="353">
        <f>생명표!B13</f>
        <v>5.2100000000000002E-3</v>
      </c>
      <c r="C11" s="353">
        <f>생명표!H13</f>
        <v>2.8900000000000002E-3</v>
      </c>
      <c r="D11" s="354">
        <f>생명표!B39</f>
        <v>2.8900000000000002E-3</v>
      </c>
      <c r="E11" s="354">
        <f>생명표!H39</f>
        <v>2.3600000000000001E-3</v>
      </c>
      <c r="F11" s="354">
        <f>생명표!M13</f>
        <v>3.82E-3</v>
      </c>
      <c r="G11" s="354">
        <f>생명표!S13</f>
        <v>1.91E-3</v>
      </c>
      <c r="H11" s="354">
        <f>생명표!M39</f>
        <v>3.0699999999999998E-3</v>
      </c>
      <c r="I11" s="354">
        <f>생명표!S39</f>
        <v>1.5299999999999999E-3</v>
      </c>
      <c r="J11" s="354">
        <f>생명표!X13</f>
        <v>2.5000000000000001E-3</v>
      </c>
      <c r="K11" s="404">
        <f>생명표!AD13</f>
        <v>1.24E-3</v>
      </c>
      <c r="L11" s="354">
        <f>생명표!X39</f>
        <v>2E-3</v>
      </c>
      <c r="M11" s="404">
        <f>생명표!AD39</f>
        <v>9.8999999999999999E-4</v>
      </c>
      <c r="N11" s="354">
        <f>생명표!AI13</f>
        <v>1.6100000000000001E-3</v>
      </c>
      <c r="O11" s="354">
        <f>생명표!AO13</f>
        <v>7.9000000000000001E-4</v>
      </c>
      <c r="P11" s="483">
        <f>생명표!AI39</f>
        <v>1.32E-3</v>
      </c>
      <c r="Q11" s="355">
        <f>생명표!AO39</f>
        <v>6.4999999999999997E-4</v>
      </c>
    </row>
    <row r="12" spans="1:17" ht="21" customHeight="1">
      <c r="A12" s="348" t="s">
        <v>418</v>
      </c>
      <c r="B12" s="353">
        <f>생명표!B14</f>
        <v>6.9199999999999999E-3</v>
      </c>
      <c r="C12" s="353">
        <f>생명표!H14</f>
        <v>3.3999999999999998E-3</v>
      </c>
      <c r="D12" s="354">
        <f>생명표!B40</f>
        <v>3.3999999999999998E-3</v>
      </c>
      <c r="E12" s="354">
        <f>생명표!H40</f>
        <v>3.2699999999999999E-3</v>
      </c>
      <c r="F12" s="354">
        <f>생명표!M14</f>
        <v>4.45E-3</v>
      </c>
      <c r="G12" s="354">
        <f>생명표!S14</f>
        <v>2.6900000000000001E-3</v>
      </c>
      <c r="H12" s="354">
        <f>생명표!M40</f>
        <v>3.63E-3</v>
      </c>
      <c r="I12" s="354">
        <f>생명표!S40</f>
        <v>2.1800000000000001E-3</v>
      </c>
      <c r="J12" s="354">
        <f>생명표!X14</f>
        <v>3.0000000000000001E-3</v>
      </c>
      <c r="K12" s="404">
        <f>생명표!AD14</f>
        <v>1.7899999999999999E-3</v>
      </c>
      <c r="L12" s="354">
        <f>생명표!X40</f>
        <v>2.4399999999999999E-3</v>
      </c>
      <c r="M12" s="404">
        <f>생명표!AD40</f>
        <v>1.4599999999999999E-3</v>
      </c>
      <c r="N12" s="354">
        <f>생명표!AI14</f>
        <v>1.99E-3</v>
      </c>
      <c r="O12" s="354">
        <f>생명표!AO14</f>
        <v>1.1900000000000001E-3</v>
      </c>
      <c r="P12" s="483">
        <f>생명표!AI40</f>
        <v>1.65E-3</v>
      </c>
      <c r="Q12" s="355">
        <f>생명표!AO40</f>
        <v>9.7999999999999997E-4</v>
      </c>
    </row>
    <row r="13" spans="1:17" ht="21" customHeight="1">
      <c r="A13" s="348" t="s">
        <v>419</v>
      </c>
      <c r="B13" s="353">
        <f>생명표!B15</f>
        <v>9.6799999999999994E-3</v>
      </c>
      <c r="C13" s="353">
        <f>생명표!H15</f>
        <v>4.3E-3</v>
      </c>
      <c r="D13" s="354">
        <f>생명표!B41</f>
        <v>4.3E-3</v>
      </c>
      <c r="E13" s="354">
        <f>생명표!H41</f>
        <v>4.4000000000000003E-3</v>
      </c>
      <c r="F13" s="354">
        <f>생명표!M15</f>
        <v>6.4200000000000004E-3</v>
      </c>
      <c r="G13" s="354">
        <f>생명표!S15</f>
        <v>3.6900000000000001E-3</v>
      </c>
      <c r="H13" s="354">
        <f>생명표!M41</f>
        <v>5.3600000000000002E-3</v>
      </c>
      <c r="I13" s="354">
        <f>생명표!S41</f>
        <v>3.0599999999999998E-3</v>
      </c>
      <c r="J13" s="354">
        <f>생명표!X15</f>
        <v>4.5199999999999997E-3</v>
      </c>
      <c r="K13" s="404">
        <f>생명표!AD15</f>
        <v>2.5699999999999998E-3</v>
      </c>
      <c r="L13" s="354">
        <f>생명표!X41</f>
        <v>3.7599999999999999E-3</v>
      </c>
      <c r="M13" s="404">
        <f>생명표!AD41</f>
        <v>2.1299999999999999E-3</v>
      </c>
      <c r="N13" s="354">
        <f>생명표!AI15</f>
        <v>3.13E-3</v>
      </c>
      <c r="O13" s="354">
        <f>생명표!AO15</f>
        <v>1.7799999999999999E-3</v>
      </c>
      <c r="P13" s="483">
        <f>생명표!AI41</f>
        <v>2.66E-3</v>
      </c>
      <c r="Q13" s="355">
        <f>생명표!AO41</f>
        <v>1.5E-3</v>
      </c>
    </row>
    <row r="14" spans="1:17" ht="21" customHeight="1">
      <c r="A14" s="348" t="s">
        <v>420</v>
      </c>
      <c r="B14" s="353">
        <f>생명표!B16</f>
        <v>1.584E-2</v>
      </c>
      <c r="C14" s="353">
        <f>생명표!H16</f>
        <v>6.1900000000000002E-3</v>
      </c>
      <c r="D14" s="354">
        <f>생명표!B42</f>
        <v>6.1900000000000002E-3</v>
      </c>
      <c r="E14" s="354">
        <f>생명표!H42</f>
        <v>5.0600000000000003E-3</v>
      </c>
      <c r="F14" s="354">
        <f>생명표!M16</f>
        <v>1.0800000000000001E-2</v>
      </c>
      <c r="G14" s="354">
        <f>생명표!S16</f>
        <v>4.3E-3</v>
      </c>
      <c r="H14" s="354">
        <f>생명표!M42</f>
        <v>9.11E-3</v>
      </c>
      <c r="I14" s="354">
        <f>생명표!S42</f>
        <v>3.6099999999999999E-3</v>
      </c>
      <c r="J14" s="354">
        <f>생명표!X16</f>
        <v>7.7600000000000004E-3</v>
      </c>
      <c r="K14" s="404">
        <f>생명표!AD16</f>
        <v>3.0599999999999998E-3</v>
      </c>
      <c r="L14" s="354">
        <f>생명표!X42</f>
        <v>6.5399999999999998E-3</v>
      </c>
      <c r="M14" s="404">
        <f>생명표!AD42</f>
        <v>2.5699999999999998E-3</v>
      </c>
      <c r="N14" s="354">
        <f>생명표!AI16</f>
        <v>5.5100000000000001E-3</v>
      </c>
      <c r="O14" s="354">
        <f>생명표!AO16</f>
        <v>2.1700000000000001E-3</v>
      </c>
      <c r="P14" s="483">
        <f>생명표!AI42</f>
        <v>4.7099999999999998E-3</v>
      </c>
      <c r="Q14" s="355">
        <f>생명표!AO42</f>
        <v>1.8400000000000001E-3</v>
      </c>
    </row>
    <row r="15" spans="1:17" ht="21" customHeight="1">
      <c r="A15" s="348" t="s">
        <v>421</v>
      </c>
      <c r="B15" s="353">
        <f>생명표!B17</f>
        <v>2.513E-2</v>
      </c>
      <c r="C15" s="353">
        <f>생명표!H17</f>
        <v>1.025E-2</v>
      </c>
      <c r="D15" s="354">
        <f>생명표!B43</f>
        <v>1.025E-2</v>
      </c>
      <c r="E15" s="354">
        <f>생명표!H43</f>
        <v>7.5199999999999998E-3</v>
      </c>
      <c r="F15" s="354">
        <f>생명표!M17</f>
        <v>1.687E-2</v>
      </c>
      <c r="G15" s="354">
        <f>생명표!S17</f>
        <v>6.4200000000000004E-3</v>
      </c>
      <c r="H15" s="354">
        <f>생명표!M43</f>
        <v>1.434E-2</v>
      </c>
      <c r="I15" s="354">
        <f>생명표!S43</f>
        <v>5.4400000000000004E-3</v>
      </c>
      <c r="J15" s="354">
        <f>생명표!X17</f>
        <v>1.23E-2</v>
      </c>
      <c r="K15" s="404">
        <f>생명표!AD17</f>
        <v>4.64E-3</v>
      </c>
      <c r="L15" s="354">
        <f>생명표!X43</f>
        <v>1.0449999999999999E-2</v>
      </c>
      <c r="M15" s="404">
        <f>생명표!AD43</f>
        <v>3.9300000000000003E-3</v>
      </c>
      <c r="N15" s="354">
        <f>생명표!AI17</f>
        <v>8.8699999999999994E-3</v>
      </c>
      <c r="O15" s="354">
        <f>생명표!AO17</f>
        <v>3.3400000000000001E-3</v>
      </c>
      <c r="P15" s="483">
        <f>생명표!AI43</f>
        <v>7.6400000000000001E-3</v>
      </c>
      <c r="Q15" s="355">
        <f>생명표!AO43</f>
        <v>2.8600000000000001E-3</v>
      </c>
    </row>
    <row r="16" spans="1:17" ht="21" customHeight="1">
      <c r="A16" s="348" t="s">
        <v>438</v>
      </c>
      <c r="B16" s="353">
        <f>생명표!B18</f>
        <v>3.4569999999999997E-2</v>
      </c>
      <c r="C16" s="353">
        <f>생명표!H18</f>
        <v>1.406E-2</v>
      </c>
      <c r="D16" s="354">
        <f>생명표!B44</f>
        <v>1.406E-2</v>
      </c>
      <c r="E16" s="354">
        <f>생명표!H44</f>
        <v>1.068E-2</v>
      </c>
      <c r="F16" s="354">
        <f>생명표!M18</f>
        <v>2.5190000000000001E-2</v>
      </c>
      <c r="G16" s="354">
        <f>생명표!S18</f>
        <v>9.1199999999999996E-3</v>
      </c>
      <c r="H16" s="354">
        <f>생명표!M44</f>
        <v>2.1389999999999999E-2</v>
      </c>
      <c r="I16" s="354">
        <f>생명표!S44</f>
        <v>7.7099999999999998E-3</v>
      </c>
      <c r="J16" s="354">
        <f>생명표!X18</f>
        <v>1.8339999999999999E-2</v>
      </c>
      <c r="K16" s="404">
        <f>생명표!AD18</f>
        <v>6.5799999999999999E-3</v>
      </c>
      <c r="L16" s="354">
        <f>생명표!X44</f>
        <v>1.5570000000000001E-2</v>
      </c>
      <c r="M16" s="404">
        <f>생명표!AD44</f>
        <v>5.5700000000000003E-3</v>
      </c>
      <c r="N16" s="354">
        <f>생명표!AI18</f>
        <v>1.321E-2</v>
      </c>
      <c r="O16" s="354">
        <f>생명표!AO18</f>
        <v>4.7299999999999998E-3</v>
      </c>
      <c r="P16" s="483">
        <f>생명표!AI44</f>
        <v>1.136E-2</v>
      </c>
      <c r="Q16" s="355">
        <f>생명표!AO44</f>
        <v>4.0400000000000002E-3</v>
      </c>
    </row>
    <row r="17" spans="1:17" ht="21" customHeight="1">
      <c r="A17" s="348" t="s">
        <v>439</v>
      </c>
      <c r="B17" s="353">
        <f>생명표!B19</f>
        <v>4.8890000000000003E-2</v>
      </c>
      <c r="C17" s="353">
        <f>생명표!H19</f>
        <v>1.882E-2</v>
      </c>
      <c r="D17" s="354">
        <f>생명표!B45</f>
        <v>1.882E-2</v>
      </c>
      <c r="E17" s="354">
        <f>생명표!H45</f>
        <v>1.387E-2</v>
      </c>
      <c r="F17" s="354">
        <f>생명표!M19</f>
        <v>3.4750000000000003E-2</v>
      </c>
      <c r="G17" s="354">
        <f>생명표!S19</f>
        <v>1.1849999999999999E-2</v>
      </c>
      <c r="H17" s="354">
        <f>생명표!M45</f>
        <v>2.955E-2</v>
      </c>
      <c r="I17" s="354">
        <f>생명표!S45</f>
        <v>1.0030000000000001E-2</v>
      </c>
      <c r="J17" s="354">
        <f>생명표!X19</f>
        <v>2.5350000000000001E-2</v>
      </c>
      <c r="K17" s="404">
        <f>생명표!AD19</f>
        <v>8.5699999999999995E-3</v>
      </c>
      <c r="L17" s="354">
        <f>생명표!X45</f>
        <v>2.1520000000000001E-2</v>
      </c>
      <c r="M17" s="404">
        <f>생명표!AD45</f>
        <v>7.26E-3</v>
      </c>
      <c r="N17" s="354">
        <f>생명표!AI19</f>
        <v>1.8280000000000001E-2</v>
      </c>
      <c r="O17" s="354">
        <f>생명표!AO19</f>
        <v>6.1599999999999997E-3</v>
      </c>
      <c r="P17" s="483">
        <f>생명표!AI45</f>
        <v>1.575E-2</v>
      </c>
      <c r="Q17" s="355">
        <f>생명표!AO45</f>
        <v>5.28E-3</v>
      </c>
    </row>
    <row r="18" spans="1:17" ht="21" customHeight="1">
      <c r="A18" s="348" t="s">
        <v>440</v>
      </c>
      <c r="B18" s="353">
        <f>생명표!B20</f>
        <v>7.2760000000000005E-2</v>
      </c>
      <c r="C18" s="353">
        <f>생명표!H20</f>
        <v>2.826E-2</v>
      </c>
      <c r="D18" s="354">
        <f>생명표!B46</f>
        <v>2.826E-2</v>
      </c>
      <c r="E18" s="354">
        <f>생명표!H46</f>
        <v>2.1170000000000001E-2</v>
      </c>
      <c r="F18" s="354">
        <f>생명표!M20</f>
        <v>4.9910000000000003E-2</v>
      </c>
      <c r="G18" s="354">
        <f>생명표!S20</f>
        <v>1.8149999999999999E-2</v>
      </c>
      <c r="H18" s="354">
        <f>생명표!M46</f>
        <v>4.258E-2</v>
      </c>
      <c r="I18" s="354">
        <f>생명표!S46</f>
        <v>1.5429999999999999E-2</v>
      </c>
      <c r="J18" s="354">
        <f>생명표!X20</f>
        <v>3.669E-2</v>
      </c>
      <c r="K18" s="404">
        <f>생명표!AD20</f>
        <v>1.3220000000000001E-2</v>
      </c>
      <c r="L18" s="354">
        <f>생명표!X46</f>
        <v>3.1269999999999999E-2</v>
      </c>
      <c r="M18" s="404">
        <f>생명표!AD46</f>
        <v>1.124E-2</v>
      </c>
      <c r="N18" s="354">
        <f>생명표!AI20</f>
        <v>2.6679999999999999E-2</v>
      </c>
      <c r="O18" s="354">
        <f>생명표!AO20</f>
        <v>9.58E-3</v>
      </c>
      <c r="P18" s="483">
        <f>생명표!AI46</f>
        <v>2.3050000000000001E-2</v>
      </c>
      <c r="Q18" s="355">
        <f>생명표!AO46</f>
        <v>8.2299999999999995E-3</v>
      </c>
    </row>
    <row r="19" spans="1:17" ht="21" customHeight="1">
      <c r="A19" s="348" t="s">
        <v>441</v>
      </c>
      <c r="B19" s="353">
        <f>생명표!B21</f>
        <v>0.1077</v>
      </c>
      <c r="C19" s="353">
        <f>생명표!H21</f>
        <v>4.1579999999999999E-2</v>
      </c>
      <c r="D19" s="354">
        <f>생명표!B47</f>
        <v>4.1579999999999999E-2</v>
      </c>
      <c r="E19" s="354">
        <f>생명표!H47</f>
        <v>3.6290000000000003E-2</v>
      </c>
      <c r="F19" s="354">
        <f>생명표!M21</f>
        <v>8.0890000000000004E-2</v>
      </c>
      <c r="G19" s="354">
        <f>생명표!S21</f>
        <v>3.1710000000000002E-2</v>
      </c>
      <c r="H19" s="354">
        <f>생명표!M47</f>
        <v>7.0319999999999994E-2</v>
      </c>
      <c r="I19" s="354">
        <f>생명표!S47</f>
        <v>2.7470000000000001E-2</v>
      </c>
      <c r="J19" s="354">
        <f>생명표!X21</f>
        <v>6.1650000000000003E-2</v>
      </c>
      <c r="K19" s="404">
        <f>생명표!AD21</f>
        <v>2.3949999999999999E-2</v>
      </c>
      <c r="L19" s="354">
        <f>생명표!X47</f>
        <v>5.3560000000000003E-2</v>
      </c>
      <c r="M19" s="404">
        <f>생명표!AD47</f>
        <v>2.0729999999999998E-2</v>
      </c>
      <c r="N19" s="354">
        <f>생명표!AI21</f>
        <v>4.6550000000000001E-2</v>
      </c>
      <c r="O19" s="354">
        <f>생명표!AO21</f>
        <v>1.7979999999999999E-2</v>
      </c>
      <c r="P19" s="483">
        <f>생명표!AI47</f>
        <v>4.088E-2</v>
      </c>
      <c r="Q19" s="355">
        <f>생명표!AO47</f>
        <v>1.5730000000000001E-2</v>
      </c>
    </row>
    <row r="20" spans="1:17" ht="21" customHeight="1">
      <c r="A20" s="348" t="s">
        <v>442</v>
      </c>
      <c r="B20" s="353">
        <f>생명표!B22</f>
        <v>0.16375000000000001</v>
      </c>
      <c r="C20" s="353">
        <f>생명표!H22</f>
        <v>7.8390000000000001E-2</v>
      </c>
      <c r="D20" s="354">
        <f>생명표!B48</f>
        <v>7.8390000000000001E-2</v>
      </c>
      <c r="E20" s="354">
        <f>생명표!H48</f>
        <v>6.4659999999999995E-2</v>
      </c>
      <c r="F20" s="354">
        <f>생명표!M22</f>
        <v>0.12733</v>
      </c>
      <c r="G20" s="354">
        <f>생명표!S22</f>
        <v>5.7770000000000002E-2</v>
      </c>
      <c r="H20" s="354">
        <f>생명표!M48</f>
        <v>0.11332</v>
      </c>
      <c r="I20" s="354">
        <f>생명표!S48</f>
        <v>5.1220000000000002E-2</v>
      </c>
      <c r="J20" s="354">
        <f>생명표!X22</f>
        <v>0.10155</v>
      </c>
      <c r="K20" s="404">
        <f>생명표!AD22</f>
        <v>4.5659999999999999E-2</v>
      </c>
      <c r="L20" s="354">
        <f>생명표!X48</f>
        <v>9.0249999999999997E-2</v>
      </c>
      <c r="M20" s="404">
        <f>생명표!AD48</f>
        <v>4.0430000000000001E-2</v>
      </c>
      <c r="N20" s="354">
        <f>생명표!AI22</f>
        <v>8.0240000000000006E-2</v>
      </c>
      <c r="O20" s="354">
        <f>생명표!AO22</f>
        <v>3.585E-2</v>
      </c>
      <c r="P20" s="483">
        <f>생명표!AI48</f>
        <v>7.1989999999999998E-2</v>
      </c>
      <c r="Q20" s="355">
        <f>생명표!AO48</f>
        <v>3.2009999999999997E-2</v>
      </c>
    </row>
    <row r="21" spans="1:17" ht="21" customHeight="1">
      <c r="A21" s="348" t="s">
        <v>443</v>
      </c>
      <c r="B21" s="353">
        <f>생명표!B23</f>
        <v>0.26855000000000001</v>
      </c>
      <c r="C21" s="353">
        <f>생명표!H23</f>
        <v>0.16242999999999999</v>
      </c>
      <c r="D21" s="354">
        <f>생명표!B49</f>
        <v>0.16242999999999999</v>
      </c>
      <c r="E21" s="354">
        <f>생명표!H49</f>
        <v>0.11414000000000001</v>
      </c>
      <c r="F21" s="354">
        <f>생명표!M23</f>
        <v>0.19814999999999999</v>
      </c>
      <c r="G21" s="354">
        <f>생명표!S23</f>
        <v>0.1043</v>
      </c>
      <c r="H21" s="354">
        <f>생명표!M49</f>
        <v>0.18068000000000001</v>
      </c>
      <c r="I21" s="354">
        <f>생명표!S49</f>
        <v>9.4689999999999996E-2</v>
      </c>
      <c r="J21" s="354">
        <f>생명표!X23</f>
        <v>0.16550999999999999</v>
      </c>
      <c r="K21" s="404">
        <f>생명표!AD23</f>
        <v>8.6269999999999999E-2</v>
      </c>
      <c r="L21" s="354">
        <f>생명표!X49</f>
        <v>0.15062</v>
      </c>
      <c r="M21" s="404">
        <f>생명표!AD49</f>
        <v>7.8179999999999999E-2</v>
      </c>
      <c r="N21" s="354">
        <f>생명표!AI23</f>
        <v>0.13705999999999999</v>
      </c>
      <c r="O21" s="354">
        <f>생명표!AO23</f>
        <v>7.0910000000000001E-2</v>
      </c>
      <c r="P21" s="483">
        <f>생명표!AI49</f>
        <v>0.12565999999999999</v>
      </c>
      <c r="Q21" s="355">
        <f>생명표!AO49</f>
        <v>6.4710000000000004E-2</v>
      </c>
    </row>
    <row r="22" spans="1:17" ht="21" customHeight="1">
      <c r="A22" s="348" t="s">
        <v>444</v>
      </c>
      <c r="B22" s="353">
        <f>생명표!B24</f>
        <v>0.41353000000000001</v>
      </c>
      <c r="C22" s="353">
        <f>생명표!H24</f>
        <v>0.28361999999999998</v>
      </c>
      <c r="D22" s="354">
        <f>생명표!B50</f>
        <v>0.28361999999999998</v>
      </c>
      <c r="E22" s="354">
        <f>생명표!H50</f>
        <v>0.19603999999999999</v>
      </c>
      <c r="F22" s="354">
        <f>생명표!M24</f>
        <v>0.29919000000000001</v>
      </c>
      <c r="G22" s="354">
        <f>생명표!S24</f>
        <v>0.18336</v>
      </c>
      <c r="H22" s="354">
        <f>생명표!M50</f>
        <v>0.27950999999999998</v>
      </c>
      <c r="I22" s="354">
        <f>생명표!S50</f>
        <v>0.17058999999999999</v>
      </c>
      <c r="J22" s="354">
        <f>생명표!X24</f>
        <v>0.26193</v>
      </c>
      <c r="K22" s="404">
        <f>생명표!AD24</f>
        <v>0.159</v>
      </c>
      <c r="L22" s="354">
        <f>생명표!X50</f>
        <v>0.24432999999999999</v>
      </c>
      <c r="M22" s="404">
        <f>생명표!AD50</f>
        <v>0.14762</v>
      </c>
      <c r="N22" s="354">
        <f>생명표!AI24</f>
        <v>0.22764999999999999</v>
      </c>
      <c r="O22" s="354">
        <f>생명표!AO24</f>
        <v>0.13714999999999999</v>
      </c>
      <c r="P22" s="483">
        <f>생명표!AI50</f>
        <v>0.21343000000000001</v>
      </c>
      <c r="Q22" s="355">
        <f>생명표!AO50</f>
        <v>0.128</v>
      </c>
    </row>
    <row r="23" spans="1:17" ht="21" customHeight="1">
      <c r="A23" s="348" t="s">
        <v>445</v>
      </c>
      <c r="B23" s="353">
        <f>생명표!B25</f>
        <v>0.56801000000000001</v>
      </c>
      <c r="C23" s="353">
        <f>생명표!H25</f>
        <v>0.45066000000000001</v>
      </c>
      <c r="D23" s="354">
        <f>생명표!B51</f>
        <v>0.45066000000000001</v>
      </c>
      <c r="E23" s="354">
        <f>생명표!H51</f>
        <v>0.32283000000000001</v>
      </c>
      <c r="F23" s="354">
        <f>생명표!M25</f>
        <v>0.43295</v>
      </c>
      <c r="G23" s="354">
        <f>생명표!S25</f>
        <v>0.30879000000000001</v>
      </c>
      <c r="H23" s="354">
        <f>생명표!M51</f>
        <v>0.41393999999999997</v>
      </c>
      <c r="I23" s="354">
        <f>생명표!S51</f>
        <v>0.29409999999999997</v>
      </c>
      <c r="J23" s="354">
        <f>생명표!X25</f>
        <v>0.39651999999999998</v>
      </c>
      <c r="K23" s="404">
        <f>생명표!AD25</f>
        <v>0.28043000000000001</v>
      </c>
      <c r="L23" s="354">
        <f>생명표!X51</f>
        <v>0.37842999999999999</v>
      </c>
      <c r="M23" s="404">
        <f>생명표!AD51</f>
        <v>0.26656000000000002</v>
      </c>
      <c r="N23" s="354">
        <f>생명표!AI25</f>
        <v>0.36105999999999999</v>
      </c>
      <c r="O23" s="354">
        <f>생명표!AO25</f>
        <v>0.25358000000000003</v>
      </c>
      <c r="P23" s="483">
        <f>생명표!AI51</f>
        <v>0.34575</v>
      </c>
      <c r="Q23" s="355">
        <f>생명표!AO51</f>
        <v>0.24193000000000001</v>
      </c>
    </row>
    <row r="24" spans="1:17" ht="21" customHeight="1">
      <c r="A24" s="348" t="s">
        <v>446</v>
      </c>
      <c r="B24" s="353">
        <f>생명표!B26</f>
        <v>0.71169000000000004</v>
      </c>
      <c r="C24" s="353">
        <f>생명표!H26</f>
        <v>0.61960000000000004</v>
      </c>
      <c r="D24" s="354">
        <f>생명표!B52</f>
        <v>0.61960000000000004</v>
      </c>
      <c r="E24" s="354">
        <f>생명표!H52</f>
        <v>0.49704999999999999</v>
      </c>
      <c r="F24" s="354">
        <f>생명표!M26</f>
        <v>0.59079000000000004</v>
      </c>
      <c r="G24" s="354">
        <f>생명표!S26</f>
        <v>0.48501</v>
      </c>
      <c r="H24" s="354">
        <f>생명표!M52</f>
        <v>0.57609999999999995</v>
      </c>
      <c r="I24" s="354">
        <f>생명표!S52</f>
        <v>0.47159000000000001</v>
      </c>
      <c r="J24" s="354">
        <f>생명표!X26</f>
        <v>0.56237000000000004</v>
      </c>
      <c r="K24" s="404">
        <f>생명표!AD26</f>
        <v>0.45895999999999998</v>
      </c>
      <c r="L24" s="354">
        <f>생명표!X52</f>
        <v>0.54754999999999998</v>
      </c>
      <c r="M24" s="404">
        <f>생명표!AD52</f>
        <v>0.44561000000000001</v>
      </c>
      <c r="N24" s="354">
        <f>생명표!AI26</f>
        <v>0.53325</v>
      </c>
      <c r="O24" s="354">
        <f>생명표!AO26</f>
        <v>0.43292000000000003</v>
      </c>
      <c r="P24" s="483">
        <f>생명표!AI52</f>
        <v>0.52022000000000002</v>
      </c>
      <c r="Q24" s="355">
        <f>생명표!AO52</f>
        <v>0.42118</v>
      </c>
    </row>
    <row r="25" spans="1:17" ht="21" customHeight="1">
      <c r="A25" s="348" t="s">
        <v>562</v>
      </c>
      <c r="B25" s="353">
        <f>생명표!B27</f>
        <v>0.82269000000000003</v>
      </c>
      <c r="C25" s="353">
        <f>생명표!H27</f>
        <v>0.75461</v>
      </c>
      <c r="D25" s="354">
        <f>생명표!B53</f>
        <v>0.75461</v>
      </c>
      <c r="E25" s="354">
        <f>생명표!H53</f>
        <v>0.69450000000000001</v>
      </c>
      <c r="F25" s="354">
        <f>생명표!M27</f>
        <v>0.74866999999999995</v>
      </c>
      <c r="G25" s="354">
        <f>생명표!S27</f>
        <v>0.68781999999999999</v>
      </c>
      <c r="H25" s="354">
        <f>생명표!M53</f>
        <v>0.74085000000000001</v>
      </c>
      <c r="I25" s="354">
        <f>생명표!S53</f>
        <v>0.67978000000000005</v>
      </c>
      <c r="J25" s="354">
        <f>생명표!X27</f>
        <v>0.73331999999999997</v>
      </c>
      <c r="K25" s="404">
        <f>생명표!AD27</f>
        <v>0.67196999999999996</v>
      </c>
      <c r="L25" s="354">
        <f>생명표!X53</f>
        <v>0.72499999999999998</v>
      </c>
      <c r="M25" s="404">
        <f>생명표!AD53</f>
        <v>0.66351000000000004</v>
      </c>
      <c r="N25" s="354">
        <f>생명표!AI27</f>
        <v>0.71691000000000005</v>
      </c>
      <c r="O25" s="354">
        <f>생명표!AO27</f>
        <v>0.65530999999999995</v>
      </c>
      <c r="P25" s="483">
        <f>생명표!AI53</f>
        <v>0.70938999999999997</v>
      </c>
      <c r="Q25" s="355">
        <f>생명표!AO53</f>
        <v>0.64759</v>
      </c>
    </row>
    <row r="26" spans="1:17" ht="21" customHeight="1" thickBot="1">
      <c r="A26" s="476" t="s">
        <v>563</v>
      </c>
      <c r="B26" s="477">
        <f>생명표!B28</f>
        <v>1</v>
      </c>
      <c r="C26" s="477">
        <f>생명표!H28</f>
        <v>1</v>
      </c>
      <c r="D26" s="478">
        <f>생명표!B54</f>
        <v>1</v>
      </c>
      <c r="E26" s="478">
        <f>생명표!H54</f>
        <v>1</v>
      </c>
      <c r="F26" s="478">
        <f>생명표!M28</f>
        <v>1</v>
      </c>
      <c r="G26" s="478">
        <f>생명표!S28</f>
        <v>1</v>
      </c>
      <c r="H26" s="478">
        <f>생명표!M54</f>
        <v>1</v>
      </c>
      <c r="I26" s="478">
        <f>생명표!S54</f>
        <v>1</v>
      </c>
      <c r="J26" s="478">
        <f>생명표!X28</f>
        <v>1</v>
      </c>
      <c r="K26" s="479">
        <f>생명표!AD28</f>
        <v>1</v>
      </c>
      <c r="L26" s="478">
        <f>생명표!X54</f>
        <v>1</v>
      </c>
      <c r="M26" s="479">
        <f>생명표!AD54</f>
        <v>1</v>
      </c>
      <c r="N26" s="356">
        <f>생명표!AI28</f>
        <v>1</v>
      </c>
      <c r="O26" s="356">
        <f>생명표!AO28</f>
        <v>1</v>
      </c>
      <c r="P26" s="484">
        <f>생명표!AI54</f>
        <v>1</v>
      </c>
      <c r="Q26" s="357">
        <f>생명표!AO54</f>
        <v>1</v>
      </c>
    </row>
    <row r="27" spans="1:17" ht="21" customHeight="1">
      <c r="A27" s="358" t="s">
        <v>1060</v>
      </c>
      <c r="B27" s="359"/>
      <c r="C27" s="359"/>
      <c r="D27" s="359"/>
      <c r="E27" s="359"/>
      <c r="F27" s="359"/>
      <c r="G27" s="359"/>
      <c r="H27" s="359"/>
      <c r="I27" s="359"/>
      <c r="J27" s="360"/>
      <c r="K27" s="360"/>
    </row>
    <row r="28" spans="1:17" ht="21" customHeight="1" thickBot="1">
      <c r="A28" s="339" t="s">
        <v>447</v>
      </c>
    </row>
    <row r="29" spans="1:17" ht="21" customHeight="1">
      <c r="A29" s="612" t="s">
        <v>241</v>
      </c>
      <c r="B29" s="608" t="s">
        <v>583</v>
      </c>
      <c r="C29" s="608"/>
      <c r="D29" s="608" t="s">
        <v>578</v>
      </c>
      <c r="E29" s="608"/>
      <c r="F29" s="608" t="s">
        <v>584</v>
      </c>
      <c r="G29" s="608"/>
      <c r="H29" s="608" t="s">
        <v>585</v>
      </c>
      <c r="I29" s="608"/>
      <c r="J29" s="608" t="s">
        <v>586</v>
      </c>
      <c r="K29" s="611"/>
      <c r="L29" s="608" t="s">
        <v>587</v>
      </c>
      <c r="M29" s="611"/>
      <c r="N29" s="608" t="s">
        <v>576</v>
      </c>
      <c r="O29" s="608"/>
      <c r="P29" s="609" t="s">
        <v>577</v>
      </c>
      <c r="Q29" s="610"/>
    </row>
    <row r="30" spans="1:17" ht="21" customHeight="1" thickBot="1">
      <c r="A30" s="613"/>
      <c r="B30" s="426" t="s">
        <v>346</v>
      </c>
      <c r="C30" s="426" t="s">
        <v>347</v>
      </c>
      <c r="D30" s="426" t="s">
        <v>346</v>
      </c>
      <c r="E30" s="426" t="s">
        <v>347</v>
      </c>
      <c r="F30" s="426" t="s">
        <v>346</v>
      </c>
      <c r="G30" s="426" t="s">
        <v>347</v>
      </c>
      <c r="H30" s="426" t="s">
        <v>346</v>
      </c>
      <c r="I30" s="426" t="s">
        <v>347</v>
      </c>
      <c r="J30" s="426" t="s">
        <v>346</v>
      </c>
      <c r="K30" s="427" t="s">
        <v>347</v>
      </c>
      <c r="L30" s="426" t="s">
        <v>346</v>
      </c>
      <c r="M30" s="427" t="s">
        <v>347</v>
      </c>
      <c r="N30" s="426" t="s">
        <v>5</v>
      </c>
      <c r="O30" s="426" t="s">
        <v>6</v>
      </c>
      <c r="P30" s="480" t="s">
        <v>5</v>
      </c>
      <c r="Q30" s="428" t="s">
        <v>6</v>
      </c>
    </row>
    <row r="31" spans="1:17" ht="21" customHeight="1" thickTop="1">
      <c r="A31" s="361"/>
      <c r="B31" s="362"/>
      <c r="C31" s="362"/>
      <c r="D31" s="362"/>
      <c r="E31" s="362"/>
      <c r="F31" s="362"/>
      <c r="G31" s="362"/>
      <c r="H31" s="362"/>
      <c r="I31" s="362"/>
      <c r="J31" s="363"/>
      <c r="K31" s="405"/>
      <c r="L31" s="363"/>
      <c r="M31" s="405"/>
      <c r="N31" s="363"/>
      <c r="O31" s="363"/>
      <c r="P31" s="488"/>
      <c r="Q31" s="364"/>
    </row>
    <row r="32" spans="1:17" ht="21" customHeight="1">
      <c r="A32" s="348" t="s">
        <v>435</v>
      </c>
      <c r="B32" s="353">
        <f t="shared" ref="B32:K32" si="0">1-B6</f>
        <v>0.99707599999999996</v>
      </c>
      <c r="C32" s="353">
        <f t="shared" si="0"/>
        <v>0.99761599999999995</v>
      </c>
      <c r="D32" s="353">
        <f t="shared" si="0"/>
        <v>0.99761599999999995</v>
      </c>
      <c r="E32" s="353">
        <f t="shared" si="0"/>
        <v>0.99819199999999997</v>
      </c>
      <c r="F32" s="353">
        <f t="shared" si="0"/>
        <v>0.99858599999999997</v>
      </c>
      <c r="G32" s="353">
        <f t="shared" si="0"/>
        <v>0.99855400000000005</v>
      </c>
      <c r="H32" s="353">
        <f t="shared" si="0"/>
        <v>0.99882400000000005</v>
      </c>
      <c r="I32" s="353">
        <f t="shared" si="0"/>
        <v>0.998838</v>
      </c>
      <c r="J32" s="353">
        <f t="shared" si="0"/>
        <v>0.99900800000000001</v>
      </c>
      <c r="K32" s="406">
        <f t="shared" si="0"/>
        <v>0.99904400000000004</v>
      </c>
      <c r="L32" s="353">
        <f t="shared" ref="L32:M52" si="1">1-L6</f>
        <v>0.99914800000000004</v>
      </c>
      <c r="M32" s="406">
        <f t="shared" si="1"/>
        <v>0.99920600000000004</v>
      </c>
      <c r="N32" s="353">
        <f t="shared" ref="N32:Q52" si="2">1-N6</f>
        <v>0.99926000000000004</v>
      </c>
      <c r="O32" s="353">
        <f t="shared" si="2"/>
        <v>0.999332</v>
      </c>
      <c r="P32" s="489">
        <f t="shared" si="2"/>
        <v>0.99935200000000002</v>
      </c>
      <c r="Q32" s="365">
        <f t="shared" si="2"/>
        <v>0.99943000000000004</v>
      </c>
    </row>
    <row r="33" spans="1:17" ht="21" customHeight="1">
      <c r="A33" s="348" t="s">
        <v>436</v>
      </c>
      <c r="B33" s="353">
        <f t="shared" ref="B33:K33" si="3">1-B7</f>
        <v>0.99875000000000003</v>
      </c>
      <c r="C33" s="353">
        <f t="shared" si="3"/>
        <v>0.99927999999999995</v>
      </c>
      <c r="D33" s="353">
        <f t="shared" si="3"/>
        <v>0.99927999999999995</v>
      </c>
      <c r="E33" s="353">
        <f t="shared" si="3"/>
        <v>0.99931000000000003</v>
      </c>
      <c r="F33" s="353">
        <f t="shared" si="3"/>
        <v>0.99951999999999996</v>
      </c>
      <c r="G33" s="353">
        <f t="shared" si="3"/>
        <v>0.99951000000000001</v>
      </c>
      <c r="H33" s="353">
        <f t="shared" si="3"/>
        <v>0.99965999999999999</v>
      </c>
      <c r="I33" s="353">
        <f t="shared" si="3"/>
        <v>0.99965999999999999</v>
      </c>
      <c r="J33" s="366">
        <f t="shared" si="3"/>
        <v>0.99975999999999998</v>
      </c>
      <c r="K33" s="407">
        <f t="shared" si="3"/>
        <v>0.99975999999999998</v>
      </c>
      <c r="L33" s="366">
        <f t="shared" si="1"/>
        <v>0.99983</v>
      </c>
      <c r="M33" s="407">
        <f t="shared" si="1"/>
        <v>0.99983</v>
      </c>
      <c r="N33" s="366">
        <f t="shared" si="2"/>
        <v>0.99987999999999999</v>
      </c>
      <c r="O33" s="366">
        <f t="shared" si="2"/>
        <v>0.99987999999999999</v>
      </c>
      <c r="P33" s="490">
        <f t="shared" si="2"/>
        <v>0.99990999999999997</v>
      </c>
      <c r="Q33" s="367">
        <f t="shared" si="2"/>
        <v>0.99990999999999997</v>
      </c>
    </row>
    <row r="34" spans="1:17" ht="21" customHeight="1">
      <c r="A34" s="348" t="s">
        <v>437</v>
      </c>
      <c r="B34" s="353">
        <f t="shared" ref="B34:K34" si="4">1-B8</f>
        <v>0.99911000000000005</v>
      </c>
      <c r="C34" s="353">
        <f t="shared" si="4"/>
        <v>0.99941000000000002</v>
      </c>
      <c r="D34" s="353">
        <f t="shared" si="4"/>
        <v>0.99941000000000002</v>
      </c>
      <c r="E34" s="353">
        <f t="shared" si="4"/>
        <v>0.99916000000000005</v>
      </c>
      <c r="F34" s="353">
        <f t="shared" si="4"/>
        <v>0.99929000000000001</v>
      </c>
      <c r="G34" s="353">
        <f t="shared" si="4"/>
        <v>0.99939</v>
      </c>
      <c r="H34" s="353">
        <f t="shared" si="4"/>
        <v>0.99948000000000004</v>
      </c>
      <c r="I34" s="353">
        <f t="shared" si="4"/>
        <v>0.99956</v>
      </c>
      <c r="J34" s="366">
        <f t="shared" si="4"/>
        <v>0.99961999999999995</v>
      </c>
      <c r="K34" s="407">
        <f t="shared" si="4"/>
        <v>0.99968000000000001</v>
      </c>
      <c r="L34" s="366">
        <f t="shared" si="1"/>
        <v>0.99972000000000005</v>
      </c>
      <c r="M34" s="407">
        <f t="shared" si="1"/>
        <v>0.99977000000000005</v>
      </c>
      <c r="N34" s="366">
        <f t="shared" si="2"/>
        <v>0.99980000000000002</v>
      </c>
      <c r="O34" s="366">
        <f t="shared" si="2"/>
        <v>0.99983</v>
      </c>
      <c r="P34" s="490">
        <f t="shared" si="2"/>
        <v>0.99985000000000002</v>
      </c>
      <c r="Q34" s="367">
        <f t="shared" si="2"/>
        <v>0.99987999999999999</v>
      </c>
    </row>
    <row r="35" spans="1:17" ht="21" customHeight="1">
      <c r="A35" s="348" t="s">
        <v>415</v>
      </c>
      <c r="B35" s="353">
        <f t="shared" ref="B35:K35" si="5">1-B9</f>
        <v>0.99709000000000003</v>
      </c>
      <c r="C35" s="353">
        <f t="shared" si="5"/>
        <v>0.99870000000000003</v>
      </c>
      <c r="D35" s="353">
        <f t="shared" si="5"/>
        <v>0.99870000000000003</v>
      </c>
      <c r="E35" s="353">
        <f t="shared" si="5"/>
        <v>0.99897999999999998</v>
      </c>
      <c r="F35" s="353">
        <f t="shared" si="5"/>
        <v>0.99826999999999999</v>
      </c>
      <c r="G35" s="353">
        <f t="shared" si="5"/>
        <v>0.99921000000000004</v>
      </c>
      <c r="H35" s="353">
        <f t="shared" si="5"/>
        <v>0.99868000000000001</v>
      </c>
      <c r="I35" s="353">
        <f t="shared" si="5"/>
        <v>0.99939999999999996</v>
      </c>
      <c r="J35" s="366">
        <f t="shared" si="5"/>
        <v>0.99897999999999998</v>
      </c>
      <c r="K35" s="407">
        <f t="shared" si="5"/>
        <v>0.99953999999999998</v>
      </c>
      <c r="L35" s="366">
        <f t="shared" si="1"/>
        <v>0.99922</v>
      </c>
      <c r="M35" s="407">
        <f t="shared" si="1"/>
        <v>0.99965000000000004</v>
      </c>
      <c r="N35" s="366">
        <f t="shared" si="2"/>
        <v>0.99941000000000002</v>
      </c>
      <c r="O35" s="366">
        <f t="shared" si="2"/>
        <v>0.99973000000000001</v>
      </c>
      <c r="P35" s="490">
        <f t="shared" si="2"/>
        <v>0.99953999999999998</v>
      </c>
      <c r="Q35" s="367">
        <f t="shared" si="2"/>
        <v>0.99978999999999996</v>
      </c>
    </row>
    <row r="36" spans="1:17" ht="21" customHeight="1">
      <c r="A36" s="348" t="s">
        <v>416</v>
      </c>
      <c r="B36" s="353">
        <f t="shared" ref="B36:K36" si="6">1-B10</f>
        <v>0.99592000000000003</v>
      </c>
      <c r="C36" s="353">
        <f t="shared" si="6"/>
        <v>0.99797000000000002</v>
      </c>
      <c r="D36" s="353">
        <f t="shared" si="6"/>
        <v>0.99797000000000002</v>
      </c>
      <c r="E36" s="353">
        <f t="shared" si="6"/>
        <v>0.99836999999999998</v>
      </c>
      <c r="F36" s="353">
        <f t="shared" si="6"/>
        <v>0.99712999999999996</v>
      </c>
      <c r="G36" s="353">
        <f t="shared" si="6"/>
        <v>0.99870999999999999</v>
      </c>
      <c r="H36" s="353">
        <f t="shared" si="6"/>
        <v>0.99775999999999998</v>
      </c>
      <c r="I36" s="353">
        <f t="shared" si="6"/>
        <v>0.99899000000000004</v>
      </c>
      <c r="J36" s="366">
        <f t="shared" si="6"/>
        <v>0.99822</v>
      </c>
      <c r="K36" s="407">
        <f t="shared" si="6"/>
        <v>0.99921000000000004</v>
      </c>
      <c r="L36" s="366">
        <f t="shared" si="1"/>
        <v>0.99861</v>
      </c>
      <c r="M36" s="407">
        <f t="shared" si="1"/>
        <v>0.99938000000000005</v>
      </c>
      <c r="N36" s="366">
        <f t="shared" si="2"/>
        <v>0.99890999999999996</v>
      </c>
      <c r="O36" s="366">
        <f t="shared" si="2"/>
        <v>0.99951000000000001</v>
      </c>
      <c r="P36" s="490">
        <f t="shared" si="2"/>
        <v>0.99912999999999996</v>
      </c>
      <c r="Q36" s="367">
        <f t="shared" si="2"/>
        <v>0.99961</v>
      </c>
    </row>
    <row r="37" spans="1:17" ht="21" customHeight="1">
      <c r="A37" s="348" t="s">
        <v>417</v>
      </c>
      <c r="B37" s="353">
        <f t="shared" ref="B37:K37" si="7">1-B11</f>
        <v>0.99478999999999995</v>
      </c>
      <c r="C37" s="353">
        <f t="shared" si="7"/>
        <v>0.99711000000000005</v>
      </c>
      <c r="D37" s="353">
        <f t="shared" si="7"/>
        <v>0.99711000000000005</v>
      </c>
      <c r="E37" s="353">
        <f t="shared" si="7"/>
        <v>0.99763999999999997</v>
      </c>
      <c r="F37" s="353">
        <f t="shared" si="7"/>
        <v>0.99617999999999995</v>
      </c>
      <c r="G37" s="353">
        <f t="shared" si="7"/>
        <v>0.99809000000000003</v>
      </c>
      <c r="H37" s="353">
        <f t="shared" si="7"/>
        <v>0.99692999999999998</v>
      </c>
      <c r="I37" s="353">
        <f t="shared" si="7"/>
        <v>0.99846999999999997</v>
      </c>
      <c r="J37" s="366">
        <f t="shared" si="7"/>
        <v>0.99750000000000005</v>
      </c>
      <c r="K37" s="407">
        <f t="shared" si="7"/>
        <v>0.99875999999999998</v>
      </c>
      <c r="L37" s="366">
        <f t="shared" si="1"/>
        <v>0.998</v>
      </c>
      <c r="M37" s="407">
        <f t="shared" si="1"/>
        <v>0.99900999999999995</v>
      </c>
      <c r="N37" s="366">
        <f t="shared" si="2"/>
        <v>0.99839</v>
      </c>
      <c r="O37" s="366">
        <f t="shared" si="2"/>
        <v>0.99921000000000004</v>
      </c>
      <c r="P37" s="490">
        <f t="shared" si="2"/>
        <v>0.99868000000000001</v>
      </c>
      <c r="Q37" s="367">
        <f t="shared" si="2"/>
        <v>0.99934999999999996</v>
      </c>
    </row>
    <row r="38" spans="1:17" ht="21" customHeight="1">
      <c r="A38" s="348" t="s">
        <v>418</v>
      </c>
      <c r="B38" s="353">
        <f t="shared" ref="B38:K38" si="8">1-B12</f>
        <v>0.99307999999999996</v>
      </c>
      <c r="C38" s="353">
        <f t="shared" si="8"/>
        <v>0.99660000000000004</v>
      </c>
      <c r="D38" s="353">
        <f t="shared" si="8"/>
        <v>0.99660000000000004</v>
      </c>
      <c r="E38" s="353">
        <f t="shared" si="8"/>
        <v>0.99673</v>
      </c>
      <c r="F38" s="353">
        <f t="shared" si="8"/>
        <v>0.99555000000000005</v>
      </c>
      <c r="G38" s="353">
        <f t="shared" si="8"/>
        <v>0.99731000000000003</v>
      </c>
      <c r="H38" s="353">
        <f t="shared" si="8"/>
        <v>0.99636999999999998</v>
      </c>
      <c r="I38" s="353">
        <f t="shared" si="8"/>
        <v>0.99782000000000004</v>
      </c>
      <c r="J38" s="366">
        <f t="shared" si="8"/>
        <v>0.997</v>
      </c>
      <c r="K38" s="407">
        <f t="shared" si="8"/>
        <v>0.99821000000000004</v>
      </c>
      <c r="L38" s="366">
        <f t="shared" si="1"/>
        <v>0.99756</v>
      </c>
      <c r="M38" s="407">
        <f t="shared" si="1"/>
        <v>0.99853999999999998</v>
      </c>
      <c r="N38" s="366">
        <f t="shared" si="2"/>
        <v>0.99800999999999995</v>
      </c>
      <c r="O38" s="366">
        <f t="shared" si="2"/>
        <v>0.99880999999999998</v>
      </c>
      <c r="P38" s="490">
        <f t="shared" si="2"/>
        <v>0.99834999999999996</v>
      </c>
      <c r="Q38" s="367">
        <f t="shared" si="2"/>
        <v>0.99902000000000002</v>
      </c>
    </row>
    <row r="39" spans="1:17" ht="21" customHeight="1">
      <c r="A39" s="348" t="s">
        <v>419</v>
      </c>
      <c r="B39" s="353">
        <f t="shared" ref="B39:K39" si="9">1-B13</f>
        <v>0.99031999999999998</v>
      </c>
      <c r="C39" s="353">
        <f t="shared" si="9"/>
        <v>0.99570000000000003</v>
      </c>
      <c r="D39" s="353">
        <f t="shared" si="9"/>
        <v>0.99570000000000003</v>
      </c>
      <c r="E39" s="353">
        <f t="shared" si="9"/>
        <v>0.99560000000000004</v>
      </c>
      <c r="F39" s="353">
        <f t="shared" si="9"/>
        <v>0.99358000000000002</v>
      </c>
      <c r="G39" s="353">
        <f t="shared" si="9"/>
        <v>0.99631000000000003</v>
      </c>
      <c r="H39" s="353">
        <f t="shared" si="9"/>
        <v>0.99463999999999997</v>
      </c>
      <c r="I39" s="353">
        <f t="shared" si="9"/>
        <v>0.99694000000000005</v>
      </c>
      <c r="J39" s="366">
        <f t="shared" si="9"/>
        <v>0.99548000000000003</v>
      </c>
      <c r="K39" s="407">
        <f t="shared" si="9"/>
        <v>0.99743000000000004</v>
      </c>
      <c r="L39" s="366">
        <f t="shared" si="1"/>
        <v>0.99624000000000001</v>
      </c>
      <c r="M39" s="407">
        <f t="shared" si="1"/>
        <v>0.99787000000000003</v>
      </c>
      <c r="N39" s="366">
        <f t="shared" si="2"/>
        <v>0.99687000000000003</v>
      </c>
      <c r="O39" s="366">
        <f t="shared" si="2"/>
        <v>0.99822</v>
      </c>
      <c r="P39" s="490">
        <f t="shared" si="2"/>
        <v>0.99734</v>
      </c>
      <c r="Q39" s="367">
        <f t="shared" si="2"/>
        <v>0.99850000000000005</v>
      </c>
    </row>
    <row r="40" spans="1:17" ht="21" customHeight="1">
      <c r="A40" s="348" t="s">
        <v>420</v>
      </c>
      <c r="B40" s="353">
        <f t="shared" ref="B40:K40" si="10">1-B14</f>
        <v>0.98416000000000003</v>
      </c>
      <c r="C40" s="353">
        <f t="shared" si="10"/>
        <v>0.99380999999999997</v>
      </c>
      <c r="D40" s="353">
        <f t="shared" si="10"/>
        <v>0.99380999999999997</v>
      </c>
      <c r="E40" s="353">
        <f t="shared" si="10"/>
        <v>0.99494000000000005</v>
      </c>
      <c r="F40" s="353">
        <f t="shared" si="10"/>
        <v>0.98919999999999997</v>
      </c>
      <c r="G40" s="353">
        <f t="shared" si="10"/>
        <v>0.99570000000000003</v>
      </c>
      <c r="H40" s="353">
        <f t="shared" si="10"/>
        <v>0.99089000000000005</v>
      </c>
      <c r="I40" s="353">
        <f t="shared" si="10"/>
        <v>0.99639</v>
      </c>
      <c r="J40" s="366">
        <f t="shared" si="10"/>
        <v>0.99224000000000001</v>
      </c>
      <c r="K40" s="407">
        <f t="shared" si="10"/>
        <v>0.99694000000000005</v>
      </c>
      <c r="L40" s="366">
        <f t="shared" si="1"/>
        <v>0.99346000000000001</v>
      </c>
      <c r="M40" s="407">
        <f t="shared" si="1"/>
        <v>0.99743000000000004</v>
      </c>
      <c r="N40" s="366">
        <f t="shared" si="2"/>
        <v>0.99448999999999999</v>
      </c>
      <c r="O40" s="366">
        <f t="shared" si="2"/>
        <v>0.99782999999999999</v>
      </c>
      <c r="P40" s="490">
        <f t="shared" si="2"/>
        <v>0.99529000000000001</v>
      </c>
      <c r="Q40" s="367">
        <f t="shared" si="2"/>
        <v>0.99816000000000005</v>
      </c>
    </row>
    <row r="41" spans="1:17" ht="21" customHeight="1">
      <c r="A41" s="348" t="s">
        <v>421</v>
      </c>
      <c r="B41" s="353">
        <f t="shared" ref="B41:K41" si="11">1-B15</f>
        <v>0.97487000000000001</v>
      </c>
      <c r="C41" s="353">
        <f t="shared" si="11"/>
        <v>0.98975000000000002</v>
      </c>
      <c r="D41" s="353">
        <f t="shared" si="11"/>
        <v>0.98975000000000002</v>
      </c>
      <c r="E41" s="353">
        <f t="shared" si="11"/>
        <v>0.99248000000000003</v>
      </c>
      <c r="F41" s="353">
        <f t="shared" si="11"/>
        <v>0.98312999999999995</v>
      </c>
      <c r="G41" s="353">
        <f t="shared" si="11"/>
        <v>0.99358000000000002</v>
      </c>
      <c r="H41" s="353">
        <f t="shared" si="11"/>
        <v>0.98565999999999998</v>
      </c>
      <c r="I41" s="353">
        <f t="shared" si="11"/>
        <v>0.99456</v>
      </c>
      <c r="J41" s="366">
        <f t="shared" si="11"/>
        <v>0.98770000000000002</v>
      </c>
      <c r="K41" s="407">
        <f t="shared" si="11"/>
        <v>0.99536000000000002</v>
      </c>
      <c r="L41" s="366">
        <f t="shared" si="1"/>
        <v>0.98955000000000004</v>
      </c>
      <c r="M41" s="407">
        <f t="shared" si="1"/>
        <v>0.99607000000000001</v>
      </c>
      <c r="N41" s="366">
        <f t="shared" si="2"/>
        <v>0.99112999999999996</v>
      </c>
      <c r="O41" s="366">
        <f t="shared" si="2"/>
        <v>0.99665999999999999</v>
      </c>
      <c r="P41" s="490">
        <f t="shared" si="2"/>
        <v>0.99236000000000002</v>
      </c>
      <c r="Q41" s="367">
        <f t="shared" si="2"/>
        <v>0.99714000000000003</v>
      </c>
    </row>
    <row r="42" spans="1:17" ht="21" customHeight="1">
      <c r="A42" s="348" t="s">
        <v>438</v>
      </c>
      <c r="B42" s="353">
        <f t="shared" ref="B42:K42" si="12">1-B16</f>
        <v>0.96543000000000001</v>
      </c>
      <c r="C42" s="353">
        <f t="shared" si="12"/>
        <v>0.98594000000000004</v>
      </c>
      <c r="D42" s="353">
        <f t="shared" si="12"/>
        <v>0.98594000000000004</v>
      </c>
      <c r="E42" s="353">
        <f t="shared" si="12"/>
        <v>0.98931999999999998</v>
      </c>
      <c r="F42" s="353">
        <f t="shared" si="12"/>
        <v>0.97480999999999995</v>
      </c>
      <c r="G42" s="353">
        <f t="shared" si="12"/>
        <v>0.99087999999999998</v>
      </c>
      <c r="H42" s="353">
        <f t="shared" si="12"/>
        <v>0.97860999999999998</v>
      </c>
      <c r="I42" s="353">
        <f t="shared" si="12"/>
        <v>0.99229000000000001</v>
      </c>
      <c r="J42" s="366">
        <f t="shared" si="12"/>
        <v>0.98165999999999998</v>
      </c>
      <c r="K42" s="407">
        <f t="shared" si="12"/>
        <v>0.99341999999999997</v>
      </c>
      <c r="L42" s="366">
        <f t="shared" si="1"/>
        <v>0.98443000000000003</v>
      </c>
      <c r="M42" s="407">
        <f t="shared" si="1"/>
        <v>0.99443000000000004</v>
      </c>
      <c r="N42" s="366">
        <f t="shared" si="2"/>
        <v>0.98679000000000006</v>
      </c>
      <c r="O42" s="366">
        <f t="shared" si="2"/>
        <v>0.99526999999999999</v>
      </c>
      <c r="P42" s="490">
        <f t="shared" si="2"/>
        <v>0.98863999999999996</v>
      </c>
      <c r="Q42" s="367">
        <f t="shared" si="2"/>
        <v>0.99595999999999996</v>
      </c>
    </row>
    <row r="43" spans="1:17" ht="21" customHeight="1">
      <c r="A43" s="348" t="s">
        <v>439</v>
      </c>
      <c r="B43" s="353">
        <f t="shared" ref="B43:K43" si="13">1-B17</f>
        <v>0.95111000000000001</v>
      </c>
      <c r="C43" s="353">
        <f t="shared" si="13"/>
        <v>0.98118000000000005</v>
      </c>
      <c r="D43" s="353">
        <f t="shared" si="13"/>
        <v>0.98118000000000005</v>
      </c>
      <c r="E43" s="353">
        <f t="shared" si="13"/>
        <v>0.98612999999999995</v>
      </c>
      <c r="F43" s="353">
        <f t="shared" si="13"/>
        <v>0.96524999999999994</v>
      </c>
      <c r="G43" s="353">
        <f t="shared" si="13"/>
        <v>0.98814999999999997</v>
      </c>
      <c r="H43" s="353">
        <f t="shared" si="13"/>
        <v>0.97045000000000003</v>
      </c>
      <c r="I43" s="353">
        <f t="shared" si="13"/>
        <v>0.98997000000000002</v>
      </c>
      <c r="J43" s="366">
        <f t="shared" si="13"/>
        <v>0.97465000000000002</v>
      </c>
      <c r="K43" s="407">
        <f t="shared" si="13"/>
        <v>0.99143000000000003</v>
      </c>
      <c r="L43" s="366">
        <f t="shared" si="1"/>
        <v>0.97848000000000002</v>
      </c>
      <c r="M43" s="407">
        <f t="shared" si="1"/>
        <v>0.99273999999999996</v>
      </c>
      <c r="N43" s="366">
        <f t="shared" si="2"/>
        <v>0.98172000000000004</v>
      </c>
      <c r="O43" s="366">
        <f t="shared" si="2"/>
        <v>0.99383999999999995</v>
      </c>
      <c r="P43" s="490">
        <f t="shared" si="2"/>
        <v>0.98424999999999996</v>
      </c>
      <c r="Q43" s="367">
        <f t="shared" si="2"/>
        <v>0.99472000000000005</v>
      </c>
    </row>
    <row r="44" spans="1:17" ht="21" customHeight="1">
      <c r="A44" s="348" t="s">
        <v>440</v>
      </c>
      <c r="B44" s="353">
        <f t="shared" ref="B44:K44" si="14">1-B18</f>
        <v>0.92723999999999995</v>
      </c>
      <c r="C44" s="353">
        <f t="shared" si="14"/>
        <v>0.97174000000000005</v>
      </c>
      <c r="D44" s="353">
        <f t="shared" si="14"/>
        <v>0.97174000000000005</v>
      </c>
      <c r="E44" s="353">
        <f t="shared" si="14"/>
        <v>0.97882999999999998</v>
      </c>
      <c r="F44" s="353">
        <f t="shared" si="14"/>
        <v>0.95008999999999999</v>
      </c>
      <c r="G44" s="353">
        <f t="shared" si="14"/>
        <v>0.98185</v>
      </c>
      <c r="H44" s="353">
        <f t="shared" si="14"/>
        <v>0.95742000000000005</v>
      </c>
      <c r="I44" s="353">
        <f t="shared" si="14"/>
        <v>0.98456999999999995</v>
      </c>
      <c r="J44" s="366">
        <f t="shared" si="14"/>
        <v>0.96331</v>
      </c>
      <c r="K44" s="407">
        <f t="shared" si="14"/>
        <v>0.98677999999999999</v>
      </c>
      <c r="L44" s="366">
        <f t="shared" si="1"/>
        <v>0.96872999999999998</v>
      </c>
      <c r="M44" s="407">
        <f t="shared" si="1"/>
        <v>0.98875999999999997</v>
      </c>
      <c r="N44" s="366">
        <f t="shared" si="2"/>
        <v>0.97331999999999996</v>
      </c>
      <c r="O44" s="366">
        <f t="shared" si="2"/>
        <v>0.99041999999999997</v>
      </c>
      <c r="P44" s="490">
        <f t="shared" si="2"/>
        <v>0.97694999999999999</v>
      </c>
      <c r="Q44" s="367">
        <f t="shared" si="2"/>
        <v>0.99177000000000004</v>
      </c>
    </row>
    <row r="45" spans="1:17" ht="21" customHeight="1">
      <c r="A45" s="348" t="s">
        <v>441</v>
      </c>
      <c r="B45" s="353">
        <f t="shared" ref="B45:K45" si="15">1-B19</f>
        <v>0.89229999999999998</v>
      </c>
      <c r="C45" s="353">
        <f t="shared" si="15"/>
        <v>0.95842000000000005</v>
      </c>
      <c r="D45" s="353">
        <f t="shared" si="15"/>
        <v>0.95842000000000005</v>
      </c>
      <c r="E45" s="353">
        <f t="shared" si="15"/>
        <v>0.96370999999999996</v>
      </c>
      <c r="F45" s="353">
        <f t="shared" si="15"/>
        <v>0.91910999999999998</v>
      </c>
      <c r="G45" s="353">
        <f t="shared" si="15"/>
        <v>0.96828999999999998</v>
      </c>
      <c r="H45" s="353">
        <f t="shared" si="15"/>
        <v>0.92968000000000006</v>
      </c>
      <c r="I45" s="353">
        <f t="shared" si="15"/>
        <v>0.97253000000000001</v>
      </c>
      <c r="J45" s="366">
        <f t="shared" si="15"/>
        <v>0.93835000000000002</v>
      </c>
      <c r="K45" s="407">
        <f t="shared" si="15"/>
        <v>0.97604999999999997</v>
      </c>
      <c r="L45" s="366">
        <f t="shared" si="1"/>
        <v>0.94643999999999995</v>
      </c>
      <c r="M45" s="407">
        <f t="shared" si="1"/>
        <v>0.97926999999999997</v>
      </c>
      <c r="N45" s="366">
        <f t="shared" si="2"/>
        <v>0.95345000000000002</v>
      </c>
      <c r="O45" s="366">
        <f t="shared" si="2"/>
        <v>0.98202</v>
      </c>
      <c r="P45" s="490">
        <f t="shared" si="2"/>
        <v>0.95911999999999997</v>
      </c>
      <c r="Q45" s="367">
        <f t="shared" si="2"/>
        <v>0.98426999999999998</v>
      </c>
    </row>
    <row r="46" spans="1:17" ht="21" customHeight="1">
      <c r="A46" s="348" t="s">
        <v>442</v>
      </c>
      <c r="B46" s="353">
        <f t="shared" ref="B46:K46" si="16">1-B20</f>
        <v>0.83624999999999994</v>
      </c>
      <c r="C46" s="353">
        <f t="shared" si="16"/>
        <v>0.92161000000000004</v>
      </c>
      <c r="D46" s="353">
        <f t="shared" si="16"/>
        <v>0.92161000000000004</v>
      </c>
      <c r="E46" s="353">
        <f t="shared" si="16"/>
        <v>0.93534000000000006</v>
      </c>
      <c r="F46" s="353">
        <f t="shared" si="16"/>
        <v>0.87267000000000006</v>
      </c>
      <c r="G46" s="353">
        <f t="shared" si="16"/>
        <v>0.94223000000000001</v>
      </c>
      <c r="H46" s="353">
        <f t="shared" si="16"/>
        <v>0.88668000000000002</v>
      </c>
      <c r="I46" s="353">
        <f t="shared" si="16"/>
        <v>0.94877999999999996</v>
      </c>
      <c r="J46" s="366">
        <f t="shared" si="16"/>
        <v>0.89844999999999997</v>
      </c>
      <c r="K46" s="407">
        <f t="shared" si="16"/>
        <v>0.95433999999999997</v>
      </c>
      <c r="L46" s="366">
        <f t="shared" si="1"/>
        <v>0.90975000000000006</v>
      </c>
      <c r="M46" s="407">
        <f t="shared" si="1"/>
        <v>0.95957000000000003</v>
      </c>
      <c r="N46" s="366">
        <f t="shared" si="2"/>
        <v>0.91976000000000002</v>
      </c>
      <c r="O46" s="366">
        <f t="shared" si="2"/>
        <v>0.96414999999999995</v>
      </c>
      <c r="P46" s="490">
        <f t="shared" si="2"/>
        <v>0.92801</v>
      </c>
      <c r="Q46" s="367">
        <f t="shared" si="2"/>
        <v>0.96799000000000002</v>
      </c>
    </row>
    <row r="47" spans="1:17" ht="21" customHeight="1">
      <c r="A47" s="348" t="s">
        <v>443</v>
      </c>
      <c r="B47" s="353">
        <f t="shared" ref="B47:K47" si="17">1-B21</f>
        <v>0.73144999999999993</v>
      </c>
      <c r="C47" s="353">
        <f t="shared" si="17"/>
        <v>0.83757000000000004</v>
      </c>
      <c r="D47" s="353">
        <f t="shared" si="17"/>
        <v>0.83757000000000004</v>
      </c>
      <c r="E47" s="353">
        <f t="shared" si="17"/>
        <v>0.88585999999999998</v>
      </c>
      <c r="F47" s="353">
        <f t="shared" si="17"/>
        <v>0.80184999999999995</v>
      </c>
      <c r="G47" s="353">
        <f t="shared" si="17"/>
        <v>0.89569999999999994</v>
      </c>
      <c r="H47" s="353">
        <f t="shared" si="17"/>
        <v>0.81932000000000005</v>
      </c>
      <c r="I47" s="353">
        <f t="shared" si="17"/>
        <v>0.90531000000000006</v>
      </c>
      <c r="J47" s="366">
        <f t="shared" si="17"/>
        <v>0.83448999999999995</v>
      </c>
      <c r="K47" s="407">
        <f t="shared" si="17"/>
        <v>0.91373000000000004</v>
      </c>
      <c r="L47" s="366">
        <f t="shared" si="1"/>
        <v>0.84938000000000002</v>
      </c>
      <c r="M47" s="407">
        <f t="shared" si="1"/>
        <v>0.92181999999999997</v>
      </c>
      <c r="N47" s="366">
        <f t="shared" si="2"/>
        <v>0.86294000000000004</v>
      </c>
      <c r="O47" s="366">
        <f t="shared" si="2"/>
        <v>0.92908999999999997</v>
      </c>
      <c r="P47" s="490">
        <f t="shared" si="2"/>
        <v>0.87434000000000001</v>
      </c>
      <c r="Q47" s="367">
        <f t="shared" si="2"/>
        <v>0.93528999999999995</v>
      </c>
    </row>
    <row r="48" spans="1:17" ht="21" customHeight="1">
      <c r="A48" s="348" t="s">
        <v>444</v>
      </c>
      <c r="B48" s="353">
        <f t="shared" ref="B48:K48" si="18">1-B22</f>
        <v>0.58647000000000005</v>
      </c>
      <c r="C48" s="353">
        <f t="shared" si="18"/>
        <v>0.71638000000000002</v>
      </c>
      <c r="D48" s="353">
        <f t="shared" si="18"/>
        <v>0.71638000000000002</v>
      </c>
      <c r="E48" s="353">
        <f t="shared" si="18"/>
        <v>0.80396000000000001</v>
      </c>
      <c r="F48" s="353">
        <f t="shared" si="18"/>
        <v>0.70080999999999993</v>
      </c>
      <c r="G48" s="353">
        <f t="shared" si="18"/>
        <v>0.81664000000000003</v>
      </c>
      <c r="H48" s="353">
        <f t="shared" si="18"/>
        <v>0.72049000000000007</v>
      </c>
      <c r="I48" s="353">
        <f t="shared" si="18"/>
        <v>0.82940999999999998</v>
      </c>
      <c r="J48" s="366">
        <f t="shared" si="18"/>
        <v>0.73807</v>
      </c>
      <c r="K48" s="407">
        <f t="shared" si="18"/>
        <v>0.84099999999999997</v>
      </c>
      <c r="L48" s="366">
        <f t="shared" si="1"/>
        <v>0.75567000000000006</v>
      </c>
      <c r="M48" s="407">
        <f t="shared" si="1"/>
        <v>0.85238000000000003</v>
      </c>
      <c r="N48" s="366">
        <f t="shared" si="2"/>
        <v>0.77234999999999998</v>
      </c>
      <c r="O48" s="366">
        <f t="shared" si="2"/>
        <v>0.86285000000000001</v>
      </c>
      <c r="P48" s="490">
        <f t="shared" si="2"/>
        <v>0.78656999999999999</v>
      </c>
      <c r="Q48" s="367">
        <f t="shared" si="2"/>
        <v>0.872</v>
      </c>
    </row>
    <row r="49" spans="1:17" ht="21" customHeight="1">
      <c r="A49" s="368" t="s">
        <v>445</v>
      </c>
      <c r="B49" s="353">
        <f t="shared" ref="B49:K49" si="19">1-B23</f>
        <v>0.43198999999999999</v>
      </c>
      <c r="C49" s="353">
        <f t="shared" si="19"/>
        <v>0.54933999999999994</v>
      </c>
      <c r="D49" s="353">
        <f t="shared" si="19"/>
        <v>0.54933999999999994</v>
      </c>
      <c r="E49" s="353">
        <f t="shared" si="19"/>
        <v>0.67717000000000005</v>
      </c>
      <c r="F49" s="353">
        <f t="shared" si="19"/>
        <v>0.56705000000000005</v>
      </c>
      <c r="G49" s="353">
        <f t="shared" si="19"/>
        <v>0.69120999999999999</v>
      </c>
      <c r="H49" s="353">
        <f t="shared" si="19"/>
        <v>0.58606000000000003</v>
      </c>
      <c r="I49" s="353">
        <f t="shared" si="19"/>
        <v>0.70589999999999997</v>
      </c>
      <c r="J49" s="366">
        <f t="shared" si="19"/>
        <v>0.60348000000000002</v>
      </c>
      <c r="K49" s="407">
        <f t="shared" si="19"/>
        <v>0.71957000000000004</v>
      </c>
      <c r="L49" s="366">
        <f t="shared" si="1"/>
        <v>0.62156999999999996</v>
      </c>
      <c r="M49" s="407">
        <f t="shared" si="1"/>
        <v>0.73343999999999998</v>
      </c>
      <c r="N49" s="366">
        <f t="shared" si="2"/>
        <v>0.63894000000000006</v>
      </c>
      <c r="O49" s="366">
        <f t="shared" si="2"/>
        <v>0.74641999999999997</v>
      </c>
      <c r="P49" s="490">
        <f t="shared" si="2"/>
        <v>0.65425</v>
      </c>
      <c r="Q49" s="367">
        <f t="shared" si="2"/>
        <v>0.75807000000000002</v>
      </c>
    </row>
    <row r="50" spans="1:17" ht="21" customHeight="1">
      <c r="A50" s="368" t="s">
        <v>446</v>
      </c>
      <c r="B50" s="353">
        <f t="shared" ref="B50:K50" si="20">1-B24</f>
        <v>0.28830999999999996</v>
      </c>
      <c r="C50" s="353">
        <f t="shared" si="20"/>
        <v>0.38039999999999996</v>
      </c>
      <c r="D50" s="353">
        <f t="shared" si="20"/>
        <v>0.38039999999999996</v>
      </c>
      <c r="E50" s="353">
        <f t="shared" si="20"/>
        <v>0.50295000000000001</v>
      </c>
      <c r="F50" s="353">
        <f t="shared" si="20"/>
        <v>0.40920999999999996</v>
      </c>
      <c r="G50" s="353">
        <f t="shared" si="20"/>
        <v>0.51499000000000006</v>
      </c>
      <c r="H50" s="353">
        <f t="shared" si="20"/>
        <v>0.42390000000000005</v>
      </c>
      <c r="I50" s="353">
        <f t="shared" si="20"/>
        <v>0.52841000000000005</v>
      </c>
      <c r="J50" s="366">
        <f t="shared" si="20"/>
        <v>0.43762999999999996</v>
      </c>
      <c r="K50" s="407">
        <f t="shared" si="20"/>
        <v>0.54103999999999997</v>
      </c>
      <c r="L50" s="366">
        <f t="shared" si="1"/>
        <v>0.45245000000000002</v>
      </c>
      <c r="M50" s="407">
        <f t="shared" si="1"/>
        <v>0.55438999999999994</v>
      </c>
      <c r="N50" s="366">
        <f t="shared" si="2"/>
        <v>0.46675</v>
      </c>
      <c r="O50" s="366">
        <f t="shared" si="2"/>
        <v>0.56708000000000003</v>
      </c>
      <c r="P50" s="490">
        <f t="shared" si="2"/>
        <v>0.47977999999999998</v>
      </c>
      <c r="Q50" s="367">
        <f t="shared" si="2"/>
        <v>0.57882</v>
      </c>
    </row>
    <row r="51" spans="1:17" ht="21" customHeight="1">
      <c r="A51" s="348" t="s">
        <v>562</v>
      </c>
      <c r="B51" s="353">
        <f t="shared" ref="B51:K52" si="21">1-B25</f>
        <v>0.17730999999999997</v>
      </c>
      <c r="C51" s="353">
        <f t="shared" si="21"/>
        <v>0.24539</v>
      </c>
      <c r="D51" s="353">
        <f t="shared" si="21"/>
        <v>0.24539</v>
      </c>
      <c r="E51" s="353">
        <f t="shared" si="21"/>
        <v>0.30549999999999999</v>
      </c>
      <c r="F51" s="353">
        <f t="shared" si="21"/>
        <v>0.25133000000000005</v>
      </c>
      <c r="G51" s="353">
        <f t="shared" si="21"/>
        <v>0.31218000000000001</v>
      </c>
      <c r="H51" s="353">
        <f t="shared" si="21"/>
        <v>0.25914999999999999</v>
      </c>
      <c r="I51" s="353">
        <f t="shared" si="21"/>
        <v>0.32021999999999995</v>
      </c>
      <c r="J51" s="366">
        <f t="shared" si="21"/>
        <v>0.26668000000000003</v>
      </c>
      <c r="K51" s="407">
        <f t="shared" si="21"/>
        <v>0.32803000000000004</v>
      </c>
      <c r="L51" s="366">
        <f t="shared" si="1"/>
        <v>0.27500000000000002</v>
      </c>
      <c r="M51" s="407">
        <f t="shared" si="1"/>
        <v>0.33648999999999996</v>
      </c>
      <c r="N51" s="366">
        <f t="shared" si="2"/>
        <v>0.28308999999999995</v>
      </c>
      <c r="O51" s="366">
        <f t="shared" si="2"/>
        <v>0.34469000000000005</v>
      </c>
      <c r="P51" s="490">
        <f t="shared" si="2"/>
        <v>0.29061000000000003</v>
      </c>
      <c r="Q51" s="367">
        <f t="shared" si="2"/>
        <v>0.35241</v>
      </c>
    </row>
    <row r="52" spans="1:17" ht="21" customHeight="1" thickBot="1">
      <c r="A52" s="476" t="s">
        <v>563</v>
      </c>
      <c r="B52" s="477">
        <f t="shared" si="21"/>
        <v>0</v>
      </c>
      <c r="C52" s="477">
        <f t="shared" si="21"/>
        <v>0</v>
      </c>
      <c r="D52" s="477">
        <f t="shared" si="21"/>
        <v>0</v>
      </c>
      <c r="E52" s="477">
        <f t="shared" si="21"/>
        <v>0</v>
      </c>
      <c r="F52" s="477">
        <f t="shared" si="21"/>
        <v>0</v>
      </c>
      <c r="G52" s="477">
        <f t="shared" si="21"/>
        <v>0</v>
      </c>
      <c r="H52" s="477">
        <f t="shared" si="21"/>
        <v>0</v>
      </c>
      <c r="I52" s="477">
        <f t="shared" si="21"/>
        <v>0</v>
      </c>
      <c r="J52" s="485">
        <f t="shared" si="21"/>
        <v>0</v>
      </c>
      <c r="K52" s="486">
        <f t="shared" si="21"/>
        <v>0</v>
      </c>
      <c r="L52" s="485">
        <f t="shared" si="1"/>
        <v>0</v>
      </c>
      <c r="M52" s="486">
        <f t="shared" si="1"/>
        <v>0</v>
      </c>
      <c r="N52" s="485">
        <f t="shared" si="2"/>
        <v>0</v>
      </c>
      <c r="O52" s="485">
        <f t="shared" si="2"/>
        <v>0</v>
      </c>
      <c r="P52" s="491">
        <f t="shared" si="2"/>
        <v>0</v>
      </c>
      <c r="Q52" s="487">
        <f t="shared" si="2"/>
        <v>0</v>
      </c>
    </row>
    <row r="53" spans="1:17" ht="21" customHeight="1"/>
    <row r="54" spans="1:17" ht="21" customHeight="1"/>
    <row r="55" spans="1:17" ht="21" customHeight="1"/>
    <row r="56" spans="1:17" ht="21" customHeight="1"/>
    <row r="57" spans="1:17" ht="21" customHeight="1"/>
    <row r="58" spans="1:17" ht="21" customHeight="1"/>
    <row r="59" spans="1:17" ht="21" customHeight="1"/>
    <row r="60" spans="1:17" ht="21" customHeight="1"/>
    <row r="61" spans="1:17" ht="21" customHeight="1"/>
    <row r="62" spans="1:17" ht="21" customHeight="1"/>
    <row r="63" spans="1:17" ht="21" customHeight="1"/>
    <row r="64" spans="1:17" ht="21" customHeight="1"/>
    <row r="65" ht="21" customHeight="1"/>
    <row r="66" ht="21" customHeight="1"/>
    <row r="67" ht="21" customHeight="1"/>
    <row r="68" ht="21" customHeight="1"/>
    <row r="69" ht="21" customHeight="1"/>
    <row r="70" ht="21" customHeight="1"/>
    <row r="71" ht="21" customHeight="1"/>
    <row r="72" ht="21" customHeight="1"/>
    <row r="73" ht="21" customHeight="1"/>
    <row r="74" ht="21" customHeight="1"/>
    <row r="75" ht="21" customHeight="1"/>
    <row r="76" ht="21" customHeight="1"/>
    <row r="77" ht="21" customHeight="1"/>
    <row r="78" ht="21" customHeight="1"/>
    <row r="79" ht="21" customHeight="1"/>
    <row r="80" ht="21" customHeight="1"/>
    <row r="81" ht="21" customHeight="1"/>
    <row r="82" ht="21" customHeight="1"/>
    <row r="83" ht="21" customHeight="1"/>
    <row r="84" ht="21" customHeight="1"/>
    <row r="85" ht="21" customHeight="1"/>
    <row r="86" ht="21" customHeight="1"/>
    <row r="87" ht="21" customHeight="1"/>
    <row r="88" ht="21" customHeight="1"/>
    <row r="89" ht="21" customHeight="1"/>
    <row r="90" ht="21" customHeight="1"/>
    <row r="91" ht="21" customHeight="1"/>
    <row r="92" ht="21" customHeight="1"/>
    <row r="93" ht="21" customHeight="1"/>
    <row r="94" ht="21" customHeight="1"/>
    <row r="95" ht="21" customHeight="1"/>
    <row r="96" ht="21" customHeight="1"/>
    <row r="97" ht="21" customHeight="1"/>
    <row r="98" ht="21" customHeight="1"/>
    <row r="99" ht="21" customHeight="1"/>
    <row r="100" ht="21" customHeight="1"/>
    <row r="101" ht="21" customHeight="1"/>
    <row r="102" ht="21" customHeight="1"/>
    <row r="103" ht="21" customHeight="1"/>
    <row r="104" ht="21" customHeight="1"/>
    <row r="105" ht="21" customHeight="1"/>
  </sheetData>
  <mergeCells count="18">
    <mergeCell ref="A3:A4"/>
    <mergeCell ref="A29:A30"/>
    <mergeCell ref="B29:C29"/>
    <mergeCell ref="D29:E29"/>
    <mergeCell ref="B3:C3"/>
    <mergeCell ref="D3:E3"/>
    <mergeCell ref="F3:G3"/>
    <mergeCell ref="H3:I3"/>
    <mergeCell ref="N3:O3"/>
    <mergeCell ref="N29:O29"/>
    <mergeCell ref="P3:Q3"/>
    <mergeCell ref="P29:Q29"/>
    <mergeCell ref="J3:K3"/>
    <mergeCell ref="J29:K29"/>
    <mergeCell ref="F29:G29"/>
    <mergeCell ref="H29:I29"/>
    <mergeCell ref="L3:M3"/>
    <mergeCell ref="L29:M29"/>
  </mergeCells>
  <phoneticPr fontId="10" type="noConversion"/>
  <printOptions horizontalCentered="1"/>
  <pageMargins left="0.6" right="0.53" top="0.59055118110236227" bottom="0.59055118110236227" header="0.51181102362204722" footer="0.51181102362204722"/>
  <pageSetup paperSize="9" scale="88" orientation="landscape" horizontalDpi="4294967292" r:id="rId1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>
  <sheetPr codeName="Sheet17" enableFormatConditionsCalculation="0">
    <tabColor rgb="FF92D050"/>
  </sheetPr>
  <dimension ref="A1:L47"/>
  <sheetViews>
    <sheetView view="pageBreakPreview" zoomScale="85" zoomScaleSheetLayoutView="85" workbookViewId="0">
      <selection activeCell="N27" sqref="N27"/>
    </sheetView>
  </sheetViews>
  <sheetFormatPr defaultColWidth="8" defaultRowHeight="21.95" customHeight="1"/>
  <cols>
    <col min="1" max="8" width="9.33203125" style="369" customWidth="1"/>
    <col min="9" max="11" width="10" style="369" customWidth="1"/>
    <col min="12" max="12" width="15.6640625" style="369" customWidth="1"/>
    <col min="13" max="16384" width="8" style="369"/>
  </cols>
  <sheetData>
    <row r="1" spans="1:12" ht="21.95" customHeight="1">
      <c r="A1" s="435" t="s">
        <v>1058</v>
      </c>
      <c r="B1" s="283"/>
      <c r="C1" s="283"/>
      <c r="D1" s="283"/>
      <c r="E1" s="283"/>
      <c r="F1" s="283"/>
      <c r="G1" s="283"/>
      <c r="H1" s="283"/>
      <c r="I1" s="283"/>
      <c r="J1" s="620" t="s">
        <v>400</v>
      </c>
      <c r="K1" s="620"/>
      <c r="L1" s="283"/>
    </row>
    <row r="2" spans="1:12" ht="21.95" customHeight="1">
      <c r="A2" s="283"/>
      <c r="B2" s="283"/>
      <c r="C2" s="283"/>
      <c r="D2" s="283"/>
      <c r="E2" s="283"/>
      <c r="F2" s="283"/>
      <c r="G2" s="283"/>
      <c r="H2" s="283"/>
      <c r="I2" s="283"/>
      <c r="J2" s="621" t="s">
        <v>401</v>
      </c>
      <c r="K2" s="621"/>
      <c r="L2" s="283"/>
    </row>
    <row r="3" spans="1:12" ht="21.95" customHeight="1">
      <c r="A3" s="429" t="s">
        <v>402</v>
      </c>
      <c r="B3" s="462" t="s">
        <v>579</v>
      </c>
      <c r="C3" s="462" t="s">
        <v>580</v>
      </c>
      <c r="D3" s="429" t="s">
        <v>573</v>
      </c>
      <c r="E3" s="429" t="s">
        <v>574</v>
      </c>
      <c r="F3" s="429" t="s">
        <v>575</v>
      </c>
      <c r="G3" s="429" t="s">
        <v>576</v>
      </c>
      <c r="H3" s="429" t="s">
        <v>581</v>
      </c>
      <c r="I3" s="283"/>
      <c r="J3" s="622" t="s">
        <v>241</v>
      </c>
      <c r="K3" s="552" t="s">
        <v>617</v>
      </c>
      <c r="L3" s="283"/>
    </row>
    <row r="4" spans="1:12" ht="21.95" customHeight="1">
      <c r="A4" s="370" t="s">
        <v>617</v>
      </c>
      <c r="B4" s="463">
        <f>SUM(B5:B11)</f>
        <v>295.70999999999998</v>
      </c>
      <c r="C4" s="463">
        <f t="shared" ref="C4:H4" si="0">SUM(C5:C11)</f>
        <v>308.48</v>
      </c>
      <c r="D4" s="463">
        <f t="shared" si="0"/>
        <v>325.82</v>
      </c>
      <c r="E4" s="463">
        <f t="shared" si="0"/>
        <v>333.34000000000003</v>
      </c>
      <c r="F4" s="463">
        <f t="shared" si="0"/>
        <v>338.88000000000005</v>
      </c>
      <c r="G4" s="463">
        <f t="shared" si="0"/>
        <v>341.8</v>
      </c>
      <c r="H4" s="463">
        <f t="shared" si="0"/>
        <v>342.55000000000007</v>
      </c>
      <c r="I4" s="283"/>
      <c r="J4" s="622"/>
      <c r="K4" s="553"/>
      <c r="L4" s="283" t="s">
        <v>403</v>
      </c>
    </row>
    <row r="5" spans="1:12" ht="21.95" customHeight="1">
      <c r="A5" s="370" t="s">
        <v>404</v>
      </c>
      <c r="B5" s="371">
        <v>2.65</v>
      </c>
      <c r="C5" s="371">
        <v>1.68</v>
      </c>
      <c r="D5" s="371">
        <v>1.91</v>
      </c>
      <c r="E5" s="371">
        <v>2.21</v>
      </c>
      <c r="F5" s="371">
        <v>2.36</v>
      </c>
      <c r="G5" s="371">
        <v>2.46</v>
      </c>
      <c r="H5" s="371">
        <v>2.5099999999999998</v>
      </c>
      <c r="I5" s="283"/>
      <c r="J5" s="370" t="s">
        <v>405</v>
      </c>
      <c r="K5" s="554" t="s">
        <v>406</v>
      </c>
      <c r="L5" s="283"/>
    </row>
    <row r="6" spans="1:12" ht="21.95" customHeight="1">
      <c r="A6" s="370" t="s">
        <v>407</v>
      </c>
      <c r="B6" s="371">
        <v>29.89</v>
      </c>
      <c r="C6" s="371">
        <v>25.44</v>
      </c>
      <c r="D6" s="371">
        <v>24.48</v>
      </c>
      <c r="E6" s="371">
        <v>24.69</v>
      </c>
      <c r="F6" s="371">
        <v>25</v>
      </c>
      <c r="G6" s="371">
        <v>25.25</v>
      </c>
      <c r="H6" s="371">
        <v>25.44</v>
      </c>
      <c r="I6" s="283"/>
      <c r="J6" s="370">
        <v>2006</v>
      </c>
      <c r="K6" s="555">
        <v>103.02616010469059</v>
      </c>
      <c r="L6" s="283"/>
    </row>
    <row r="7" spans="1:12" ht="21.95" customHeight="1">
      <c r="A7" s="370" t="s">
        <v>408</v>
      </c>
      <c r="B7" s="371">
        <v>114.15</v>
      </c>
      <c r="C7" s="371">
        <v>102.3</v>
      </c>
      <c r="D7" s="371">
        <v>96.09</v>
      </c>
      <c r="E7" s="371">
        <v>92.68</v>
      </c>
      <c r="F7" s="371">
        <v>92.03</v>
      </c>
      <c r="G7" s="371">
        <v>91.8</v>
      </c>
      <c r="H7" s="371">
        <v>91.88</v>
      </c>
      <c r="I7" s="283"/>
      <c r="J7" s="370">
        <v>2007</v>
      </c>
      <c r="K7" s="555">
        <v>103.57107464634036</v>
      </c>
      <c r="L7" s="283"/>
    </row>
    <row r="8" spans="1:12" ht="21.95" customHeight="1">
      <c r="A8" s="370" t="s">
        <v>409</v>
      </c>
      <c r="B8" s="371">
        <v>113.24</v>
      </c>
      <c r="C8" s="371">
        <v>123.2</v>
      </c>
      <c r="D8" s="371">
        <v>127.89</v>
      </c>
      <c r="E8" s="371">
        <v>127.47</v>
      </c>
      <c r="F8" s="371">
        <v>128.02000000000001</v>
      </c>
      <c r="G8" s="371">
        <v>128.21</v>
      </c>
      <c r="H8" s="371">
        <v>128.15</v>
      </c>
      <c r="I8" s="283"/>
      <c r="J8" s="370">
        <v>2008</v>
      </c>
      <c r="K8" s="555">
        <v>103.8963514157399</v>
      </c>
      <c r="L8" s="372">
        <f>AVERAGE(K6:K10)</f>
        <v>103.6802947571995</v>
      </c>
    </row>
    <row r="9" spans="1:12" ht="21.95" customHeight="1">
      <c r="A9" s="370" t="s">
        <v>410</v>
      </c>
      <c r="B9" s="371">
        <v>31.36</v>
      </c>
      <c r="C9" s="371">
        <v>48.7</v>
      </c>
      <c r="D9" s="371">
        <v>62.5</v>
      </c>
      <c r="E9" s="371">
        <v>69.05</v>
      </c>
      <c r="F9" s="371">
        <v>72.11</v>
      </c>
      <c r="G9" s="371">
        <v>73.58</v>
      </c>
      <c r="H9" s="371">
        <v>73.81</v>
      </c>
      <c r="I9" s="283"/>
      <c r="J9" s="370">
        <v>2009</v>
      </c>
      <c r="K9" s="555">
        <v>103.93437768545186</v>
      </c>
      <c r="L9" s="283"/>
    </row>
    <row r="10" spans="1:12" ht="21.95" customHeight="1">
      <c r="A10" s="370" t="s">
        <v>411</v>
      </c>
      <c r="B10" s="371">
        <v>4.09</v>
      </c>
      <c r="C10" s="371">
        <v>6.8</v>
      </c>
      <c r="D10" s="371">
        <v>11.99</v>
      </c>
      <c r="E10" s="371">
        <v>15.67</v>
      </c>
      <c r="F10" s="371">
        <v>17.45</v>
      </c>
      <c r="G10" s="371">
        <v>18.39</v>
      </c>
      <c r="H10" s="371">
        <v>18.600000000000001</v>
      </c>
      <c r="I10" s="283"/>
      <c r="J10" s="370">
        <v>2010</v>
      </c>
      <c r="K10" s="555">
        <v>103.97350993377484</v>
      </c>
      <c r="L10" s="283"/>
    </row>
    <row r="11" spans="1:12" ht="21.95" customHeight="1">
      <c r="A11" s="370" t="s">
        <v>412</v>
      </c>
      <c r="B11" s="371">
        <v>0.33</v>
      </c>
      <c r="C11" s="371">
        <v>0.36</v>
      </c>
      <c r="D11" s="371">
        <v>0.96</v>
      </c>
      <c r="E11" s="371">
        <v>1.57</v>
      </c>
      <c r="F11" s="371">
        <v>1.91</v>
      </c>
      <c r="G11" s="371">
        <v>2.11</v>
      </c>
      <c r="H11" s="371">
        <v>2.16</v>
      </c>
      <c r="I11" s="283"/>
      <c r="J11" s="370">
        <v>2011</v>
      </c>
      <c r="K11" s="555">
        <v>104.23009397512955</v>
      </c>
      <c r="L11" s="283"/>
    </row>
    <row r="12" spans="1:12" ht="21.95" customHeight="1">
      <c r="A12" s="283" t="s">
        <v>413</v>
      </c>
      <c r="B12" s="283"/>
      <c r="C12" s="283"/>
      <c r="D12" s="283"/>
      <c r="E12" s="283"/>
      <c r="F12" s="283"/>
      <c r="G12" s="283"/>
      <c r="H12" s="283"/>
      <c r="I12" s="283"/>
      <c r="J12" s="370">
        <v>2012</v>
      </c>
      <c r="K12" s="555">
        <v>104.28122951667989</v>
      </c>
      <c r="L12" s="283"/>
    </row>
    <row r="13" spans="1:12" ht="21.95" customHeight="1">
      <c r="A13" s="283"/>
      <c r="B13" s="283"/>
      <c r="C13" s="283"/>
      <c r="D13" s="283"/>
      <c r="E13" s="617" t="s">
        <v>414</v>
      </c>
      <c r="F13" s="618"/>
      <c r="G13" s="619"/>
      <c r="H13" s="461"/>
      <c r="I13" s="283"/>
      <c r="J13" s="370">
        <v>2013</v>
      </c>
      <c r="K13" s="555">
        <v>104.31111888963291</v>
      </c>
      <c r="L13" s="372">
        <f>AVERAGE(K11:K15)</f>
        <v>104.30950443601368</v>
      </c>
    </row>
    <row r="14" spans="1:12" ht="21.95" customHeight="1">
      <c r="A14" s="283"/>
      <c r="B14" s="283"/>
      <c r="C14" s="283"/>
      <c r="D14" s="283"/>
      <c r="E14" s="614" t="s">
        <v>403</v>
      </c>
      <c r="F14" s="615"/>
      <c r="G14" s="616"/>
      <c r="H14" s="461"/>
      <c r="I14" s="283"/>
      <c r="J14" s="370">
        <v>2014</v>
      </c>
      <c r="K14" s="555">
        <v>104.34194236241025</v>
      </c>
      <c r="L14" s="283"/>
    </row>
    <row r="15" spans="1:12" ht="21.95" customHeight="1">
      <c r="A15" s="283"/>
      <c r="B15" s="283"/>
      <c r="C15" s="283"/>
      <c r="D15" s="283"/>
      <c r="E15" s="283"/>
      <c r="F15" s="283"/>
      <c r="G15" s="283"/>
      <c r="H15" s="283"/>
      <c r="I15" s="283"/>
      <c r="J15" s="370">
        <v>2015</v>
      </c>
      <c r="K15" s="555">
        <v>104.3831374362158</v>
      </c>
      <c r="L15" s="283"/>
    </row>
    <row r="16" spans="1:12" ht="21.95" customHeight="1">
      <c r="A16" s="429" t="s">
        <v>402</v>
      </c>
      <c r="B16" s="462" t="s">
        <v>579</v>
      </c>
      <c r="C16" s="462" t="s">
        <v>580</v>
      </c>
      <c r="D16" s="429" t="s">
        <v>573</v>
      </c>
      <c r="E16" s="429" t="s">
        <v>574</v>
      </c>
      <c r="F16" s="429" t="s">
        <v>575</v>
      </c>
      <c r="G16" s="429" t="s">
        <v>576</v>
      </c>
      <c r="H16" s="429" t="s">
        <v>581</v>
      </c>
      <c r="I16" s="283"/>
      <c r="J16" s="370"/>
      <c r="K16" s="556"/>
      <c r="L16" s="283"/>
    </row>
    <row r="17" spans="1:12" ht="21.95" customHeight="1">
      <c r="A17" s="370" t="s">
        <v>617</v>
      </c>
      <c r="B17" s="373">
        <f t="shared" ref="B17:G24" si="1">B4*0.001</f>
        <v>0.29570999999999997</v>
      </c>
      <c r="C17" s="373">
        <f t="shared" si="1"/>
        <v>0.30848000000000003</v>
      </c>
      <c r="D17" s="373">
        <f t="shared" si="1"/>
        <v>0.32582</v>
      </c>
      <c r="E17" s="373">
        <f t="shared" si="1"/>
        <v>0.33334000000000003</v>
      </c>
      <c r="F17" s="373">
        <f t="shared" si="1"/>
        <v>0.33888000000000007</v>
      </c>
      <c r="G17" s="373">
        <f t="shared" si="1"/>
        <v>0.34179999999999999</v>
      </c>
      <c r="H17" s="373">
        <f t="shared" ref="H17:H24" si="2">H4*0.001</f>
        <v>0.34255000000000008</v>
      </c>
      <c r="I17" s="283"/>
      <c r="J17" s="370">
        <v>2016</v>
      </c>
      <c r="K17" s="555">
        <v>104.41682338574689</v>
      </c>
      <c r="L17" s="283"/>
    </row>
    <row r="18" spans="1:12" ht="21.95" customHeight="1">
      <c r="A18" s="370" t="s">
        <v>415</v>
      </c>
      <c r="B18" s="373">
        <f t="shared" si="1"/>
        <v>2.65E-3</v>
      </c>
      <c r="C18" s="373">
        <f t="shared" si="1"/>
        <v>1.6800000000000001E-3</v>
      </c>
      <c r="D18" s="373">
        <f t="shared" si="1"/>
        <v>1.91E-3</v>
      </c>
      <c r="E18" s="373">
        <f t="shared" si="1"/>
        <v>2.2100000000000002E-3</v>
      </c>
      <c r="F18" s="373">
        <f t="shared" si="1"/>
        <v>2.3600000000000001E-3</v>
      </c>
      <c r="G18" s="373">
        <f t="shared" si="1"/>
        <v>2.4599999999999999E-3</v>
      </c>
      <c r="H18" s="373">
        <f t="shared" si="2"/>
        <v>2.5099999999999996E-3</v>
      </c>
      <c r="I18" s="283"/>
      <c r="J18" s="370">
        <v>2017</v>
      </c>
      <c r="K18" s="555">
        <v>104.45124422393994</v>
      </c>
      <c r="L18" s="283"/>
    </row>
    <row r="19" spans="1:12" ht="21.95" customHeight="1">
      <c r="A19" s="370" t="s">
        <v>416</v>
      </c>
      <c r="B19" s="373">
        <f t="shared" si="1"/>
        <v>2.989E-2</v>
      </c>
      <c r="C19" s="373">
        <f t="shared" si="1"/>
        <v>2.5440000000000001E-2</v>
      </c>
      <c r="D19" s="373">
        <f t="shared" si="1"/>
        <v>2.4480000000000002E-2</v>
      </c>
      <c r="E19" s="373">
        <f t="shared" si="1"/>
        <v>2.469E-2</v>
      </c>
      <c r="F19" s="373">
        <f t="shared" si="1"/>
        <v>2.5000000000000001E-2</v>
      </c>
      <c r="G19" s="373">
        <f t="shared" si="1"/>
        <v>2.5250000000000002E-2</v>
      </c>
      <c r="H19" s="373">
        <f t="shared" si="2"/>
        <v>2.5440000000000001E-2</v>
      </c>
      <c r="I19" s="283"/>
      <c r="J19" s="370">
        <v>2018</v>
      </c>
      <c r="K19" s="555">
        <v>104.49470429843102</v>
      </c>
      <c r="L19" s="372">
        <f>AVERAGE(K17:K21)</f>
        <v>104.49099764908973</v>
      </c>
    </row>
    <row r="20" spans="1:12" ht="21.95" customHeight="1">
      <c r="A20" s="370" t="s">
        <v>417</v>
      </c>
      <c r="B20" s="373">
        <f t="shared" si="1"/>
        <v>0.11415</v>
      </c>
      <c r="C20" s="373">
        <f t="shared" si="1"/>
        <v>0.1023</v>
      </c>
      <c r="D20" s="373">
        <f t="shared" si="1"/>
        <v>9.6090000000000009E-2</v>
      </c>
      <c r="E20" s="373">
        <f t="shared" si="1"/>
        <v>9.2680000000000012E-2</v>
      </c>
      <c r="F20" s="373">
        <f t="shared" si="1"/>
        <v>9.2030000000000001E-2</v>
      </c>
      <c r="G20" s="373">
        <f t="shared" si="1"/>
        <v>9.1799999999999993E-2</v>
      </c>
      <c r="H20" s="373">
        <f t="shared" si="2"/>
        <v>9.1880000000000003E-2</v>
      </c>
      <c r="I20" s="283"/>
      <c r="J20" s="370">
        <v>2019</v>
      </c>
      <c r="K20" s="555">
        <v>104.53051019168387</v>
      </c>
      <c r="L20" s="283"/>
    </row>
    <row r="21" spans="1:12" ht="21.95" customHeight="1">
      <c r="A21" s="370" t="s">
        <v>418</v>
      </c>
      <c r="B21" s="373">
        <f t="shared" si="1"/>
        <v>0.11323999999999999</v>
      </c>
      <c r="C21" s="373">
        <f t="shared" si="1"/>
        <v>0.1232</v>
      </c>
      <c r="D21" s="373">
        <f t="shared" si="1"/>
        <v>0.12789</v>
      </c>
      <c r="E21" s="373">
        <f t="shared" si="1"/>
        <v>0.12747</v>
      </c>
      <c r="F21" s="373">
        <f t="shared" si="1"/>
        <v>0.12802000000000002</v>
      </c>
      <c r="G21" s="373">
        <f t="shared" si="1"/>
        <v>0.12821000000000002</v>
      </c>
      <c r="H21" s="373">
        <f t="shared" si="2"/>
        <v>0.12815000000000001</v>
      </c>
      <c r="I21" s="283"/>
      <c r="J21" s="370">
        <v>2020</v>
      </c>
      <c r="K21" s="555">
        <v>104.56170614564701</v>
      </c>
      <c r="L21" s="283"/>
    </row>
    <row r="22" spans="1:12" ht="21.95" customHeight="1">
      <c r="A22" s="370" t="s">
        <v>419</v>
      </c>
      <c r="B22" s="373">
        <f t="shared" si="1"/>
        <v>3.1359999999999999E-2</v>
      </c>
      <c r="C22" s="373">
        <f t="shared" si="1"/>
        <v>4.8700000000000007E-2</v>
      </c>
      <c r="D22" s="373">
        <f t="shared" si="1"/>
        <v>6.25E-2</v>
      </c>
      <c r="E22" s="373">
        <f t="shared" si="1"/>
        <v>6.905E-2</v>
      </c>
      <c r="F22" s="373">
        <f t="shared" si="1"/>
        <v>7.2110000000000007E-2</v>
      </c>
      <c r="G22" s="373">
        <f t="shared" si="1"/>
        <v>7.3580000000000007E-2</v>
      </c>
      <c r="H22" s="373">
        <f t="shared" si="2"/>
        <v>7.3810000000000001E-2</v>
      </c>
      <c r="I22" s="283"/>
      <c r="J22" s="370">
        <v>2021</v>
      </c>
      <c r="K22" s="555">
        <v>104.59201539305725</v>
      </c>
      <c r="L22" s="283"/>
    </row>
    <row r="23" spans="1:12" ht="21.95" customHeight="1">
      <c r="A23" s="370" t="s">
        <v>420</v>
      </c>
      <c r="B23" s="373">
        <f t="shared" si="1"/>
        <v>4.0899999999999999E-3</v>
      </c>
      <c r="C23" s="373">
        <f t="shared" si="1"/>
        <v>6.7999999999999996E-3</v>
      </c>
      <c r="D23" s="373">
        <f t="shared" si="1"/>
        <v>1.1990000000000001E-2</v>
      </c>
      <c r="E23" s="373">
        <f t="shared" si="1"/>
        <v>1.567E-2</v>
      </c>
      <c r="F23" s="373">
        <f t="shared" si="1"/>
        <v>1.745E-2</v>
      </c>
      <c r="G23" s="373">
        <f t="shared" si="1"/>
        <v>1.839E-2</v>
      </c>
      <c r="H23" s="373">
        <f t="shared" si="2"/>
        <v>1.8600000000000002E-2</v>
      </c>
      <c r="I23" s="283"/>
      <c r="J23" s="370">
        <v>2022</v>
      </c>
      <c r="K23" s="555">
        <v>104.6159340442409</v>
      </c>
      <c r="L23" s="283"/>
    </row>
    <row r="24" spans="1:12" ht="21.95" customHeight="1">
      <c r="A24" s="370" t="s">
        <v>421</v>
      </c>
      <c r="B24" s="373">
        <f t="shared" si="1"/>
        <v>3.3E-4</v>
      </c>
      <c r="C24" s="373">
        <f t="shared" si="1"/>
        <v>3.5999999999999997E-4</v>
      </c>
      <c r="D24" s="373">
        <f t="shared" si="1"/>
        <v>9.6000000000000002E-4</v>
      </c>
      <c r="E24" s="373">
        <f t="shared" si="1"/>
        <v>1.57E-3</v>
      </c>
      <c r="F24" s="373">
        <f t="shared" si="1"/>
        <v>1.91E-3</v>
      </c>
      <c r="G24" s="373">
        <f t="shared" si="1"/>
        <v>2.1099999999999999E-3</v>
      </c>
      <c r="H24" s="373">
        <f t="shared" si="2"/>
        <v>2.16E-3</v>
      </c>
      <c r="I24" s="283"/>
      <c r="J24" s="370">
        <v>2023</v>
      </c>
      <c r="K24" s="555">
        <v>104.63311057590631</v>
      </c>
      <c r="L24" s="372">
        <f>AVERAGE(K22:K26)</f>
        <v>104.62000631996992</v>
      </c>
    </row>
    <row r="25" spans="1:12" ht="21.95" customHeight="1">
      <c r="A25" s="283"/>
      <c r="B25" s="283"/>
      <c r="C25" s="283"/>
      <c r="D25" s="283"/>
      <c r="E25" s="283"/>
      <c r="F25" s="283"/>
      <c r="G25" s="283"/>
      <c r="H25" s="283"/>
      <c r="I25" s="283"/>
      <c r="J25" s="370">
        <v>2024</v>
      </c>
      <c r="K25" s="555">
        <v>104.63457319540785</v>
      </c>
      <c r="L25" s="283"/>
    </row>
    <row r="26" spans="1:12" ht="21.95" customHeight="1">
      <c r="A26" s="283"/>
      <c r="B26" s="283"/>
      <c r="C26" s="283"/>
      <c r="D26" s="283"/>
      <c r="E26" s="283"/>
      <c r="F26" s="283"/>
      <c r="G26" s="283"/>
      <c r="H26" s="283"/>
      <c r="I26" s="283"/>
      <c r="J26" s="370">
        <v>2025</v>
      </c>
      <c r="K26" s="555">
        <v>104.62439839123725</v>
      </c>
      <c r="L26" s="283"/>
    </row>
    <row r="27" spans="1:12" ht="21.95" customHeight="1">
      <c r="A27" s="283" t="s">
        <v>1059</v>
      </c>
      <c r="B27" s="283"/>
      <c r="C27" s="283"/>
      <c r="D27" s="283"/>
      <c r="E27" s="283"/>
      <c r="F27" s="283"/>
      <c r="G27" s="283"/>
      <c r="H27" s="283"/>
      <c r="I27" s="283"/>
      <c r="J27" s="370"/>
      <c r="K27" s="556"/>
      <c r="L27" s="283"/>
    </row>
    <row r="28" spans="1:12" ht="21.95" customHeight="1">
      <c r="A28" s="283"/>
      <c r="B28" s="283"/>
      <c r="C28" s="283"/>
      <c r="D28" s="283"/>
      <c r="E28" s="283"/>
      <c r="F28" s="283"/>
      <c r="G28" s="283"/>
      <c r="H28" s="283"/>
      <c r="I28" s="283"/>
      <c r="J28" s="370">
        <v>2026</v>
      </c>
      <c r="K28" s="555">
        <v>104.5918636184802</v>
      </c>
      <c r="L28" s="283"/>
    </row>
    <row r="29" spans="1:12" ht="21.95" customHeight="1">
      <c r="A29" s="429" t="s">
        <v>402</v>
      </c>
      <c r="B29" s="429">
        <v>2010</v>
      </c>
      <c r="C29" s="429">
        <v>2015</v>
      </c>
      <c r="D29" s="429">
        <v>2020</v>
      </c>
      <c r="E29" s="429">
        <v>2025</v>
      </c>
      <c r="F29" s="429">
        <v>2030</v>
      </c>
      <c r="G29" s="429">
        <v>2035</v>
      </c>
      <c r="H29" s="429">
        <v>2040</v>
      </c>
      <c r="I29" s="283"/>
      <c r="J29" s="370">
        <v>2027</v>
      </c>
      <c r="K29" s="555">
        <v>104.5538919748447</v>
      </c>
      <c r="L29" s="283"/>
    </row>
    <row r="30" spans="1:12" ht="21.95" customHeight="1">
      <c r="A30" s="370" t="s">
        <v>422</v>
      </c>
      <c r="B30" s="374">
        <f>AVERAGE(K6:K10)</f>
        <v>103.6802947571995</v>
      </c>
      <c r="C30" s="374">
        <f>AVERAGE(K11:K15)</f>
        <v>104.30950443601368</v>
      </c>
      <c r="D30" s="374">
        <f>AVERAGE(K17:K21)</f>
        <v>104.49099764908973</v>
      </c>
      <c r="E30" s="374">
        <f>AVERAGE(K22:K26)</f>
        <v>104.62000631996992</v>
      </c>
      <c r="F30" s="374">
        <f>AVERAGE(K28:K32)</f>
        <v>104.49868270898</v>
      </c>
      <c r="G30" s="374">
        <f>AVERAGE(K33:K37)</f>
        <v>104.16982351388538</v>
      </c>
      <c r="H30" s="374">
        <f>AVERAGE(K39:K43)</f>
        <v>103.75068997262171</v>
      </c>
      <c r="I30" s="283"/>
      <c r="J30" s="370">
        <v>2028</v>
      </c>
      <c r="K30" s="555">
        <v>104.50625278889956</v>
      </c>
      <c r="L30" s="372">
        <f>AVERAGE(K28:K32)</f>
        <v>104.49868270898</v>
      </c>
    </row>
    <row r="31" spans="1:12" ht="21.95" customHeight="1">
      <c r="A31" s="370" t="s">
        <v>423</v>
      </c>
      <c r="B31" s="375">
        <v>100</v>
      </c>
      <c r="C31" s="375">
        <v>100</v>
      </c>
      <c r="D31" s="375">
        <v>100</v>
      </c>
      <c r="E31" s="375">
        <v>100</v>
      </c>
      <c r="F31" s="375">
        <v>100</v>
      </c>
      <c r="G31" s="375">
        <v>100</v>
      </c>
      <c r="H31" s="375">
        <v>100</v>
      </c>
      <c r="I31" s="283"/>
      <c r="J31" s="370">
        <v>2029</v>
      </c>
      <c r="K31" s="555">
        <v>104.45360817600368</v>
      </c>
      <c r="L31" s="283"/>
    </row>
    <row r="32" spans="1:12" ht="21.95" customHeight="1">
      <c r="A32" s="370" t="s">
        <v>424</v>
      </c>
      <c r="B32" s="376">
        <f t="shared" ref="B32:G32" si="3">B30/(B30+B31)</f>
        <v>0.5090344889808478</v>
      </c>
      <c r="C32" s="376">
        <f t="shared" si="3"/>
        <v>0.51054650993332362</v>
      </c>
      <c r="D32" s="376">
        <f t="shared" si="3"/>
        <v>0.51098091774386167</v>
      </c>
      <c r="E32" s="376">
        <f t="shared" si="3"/>
        <v>0.51128923413467564</v>
      </c>
      <c r="F32" s="376">
        <f t="shared" si="3"/>
        <v>0.51099929507952391</v>
      </c>
      <c r="G32" s="376">
        <f t="shared" si="3"/>
        <v>0.51021165479334851</v>
      </c>
      <c r="H32" s="376">
        <f>H30/(H30+H31)</f>
        <v>0.50920411600354754</v>
      </c>
      <c r="I32" s="283"/>
      <c r="J32" s="370">
        <v>2030</v>
      </c>
      <c r="K32" s="555">
        <v>104.38779698667182</v>
      </c>
      <c r="L32" s="283"/>
    </row>
    <row r="33" spans="1:12" ht="21.95" customHeight="1">
      <c r="A33" s="370" t="s">
        <v>425</v>
      </c>
      <c r="B33" s="376">
        <f t="shared" ref="B33:G33" si="4">1-B32</f>
        <v>0.4909655110191522</v>
      </c>
      <c r="C33" s="376">
        <f t="shared" si="4"/>
        <v>0.48945349006667638</v>
      </c>
      <c r="D33" s="376">
        <f t="shared" si="4"/>
        <v>0.48901908225613833</v>
      </c>
      <c r="E33" s="376">
        <f t="shared" si="4"/>
        <v>0.48871076586532436</v>
      </c>
      <c r="F33" s="376">
        <f t="shared" si="4"/>
        <v>0.48900070492047609</v>
      </c>
      <c r="G33" s="376">
        <f t="shared" si="4"/>
        <v>0.48978834520665149</v>
      </c>
      <c r="H33" s="376">
        <f>1-H32</f>
        <v>0.49079588399645246</v>
      </c>
      <c r="I33" s="283"/>
      <c r="J33" s="370">
        <v>2031</v>
      </c>
      <c r="K33" s="555">
        <v>104.31653563869266</v>
      </c>
      <c r="L33" s="283"/>
    </row>
    <row r="34" spans="1:12" ht="21.95" customHeight="1">
      <c r="A34" s="283"/>
      <c r="B34" s="283"/>
      <c r="C34" s="283"/>
      <c r="D34" s="283"/>
      <c r="E34" s="283"/>
      <c r="F34" s="283"/>
      <c r="G34" s="283"/>
      <c r="H34" s="283"/>
      <c r="I34" s="283"/>
      <c r="J34" s="370">
        <v>2032</v>
      </c>
      <c r="K34" s="555">
        <v>104.24978748066351</v>
      </c>
      <c r="L34" s="283"/>
    </row>
    <row r="35" spans="1:12" ht="21.95" customHeight="1">
      <c r="I35" s="283"/>
      <c r="J35" s="370">
        <v>2033</v>
      </c>
      <c r="K35" s="555">
        <v>104.16924483165045</v>
      </c>
      <c r="L35" s="372">
        <f>AVERAGE(K33:K37)</f>
        <v>104.16982351388538</v>
      </c>
    </row>
    <row r="36" spans="1:12" ht="21.95" customHeight="1">
      <c r="I36" s="283"/>
      <c r="J36" s="370">
        <v>2034</v>
      </c>
      <c r="K36" s="555">
        <v>104.09992568650601</v>
      </c>
      <c r="L36" s="283"/>
    </row>
    <row r="37" spans="1:12" ht="21.95" customHeight="1">
      <c r="I37" s="283"/>
      <c r="J37" s="370">
        <v>2035</v>
      </c>
      <c r="K37" s="555">
        <v>104.01362393191431</v>
      </c>
      <c r="L37" s="283"/>
    </row>
    <row r="38" spans="1:12" ht="21.95" customHeight="1">
      <c r="I38" s="283"/>
      <c r="J38" s="370"/>
      <c r="K38" s="555"/>
      <c r="L38" s="283"/>
    </row>
    <row r="39" spans="1:12" ht="21.95" customHeight="1">
      <c r="I39" s="283"/>
      <c r="J39" s="370">
        <v>2036</v>
      </c>
      <c r="K39" s="555">
        <v>103.9220673301507</v>
      </c>
      <c r="L39" s="283"/>
    </row>
    <row r="40" spans="1:12" ht="21.95" customHeight="1">
      <c r="I40" s="283"/>
      <c r="J40" s="370">
        <v>2037</v>
      </c>
      <c r="K40" s="555">
        <v>103.84008073685931</v>
      </c>
      <c r="L40" s="283"/>
    </row>
    <row r="41" spans="1:12" ht="21.95" customHeight="1">
      <c r="I41" s="283"/>
      <c r="J41" s="370">
        <v>2038</v>
      </c>
      <c r="K41" s="555">
        <v>103.75291286566772</v>
      </c>
      <c r="L41" s="372">
        <f>AVERAGE(K39:K43)</f>
        <v>103.75068997262171</v>
      </c>
    </row>
    <row r="42" spans="1:12" ht="21.95" customHeight="1">
      <c r="I42" s="283"/>
      <c r="J42" s="370">
        <v>2039</v>
      </c>
      <c r="K42" s="555">
        <v>103.6673528827416</v>
      </c>
      <c r="L42" s="283"/>
    </row>
    <row r="43" spans="1:12" ht="21.95" customHeight="1">
      <c r="I43" s="283"/>
      <c r="J43" s="370">
        <v>2040</v>
      </c>
      <c r="K43" s="555">
        <v>103.57103604768933</v>
      </c>
      <c r="L43" s="283"/>
    </row>
    <row r="44" spans="1:12" ht="21.95" customHeight="1">
      <c r="I44" s="283"/>
      <c r="J44" s="283" t="s">
        <v>426</v>
      </c>
      <c r="K44" s="283"/>
      <c r="L44" s="283"/>
    </row>
    <row r="45" spans="1:12" ht="21.95" customHeight="1">
      <c r="J45" s="283"/>
      <c r="K45" s="283"/>
      <c r="L45" s="283"/>
    </row>
    <row r="46" spans="1:12" ht="21.95" customHeight="1">
      <c r="A46" s="283"/>
      <c r="B46" s="283"/>
    </row>
    <row r="47" spans="1:12" ht="21.95" customHeight="1">
      <c r="A47" s="283"/>
      <c r="B47" s="283"/>
    </row>
  </sheetData>
  <mergeCells count="5">
    <mergeCell ref="E14:G14"/>
    <mergeCell ref="E13:G13"/>
    <mergeCell ref="J1:K1"/>
    <mergeCell ref="J2:K2"/>
    <mergeCell ref="J3:J4"/>
  </mergeCells>
  <phoneticPr fontId="10" type="noConversion"/>
  <pageMargins left="0.74803149606299213" right="0.74803149606299213" top="0.59055118110236227" bottom="0.59055118110236227" header="0.51181102362204722" footer="0.51181102362204722"/>
  <pageSetup paperSize="9" orientation="portrait" r:id="rId1"/>
  <headerFooter alignWithMargins="0"/>
  <colBreaks count="1" manualBreakCount="1">
    <brk id="11" max="1048575" man="1"/>
  </colBreaks>
  <legacyDrawing r:id="rId2"/>
</worksheet>
</file>

<file path=xl/worksheets/sheet38.xml><?xml version="1.0" encoding="utf-8"?>
<worksheet xmlns="http://schemas.openxmlformats.org/spreadsheetml/2006/main" xmlns:r="http://schemas.openxmlformats.org/officeDocument/2006/relationships">
  <sheetPr codeName="Sheet18" enableFormatConditionsCalculation="0">
    <tabColor rgb="FF92D050"/>
  </sheetPr>
  <dimension ref="A1:AR151"/>
  <sheetViews>
    <sheetView view="pageBreakPreview" zoomScale="55" zoomScaleNormal="70" zoomScaleSheetLayoutView="55" workbookViewId="0">
      <selection activeCell="D67" sqref="D67"/>
    </sheetView>
  </sheetViews>
  <sheetFormatPr defaultRowHeight="13.5"/>
  <cols>
    <col min="1" max="16384" width="8.88671875" style="377"/>
  </cols>
  <sheetData>
    <row r="1" spans="1:44" ht="15" customHeight="1">
      <c r="A1" s="435" t="s">
        <v>544</v>
      </c>
      <c r="B1" s="437"/>
      <c r="C1" s="437"/>
      <c r="D1" s="437"/>
      <c r="E1" s="437"/>
      <c r="F1" s="437"/>
      <c r="G1" s="437"/>
      <c r="H1" s="437"/>
      <c r="I1" s="437"/>
      <c r="J1" s="437"/>
      <c r="K1" s="437"/>
      <c r="L1" s="623"/>
      <c r="M1" s="623"/>
      <c r="N1" s="623"/>
      <c r="O1" s="623"/>
      <c r="P1" s="623"/>
      <c r="Q1" s="623"/>
      <c r="R1" s="623"/>
      <c r="S1" s="623"/>
      <c r="T1" s="623"/>
      <c r="U1" s="623"/>
      <c r="V1" s="623"/>
      <c r="W1" s="623"/>
      <c r="X1" s="623"/>
      <c r="Y1" s="623"/>
      <c r="Z1" s="623"/>
      <c r="AA1" s="623"/>
      <c r="AB1" s="623"/>
      <c r="AC1" s="623"/>
      <c r="AD1" s="623"/>
      <c r="AE1" s="623"/>
      <c r="AF1" s="623"/>
      <c r="AG1" s="623"/>
      <c r="AH1" s="623"/>
      <c r="AI1" s="623"/>
      <c r="AJ1" s="623"/>
      <c r="AK1" s="623"/>
      <c r="AL1" s="623"/>
      <c r="AM1" s="623"/>
      <c r="AN1" s="623"/>
      <c r="AO1" s="623"/>
      <c r="AP1" s="623"/>
      <c r="AQ1" s="623"/>
      <c r="AR1" s="623"/>
    </row>
    <row r="2" spans="1:44" ht="15" customHeight="1">
      <c r="A2" s="624" t="s">
        <v>448</v>
      </c>
      <c r="B2" s="624"/>
      <c r="C2" s="624"/>
      <c r="D2" s="624"/>
      <c r="E2" s="624"/>
      <c r="F2" s="624"/>
      <c r="G2" s="624"/>
      <c r="H2" s="624"/>
      <c r="I2" s="624"/>
      <c r="J2" s="624"/>
      <c r="K2" s="624"/>
      <c r="L2" s="624" t="s">
        <v>448</v>
      </c>
      <c r="M2" s="624"/>
      <c r="N2" s="624"/>
      <c r="O2" s="624"/>
      <c r="P2" s="624"/>
      <c r="Q2" s="624"/>
      <c r="R2" s="624"/>
      <c r="S2" s="624"/>
      <c r="T2" s="624"/>
      <c r="U2" s="624"/>
      <c r="V2" s="624"/>
      <c r="W2" s="624" t="s">
        <v>448</v>
      </c>
      <c r="X2" s="624"/>
      <c r="Y2" s="624"/>
      <c r="Z2" s="624"/>
      <c r="AA2" s="624"/>
      <c r="AB2" s="624"/>
      <c r="AC2" s="624"/>
      <c r="AD2" s="624"/>
      <c r="AE2" s="624"/>
      <c r="AF2" s="624"/>
      <c r="AG2" s="624"/>
      <c r="AH2" s="624" t="s">
        <v>448</v>
      </c>
      <c r="AI2" s="624"/>
      <c r="AJ2" s="624"/>
      <c r="AK2" s="624"/>
      <c r="AL2" s="624"/>
      <c r="AM2" s="624"/>
      <c r="AN2" s="624"/>
      <c r="AO2" s="624"/>
      <c r="AP2" s="624"/>
      <c r="AQ2" s="624"/>
      <c r="AR2" s="624"/>
    </row>
    <row r="3" spans="1:44" ht="15" customHeight="1" thickBot="1">
      <c r="A3" s="378" t="s">
        <v>565</v>
      </c>
      <c r="B3" s="379"/>
      <c r="C3" s="379"/>
      <c r="D3" s="379"/>
      <c r="E3" s="379"/>
      <c r="F3" s="380"/>
      <c r="G3" s="381"/>
      <c r="H3" s="381"/>
      <c r="I3" s="381"/>
      <c r="J3" s="381"/>
      <c r="K3" s="381"/>
      <c r="L3" s="378" t="s">
        <v>567</v>
      </c>
      <c r="M3" s="379"/>
      <c r="N3" s="379"/>
      <c r="O3" s="379"/>
      <c r="P3" s="379"/>
      <c r="Q3" s="380"/>
      <c r="R3" s="381"/>
      <c r="S3" s="381"/>
      <c r="T3" s="381"/>
      <c r="U3" s="381"/>
      <c r="V3" s="381"/>
      <c r="W3" s="378" t="s">
        <v>569</v>
      </c>
      <c r="X3" s="379"/>
      <c r="Y3" s="379"/>
      <c r="Z3" s="379"/>
      <c r="AA3" s="379"/>
      <c r="AB3" s="380"/>
      <c r="AC3" s="381"/>
      <c r="AD3" s="381"/>
      <c r="AE3" s="381"/>
      <c r="AF3" s="381"/>
      <c r="AG3" s="381"/>
      <c r="AH3" s="378" t="s">
        <v>571</v>
      </c>
      <c r="AI3" s="379"/>
      <c r="AJ3" s="379"/>
      <c r="AK3" s="379"/>
      <c r="AL3" s="379"/>
      <c r="AM3" s="380"/>
      <c r="AN3" s="381"/>
      <c r="AO3" s="381"/>
      <c r="AP3" s="381"/>
      <c r="AQ3" s="381"/>
      <c r="AR3" s="381"/>
    </row>
    <row r="4" spans="1:44" ht="15" customHeight="1">
      <c r="A4" s="430" t="s">
        <v>449</v>
      </c>
      <c r="B4" s="431" t="s">
        <v>450</v>
      </c>
      <c r="C4" s="431" t="s">
        <v>427</v>
      </c>
      <c r="D4" s="431" t="s">
        <v>428</v>
      </c>
      <c r="E4" s="431" t="s">
        <v>429</v>
      </c>
      <c r="F4" s="382"/>
      <c r="G4" s="430" t="s">
        <v>451</v>
      </c>
      <c r="H4" s="431" t="s">
        <v>450</v>
      </c>
      <c r="I4" s="431" t="s">
        <v>427</v>
      </c>
      <c r="J4" s="431" t="s">
        <v>428</v>
      </c>
      <c r="K4" s="431" t="s">
        <v>429</v>
      </c>
      <c r="L4" s="430" t="s">
        <v>449</v>
      </c>
      <c r="M4" s="431" t="s">
        <v>450</v>
      </c>
      <c r="N4" s="431" t="s">
        <v>427</v>
      </c>
      <c r="O4" s="431" t="s">
        <v>428</v>
      </c>
      <c r="P4" s="431" t="s">
        <v>429</v>
      </c>
      <c r="Q4" s="382"/>
      <c r="R4" s="430" t="s">
        <v>451</v>
      </c>
      <c r="S4" s="431" t="s">
        <v>450</v>
      </c>
      <c r="T4" s="431" t="s">
        <v>427</v>
      </c>
      <c r="U4" s="431" t="s">
        <v>428</v>
      </c>
      <c r="V4" s="431" t="s">
        <v>429</v>
      </c>
      <c r="W4" s="430" t="s">
        <v>449</v>
      </c>
      <c r="X4" s="431" t="s">
        <v>450</v>
      </c>
      <c r="Y4" s="431" t="s">
        <v>427</v>
      </c>
      <c r="Z4" s="431" t="s">
        <v>428</v>
      </c>
      <c r="AA4" s="431" t="s">
        <v>429</v>
      </c>
      <c r="AB4" s="382"/>
      <c r="AC4" s="430" t="s">
        <v>451</v>
      </c>
      <c r="AD4" s="431" t="s">
        <v>450</v>
      </c>
      <c r="AE4" s="431" t="s">
        <v>427</v>
      </c>
      <c r="AF4" s="431" t="s">
        <v>428</v>
      </c>
      <c r="AG4" s="431" t="s">
        <v>429</v>
      </c>
      <c r="AH4" s="430" t="s">
        <v>449</v>
      </c>
      <c r="AI4" s="431" t="s">
        <v>450</v>
      </c>
      <c r="AJ4" s="431" t="s">
        <v>427</v>
      </c>
      <c r="AK4" s="431" t="s">
        <v>428</v>
      </c>
      <c r="AL4" s="431" t="s">
        <v>429</v>
      </c>
      <c r="AM4" s="382"/>
      <c r="AN4" s="430" t="s">
        <v>451</v>
      </c>
      <c r="AO4" s="431" t="s">
        <v>450</v>
      </c>
      <c r="AP4" s="431" t="s">
        <v>427</v>
      </c>
      <c r="AQ4" s="431" t="s">
        <v>428</v>
      </c>
      <c r="AR4" s="431" t="s">
        <v>429</v>
      </c>
    </row>
    <row r="5" spans="1:44" ht="15" customHeight="1">
      <c r="A5" s="432" t="s">
        <v>452</v>
      </c>
      <c r="B5" s="433" t="s">
        <v>453</v>
      </c>
      <c r="C5" s="434" t="s">
        <v>430</v>
      </c>
      <c r="D5" s="433" t="s">
        <v>431</v>
      </c>
      <c r="E5" s="433" t="s">
        <v>432</v>
      </c>
      <c r="F5" s="383"/>
      <c r="G5" s="432" t="s">
        <v>454</v>
      </c>
      <c r="H5" s="433" t="s">
        <v>453</v>
      </c>
      <c r="I5" s="434" t="s">
        <v>430</v>
      </c>
      <c r="J5" s="433" t="s">
        <v>431</v>
      </c>
      <c r="K5" s="433" t="s">
        <v>432</v>
      </c>
      <c r="L5" s="432" t="s">
        <v>452</v>
      </c>
      <c r="M5" s="433" t="s">
        <v>453</v>
      </c>
      <c r="N5" s="434" t="s">
        <v>430</v>
      </c>
      <c r="O5" s="433" t="s">
        <v>431</v>
      </c>
      <c r="P5" s="433" t="s">
        <v>432</v>
      </c>
      <c r="Q5" s="383"/>
      <c r="R5" s="432" t="s">
        <v>454</v>
      </c>
      <c r="S5" s="433" t="s">
        <v>453</v>
      </c>
      <c r="T5" s="434" t="s">
        <v>430</v>
      </c>
      <c r="U5" s="433" t="s">
        <v>431</v>
      </c>
      <c r="V5" s="433" t="s">
        <v>432</v>
      </c>
      <c r="W5" s="432" t="s">
        <v>452</v>
      </c>
      <c r="X5" s="433" t="s">
        <v>453</v>
      </c>
      <c r="Y5" s="434" t="s">
        <v>430</v>
      </c>
      <c r="Z5" s="433" t="s">
        <v>431</v>
      </c>
      <c r="AA5" s="433" t="s">
        <v>432</v>
      </c>
      <c r="AB5" s="383"/>
      <c r="AC5" s="432" t="s">
        <v>454</v>
      </c>
      <c r="AD5" s="433" t="s">
        <v>453</v>
      </c>
      <c r="AE5" s="434" t="s">
        <v>430</v>
      </c>
      <c r="AF5" s="433" t="s">
        <v>431</v>
      </c>
      <c r="AG5" s="433" t="s">
        <v>432</v>
      </c>
      <c r="AH5" s="432" t="s">
        <v>452</v>
      </c>
      <c r="AI5" s="433" t="s">
        <v>453</v>
      </c>
      <c r="AJ5" s="434" t="s">
        <v>430</v>
      </c>
      <c r="AK5" s="433" t="s">
        <v>431</v>
      </c>
      <c r="AL5" s="433" t="s">
        <v>432</v>
      </c>
      <c r="AM5" s="383"/>
      <c r="AN5" s="432" t="s">
        <v>454</v>
      </c>
      <c r="AO5" s="433" t="s">
        <v>453</v>
      </c>
      <c r="AP5" s="434" t="s">
        <v>430</v>
      </c>
      <c r="AQ5" s="433" t="s">
        <v>431</v>
      </c>
      <c r="AR5" s="433" t="s">
        <v>432</v>
      </c>
    </row>
    <row r="6" spans="1:44" ht="15" customHeight="1">
      <c r="A6" s="384"/>
      <c r="B6" s="385"/>
      <c r="C6" s="386"/>
      <c r="D6" s="385"/>
      <c r="E6" s="385"/>
      <c r="F6" s="383"/>
      <c r="G6" s="384"/>
      <c r="H6" s="385"/>
      <c r="I6" s="386"/>
      <c r="J6" s="385"/>
      <c r="K6" s="385"/>
      <c r="L6" s="384"/>
      <c r="M6" s="385"/>
      <c r="N6" s="386"/>
      <c r="O6" s="385"/>
      <c r="P6" s="385"/>
      <c r="Q6" s="383"/>
      <c r="R6" s="384"/>
      <c r="S6" s="385"/>
      <c r="T6" s="386"/>
      <c r="U6" s="385"/>
      <c r="V6" s="385"/>
      <c r="W6" s="384"/>
      <c r="X6" s="385"/>
      <c r="Y6" s="386"/>
      <c r="Z6" s="385"/>
      <c r="AA6" s="385"/>
      <c r="AB6" s="383"/>
      <c r="AC6" s="384"/>
      <c r="AD6" s="385"/>
      <c r="AE6" s="386"/>
      <c r="AF6" s="385"/>
      <c r="AG6" s="385"/>
      <c r="AH6" s="384"/>
      <c r="AI6" s="385"/>
      <c r="AJ6" s="386"/>
      <c r="AK6" s="385"/>
      <c r="AL6" s="385"/>
      <c r="AM6" s="383"/>
      <c r="AN6" s="384"/>
      <c r="AO6" s="385"/>
      <c r="AP6" s="386"/>
      <c r="AQ6" s="385"/>
      <c r="AR6" s="385"/>
    </row>
    <row r="7" spans="1:44" ht="15" customHeight="1">
      <c r="A7" s="387">
        <v>0</v>
      </c>
      <c r="B7" s="388">
        <v>6.1399999999999996E-3</v>
      </c>
      <c r="C7" s="389">
        <v>100000</v>
      </c>
      <c r="D7" s="389">
        <v>99462</v>
      </c>
      <c r="E7" s="390">
        <v>74.260000000000005</v>
      </c>
      <c r="F7" s="391"/>
      <c r="G7" s="387" t="s">
        <v>564</v>
      </c>
      <c r="H7" s="388">
        <v>5.3200000000000001E-3</v>
      </c>
      <c r="I7" s="389">
        <v>100000</v>
      </c>
      <c r="J7" s="389">
        <v>99551</v>
      </c>
      <c r="K7" s="390">
        <v>81.61</v>
      </c>
      <c r="L7" s="387">
        <v>0</v>
      </c>
      <c r="M7" s="388">
        <v>3.9899999999999996E-3</v>
      </c>
      <c r="N7" s="389">
        <v>100000</v>
      </c>
      <c r="O7" s="389">
        <v>99624</v>
      </c>
      <c r="P7" s="390">
        <v>78.5</v>
      </c>
      <c r="Q7" s="391"/>
      <c r="R7" s="387" t="s">
        <v>564</v>
      </c>
      <c r="S7" s="388">
        <v>3.4299999999999999E-3</v>
      </c>
      <c r="T7" s="389">
        <v>100000</v>
      </c>
      <c r="U7" s="389">
        <v>99678</v>
      </c>
      <c r="V7" s="390">
        <v>85.62</v>
      </c>
      <c r="W7" s="387" t="s">
        <v>564</v>
      </c>
      <c r="X7" s="388">
        <v>3.3999999999999998E-3</v>
      </c>
      <c r="Y7" s="389">
        <v>100000</v>
      </c>
      <c r="Z7" s="389">
        <v>99679</v>
      </c>
      <c r="AA7" s="390">
        <v>81.16</v>
      </c>
      <c r="AB7" s="391"/>
      <c r="AC7" s="387" t="s">
        <v>564</v>
      </c>
      <c r="AD7" s="388">
        <v>2.8600000000000001E-3</v>
      </c>
      <c r="AE7" s="389">
        <v>100000</v>
      </c>
      <c r="AF7" s="389">
        <v>99731</v>
      </c>
      <c r="AG7" s="390">
        <v>87.45</v>
      </c>
      <c r="AH7" s="387" t="s">
        <v>564</v>
      </c>
      <c r="AI7" s="388">
        <v>2.8999999999999998E-3</v>
      </c>
      <c r="AJ7" s="389">
        <v>100000</v>
      </c>
      <c r="AK7" s="389">
        <v>99726</v>
      </c>
      <c r="AL7" s="390">
        <v>83.5</v>
      </c>
      <c r="AM7" s="391"/>
      <c r="AN7" s="387" t="s">
        <v>564</v>
      </c>
      <c r="AO7" s="388">
        <v>2.3800000000000002E-3</v>
      </c>
      <c r="AP7" s="389">
        <v>100000</v>
      </c>
      <c r="AQ7" s="389">
        <v>99776</v>
      </c>
      <c r="AR7" s="390">
        <v>89.01</v>
      </c>
    </row>
    <row r="8" spans="1:44" ht="15" customHeight="1">
      <c r="A8" s="392" t="s">
        <v>545</v>
      </c>
      <c r="B8" s="388">
        <v>2.1199999999999999E-3</v>
      </c>
      <c r="C8" s="389">
        <v>99386</v>
      </c>
      <c r="D8" s="389">
        <v>397072</v>
      </c>
      <c r="E8" s="390">
        <v>73.72</v>
      </c>
      <c r="F8" s="391"/>
      <c r="G8" s="392" t="s">
        <v>545</v>
      </c>
      <c r="H8" s="388">
        <v>1.65E-3</v>
      </c>
      <c r="I8" s="389">
        <v>99468</v>
      </c>
      <c r="J8" s="389">
        <v>397470</v>
      </c>
      <c r="K8" s="390">
        <v>81.05</v>
      </c>
      <c r="L8" s="392" t="s">
        <v>545</v>
      </c>
      <c r="M8" s="388">
        <v>7.6999999999999996E-4</v>
      </c>
      <c r="N8" s="389">
        <v>99601</v>
      </c>
      <c r="O8" s="389">
        <v>398217</v>
      </c>
      <c r="P8" s="390">
        <v>77.81</v>
      </c>
      <c r="Q8" s="391"/>
      <c r="R8" s="392" t="s">
        <v>545</v>
      </c>
      <c r="S8" s="388">
        <v>9.5E-4</v>
      </c>
      <c r="T8" s="389">
        <v>99657</v>
      </c>
      <c r="U8" s="389">
        <v>398387</v>
      </c>
      <c r="V8" s="390">
        <v>84.92</v>
      </c>
      <c r="W8" s="392" t="s">
        <v>545</v>
      </c>
      <c r="X8" s="388">
        <v>3.8999999999999999E-4</v>
      </c>
      <c r="Y8" s="389">
        <v>99660</v>
      </c>
      <c r="Z8" s="389">
        <v>398543</v>
      </c>
      <c r="AA8" s="390">
        <v>80.430000000000007</v>
      </c>
      <c r="AB8" s="391"/>
      <c r="AC8" s="392" t="s">
        <v>545</v>
      </c>
      <c r="AD8" s="388">
        <v>4.8000000000000001E-4</v>
      </c>
      <c r="AE8" s="389">
        <v>99714</v>
      </c>
      <c r="AF8" s="389">
        <v>398733</v>
      </c>
      <c r="AG8" s="390">
        <v>86.7</v>
      </c>
      <c r="AH8" s="392" t="s">
        <v>545</v>
      </c>
      <c r="AI8" s="388">
        <v>2.0000000000000001E-4</v>
      </c>
      <c r="AJ8" s="389">
        <v>99710</v>
      </c>
      <c r="AK8" s="389">
        <v>398791</v>
      </c>
      <c r="AL8" s="390">
        <v>82.74</v>
      </c>
      <c r="AM8" s="391"/>
      <c r="AN8" s="392" t="s">
        <v>545</v>
      </c>
      <c r="AO8" s="388">
        <v>2.4000000000000001E-4</v>
      </c>
      <c r="AP8" s="389">
        <v>99762</v>
      </c>
      <c r="AQ8" s="389">
        <v>398985</v>
      </c>
      <c r="AR8" s="390">
        <v>88.22</v>
      </c>
    </row>
    <row r="9" spans="1:44" ht="15" customHeight="1">
      <c r="A9" s="387" t="s">
        <v>546</v>
      </c>
      <c r="B9" s="388">
        <v>1.25E-3</v>
      </c>
      <c r="C9" s="389">
        <v>99175</v>
      </c>
      <c r="D9" s="389">
        <v>495536</v>
      </c>
      <c r="E9" s="390">
        <v>69.87</v>
      </c>
      <c r="F9" s="391"/>
      <c r="G9" s="387" t="s">
        <v>546</v>
      </c>
      <c r="H9" s="388">
        <v>7.2000000000000005E-4</v>
      </c>
      <c r="I9" s="389">
        <v>99304</v>
      </c>
      <c r="J9" s="389">
        <v>496326</v>
      </c>
      <c r="K9" s="390">
        <v>77.180000000000007</v>
      </c>
      <c r="L9" s="387" t="s">
        <v>546</v>
      </c>
      <c r="M9" s="388">
        <v>4.8000000000000001E-4</v>
      </c>
      <c r="N9" s="389">
        <v>99525</v>
      </c>
      <c r="O9" s="389">
        <v>497504</v>
      </c>
      <c r="P9" s="390">
        <v>73.87</v>
      </c>
      <c r="Q9" s="391"/>
      <c r="R9" s="387" t="s">
        <v>546</v>
      </c>
      <c r="S9" s="388">
        <v>4.8999999999999998E-4</v>
      </c>
      <c r="T9" s="389">
        <v>99562</v>
      </c>
      <c r="U9" s="389">
        <v>497688</v>
      </c>
      <c r="V9" s="390">
        <v>81</v>
      </c>
      <c r="W9" s="387" t="s">
        <v>546</v>
      </c>
      <c r="X9" s="388">
        <v>2.4000000000000001E-4</v>
      </c>
      <c r="Y9" s="389">
        <v>99621</v>
      </c>
      <c r="Z9" s="389">
        <v>498046</v>
      </c>
      <c r="AA9" s="390">
        <v>76.47</v>
      </c>
      <c r="AB9" s="391"/>
      <c r="AC9" s="387" t="s">
        <v>546</v>
      </c>
      <c r="AD9" s="388">
        <v>2.4000000000000001E-4</v>
      </c>
      <c r="AE9" s="389">
        <v>99666</v>
      </c>
      <c r="AF9" s="389">
        <v>498271</v>
      </c>
      <c r="AG9" s="390">
        <v>82.74</v>
      </c>
      <c r="AH9" s="387" t="s">
        <v>546</v>
      </c>
      <c r="AI9" s="388">
        <v>1.2E-4</v>
      </c>
      <c r="AJ9" s="389">
        <v>99691</v>
      </c>
      <c r="AK9" s="389">
        <v>498424</v>
      </c>
      <c r="AL9" s="390">
        <v>78.760000000000005</v>
      </c>
      <c r="AM9" s="391"/>
      <c r="AN9" s="387" t="s">
        <v>546</v>
      </c>
      <c r="AO9" s="388">
        <v>1.2E-4</v>
      </c>
      <c r="AP9" s="389">
        <v>99738</v>
      </c>
      <c r="AQ9" s="389">
        <v>498660</v>
      </c>
      <c r="AR9" s="390">
        <v>84.24</v>
      </c>
    </row>
    <row r="10" spans="1:44" ht="15" customHeight="1">
      <c r="A10" s="387" t="s">
        <v>547</v>
      </c>
      <c r="B10" s="388">
        <v>8.8999999999999995E-4</v>
      </c>
      <c r="C10" s="389">
        <v>99051</v>
      </c>
      <c r="D10" s="389">
        <v>495065</v>
      </c>
      <c r="E10" s="390">
        <v>64.959999999999994</v>
      </c>
      <c r="F10" s="391"/>
      <c r="G10" s="387" t="s">
        <v>547</v>
      </c>
      <c r="H10" s="388">
        <v>5.9000000000000003E-4</v>
      </c>
      <c r="I10" s="389">
        <v>99232</v>
      </c>
      <c r="J10" s="389">
        <v>496025</v>
      </c>
      <c r="K10" s="390">
        <v>72.239999999999995</v>
      </c>
      <c r="L10" s="387" t="s">
        <v>547</v>
      </c>
      <c r="M10" s="388">
        <v>7.1000000000000002E-4</v>
      </c>
      <c r="N10" s="389">
        <v>99477</v>
      </c>
      <c r="O10" s="389">
        <v>497232</v>
      </c>
      <c r="P10" s="390">
        <v>68.91</v>
      </c>
      <c r="Q10" s="391"/>
      <c r="R10" s="387" t="s">
        <v>547</v>
      </c>
      <c r="S10" s="388">
        <v>6.0999999999999997E-4</v>
      </c>
      <c r="T10" s="389">
        <v>99513</v>
      </c>
      <c r="U10" s="389">
        <v>497419</v>
      </c>
      <c r="V10" s="390">
        <v>76.040000000000006</v>
      </c>
      <c r="W10" s="387" t="s">
        <v>547</v>
      </c>
      <c r="X10" s="388">
        <v>3.8000000000000002E-4</v>
      </c>
      <c r="Y10" s="389">
        <v>99597</v>
      </c>
      <c r="Z10" s="389">
        <v>497905</v>
      </c>
      <c r="AA10" s="390">
        <v>71.48</v>
      </c>
      <c r="AB10" s="391"/>
      <c r="AC10" s="387" t="s">
        <v>547</v>
      </c>
      <c r="AD10" s="388">
        <v>3.2000000000000003E-4</v>
      </c>
      <c r="AE10" s="389">
        <v>99642</v>
      </c>
      <c r="AF10" s="389">
        <v>498134</v>
      </c>
      <c r="AG10" s="390">
        <v>77.760000000000005</v>
      </c>
      <c r="AH10" s="387" t="s">
        <v>547</v>
      </c>
      <c r="AI10" s="388">
        <v>2.0000000000000001E-4</v>
      </c>
      <c r="AJ10" s="389">
        <v>99679</v>
      </c>
      <c r="AK10" s="389">
        <v>498353</v>
      </c>
      <c r="AL10" s="390">
        <v>73.77</v>
      </c>
      <c r="AM10" s="391"/>
      <c r="AN10" s="387" t="s">
        <v>547</v>
      </c>
      <c r="AO10" s="388">
        <v>1.7000000000000001E-4</v>
      </c>
      <c r="AP10" s="389">
        <v>99726</v>
      </c>
      <c r="AQ10" s="389">
        <v>498592</v>
      </c>
      <c r="AR10" s="390">
        <v>79.25</v>
      </c>
    </row>
    <row r="11" spans="1:44" ht="15" customHeight="1">
      <c r="A11" s="387" t="s">
        <v>548</v>
      </c>
      <c r="B11" s="388">
        <v>2.9099999999999998E-3</v>
      </c>
      <c r="C11" s="389">
        <v>98963</v>
      </c>
      <c r="D11" s="389">
        <v>494175</v>
      </c>
      <c r="E11" s="390">
        <v>60.01</v>
      </c>
      <c r="F11" s="391"/>
      <c r="G11" s="387" t="s">
        <v>548</v>
      </c>
      <c r="H11" s="388">
        <v>1.2999999999999999E-3</v>
      </c>
      <c r="I11" s="389">
        <v>99174</v>
      </c>
      <c r="J11" s="389">
        <v>495568</v>
      </c>
      <c r="K11" s="390">
        <v>67.28</v>
      </c>
      <c r="L11" s="387" t="s">
        <v>548</v>
      </c>
      <c r="M11" s="388">
        <v>1.73E-3</v>
      </c>
      <c r="N11" s="389">
        <v>99406</v>
      </c>
      <c r="O11" s="389">
        <v>496652</v>
      </c>
      <c r="P11" s="390">
        <v>63.95</v>
      </c>
      <c r="Q11" s="391"/>
      <c r="R11" s="387" t="s">
        <v>548</v>
      </c>
      <c r="S11" s="388">
        <v>7.9000000000000001E-4</v>
      </c>
      <c r="T11" s="389">
        <v>99452</v>
      </c>
      <c r="U11" s="389">
        <v>497075</v>
      </c>
      <c r="V11" s="390">
        <v>71.08</v>
      </c>
      <c r="W11" s="387" t="s">
        <v>548</v>
      </c>
      <c r="X11" s="388">
        <v>1.0200000000000001E-3</v>
      </c>
      <c r="Y11" s="389">
        <v>99559</v>
      </c>
      <c r="Z11" s="389">
        <v>497570</v>
      </c>
      <c r="AA11" s="390">
        <v>66.510000000000005</v>
      </c>
      <c r="AB11" s="391"/>
      <c r="AC11" s="387" t="s">
        <v>548</v>
      </c>
      <c r="AD11" s="388">
        <v>4.6000000000000001E-4</v>
      </c>
      <c r="AE11" s="389">
        <v>99610</v>
      </c>
      <c r="AF11" s="389">
        <v>497940</v>
      </c>
      <c r="AG11" s="390">
        <v>72.78</v>
      </c>
      <c r="AH11" s="387" t="s">
        <v>548</v>
      </c>
      <c r="AI11" s="388">
        <v>5.9000000000000003E-4</v>
      </c>
      <c r="AJ11" s="389">
        <v>99659</v>
      </c>
      <c r="AK11" s="389">
        <v>498163</v>
      </c>
      <c r="AL11" s="390">
        <v>68.78</v>
      </c>
      <c r="AM11" s="391"/>
      <c r="AN11" s="387" t="s">
        <v>548</v>
      </c>
      <c r="AO11" s="388">
        <v>2.7E-4</v>
      </c>
      <c r="AP11" s="389">
        <v>99709</v>
      </c>
      <c r="AQ11" s="389">
        <v>498483</v>
      </c>
      <c r="AR11" s="390">
        <v>74.27</v>
      </c>
    </row>
    <row r="12" spans="1:44" ht="15" customHeight="1">
      <c r="A12" s="387" t="s">
        <v>549</v>
      </c>
      <c r="B12" s="388">
        <v>4.0800000000000003E-3</v>
      </c>
      <c r="C12" s="389">
        <v>98675</v>
      </c>
      <c r="D12" s="389">
        <v>492409</v>
      </c>
      <c r="E12" s="390">
        <v>55.18</v>
      </c>
      <c r="F12" s="391"/>
      <c r="G12" s="387" t="s">
        <v>549</v>
      </c>
      <c r="H12" s="388">
        <v>2.0300000000000001E-3</v>
      </c>
      <c r="I12" s="389">
        <v>99045</v>
      </c>
      <c r="J12" s="389">
        <v>494770</v>
      </c>
      <c r="K12" s="390">
        <v>62.36</v>
      </c>
      <c r="L12" s="387" t="s">
        <v>549</v>
      </c>
      <c r="M12" s="388">
        <v>2.8700000000000002E-3</v>
      </c>
      <c r="N12" s="389">
        <v>99235</v>
      </c>
      <c r="O12" s="389">
        <v>495509</v>
      </c>
      <c r="P12" s="390">
        <v>59.06</v>
      </c>
      <c r="Q12" s="391"/>
      <c r="R12" s="387" t="s">
        <v>549</v>
      </c>
      <c r="S12" s="388">
        <v>1.2899999999999999E-3</v>
      </c>
      <c r="T12" s="389">
        <v>99374</v>
      </c>
      <c r="U12" s="389">
        <v>496576</v>
      </c>
      <c r="V12" s="390">
        <v>66.13</v>
      </c>
      <c r="W12" s="387" t="s">
        <v>549</v>
      </c>
      <c r="X12" s="388">
        <v>1.7799999999999999E-3</v>
      </c>
      <c r="Y12" s="389">
        <v>99457</v>
      </c>
      <c r="Z12" s="389">
        <v>496880</v>
      </c>
      <c r="AA12" s="390">
        <v>61.57</v>
      </c>
      <c r="AB12" s="391"/>
      <c r="AC12" s="387" t="s">
        <v>549</v>
      </c>
      <c r="AD12" s="388">
        <v>7.9000000000000001E-4</v>
      </c>
      <c r="AE12" s="389">
        <v>99564</v>
      </c>
      <c r="AF12" s="389">
        <v>497642</v>
      </c>
      <c r="AG12" s="390">
        <v>67.819999999999993</v>
      </c>
      <c r="AH12" s="387" t="s">
        <v>549</v>
      </c>
      <c r="AI12" s="388">
        <v>1.09E-3</v>
      </c>
      <c r="AJ12" s="389">
        <v>99600</v>
      </c>
      <c r="AK12" s="389">
        <v>497753</v>
      </c>
      <c r="AL12" s="390">
        <v>63.82</v>
      </c>
      <c r="AM12" s="391"/>
      <c r="AN12" s="387" t="s">
        <v>549</v>
      </c>
      <c r="AO12" s="388">
        <v>4.8999999999999998E-4</v>
      </c>
      <c r="AP12" s="389">
        <v>99683</v>
      </c>
      <c r="AQ12" s="389">
        <v>498306</v>
      </c>
      <c r="AR12" s="390">
        <v>69.290000000000006</v>
      </c>
    </row>
    <row r="13" spans="1:44" ht="15" customHeight="1">
      <c r="A13" s="387" t="s">
        <v>550</v>
      </c>
      <c r="B13" s="388">
        <v>5.2100000000000002E-3</v>
      </c>
      <c r="C13" s="389">
        <v>98272</v>
      </c>
      <c r="D13" s="389">
        <v>490133</v>
      </c>
      <c r="E13" s="390">
        <v>50.39</v>
      </c>
      <c r="F13" s="391"/>
      <c r="G13" s="387" t="s">
        <v>550</v>
      </c>
      <c r="H13" s="388">
        <v>2.8900000000000002E-3</v>
      </c>
      <c r="I13" s="389">
        <v>98843</v>
      </c>
      <c r="J13" s="389">
        <v>493511</v>
      </c>
      <c r="K13" s="390">
        <v>57.48</v>
      </c>
      <c r="L13" s="387" t="s">
        <v>550</v>
      </c>
      <c r="M13" s="388">
        <v>3.82E-3</v>
      </c>
      <c r="N13" s="389">
        <v>98951</v>
      </c>
      <c r="O13" s="389">
        <v>493834</v>
      </c>
      <c r="P13" s="390">
        <v>54.22</v>
      </c>
      <c r="Q13" s="391"/>
      <c r="R13" s="387" t="s">
        <v>550</v>
      </c>
      <c r="S13" s="388">
        <v>1.91E-3</v>
      </c>
      <c r="T13" s="389">
        <v>99246</v>
      </c>
      <c r="U13" s="389">
        <v>495779</v>
      </c>
      <c r="V13" s="390">
        <v>61.22</v>
      </c>
      <c r="W13" s="387" t="s">
        <v>550</v>
      </c>
      <c r="X13" s="388">
        <v>2.5000000000000001E-3</v>
      </c>
      <c r="Y13" s="389">
        <v>99280</v>
      </c>
      <c r="Z13" s="389">
        <v>495803</v>
      </c>
      <c r="AA13" s="390">
        <v>56.68</v>
      </c>
      <c r="AB13" s="391"/>
      <c r="AC13" s="387" t="s">
        <v>550</v>
      </c>
      <c r="AD13" s="388">
        <v>1.24E-3</v>
      </c>
      <c r="AE13" s="389">
        <v>99485</v>
      </c>
      <c r="AF13" s="389">
        <v>497134</v>
      </c>
      <c r="AG13" s="390">
        <v>62.87</v>
      </c>
      <c r="AH13" s="387" t="s">
        <v>550</v>
      </c>
      <c r="AI13" s="388">
        <v>1.6100000000000001E-3</v>
      </c>
      <c r="AJ13" s="389">
        <v>99491</v>
      </c>
      <c r="AK13" s="389">
        <v>497071</v>
      </c>
      <c r="AL13" s="390">
        <v>58.89</v>
      </c>
      <c r="AM13" s="391"/>
      <c r="AN13" s="387" t="s">
        <v>550</v>
      </c>
      <c r="AO13" s="388">
        <v>7.9000000000000001E-4</v>
      </c>
      <c r="AP13" s="389">
        <v>99634</v>
      </c>
      <c r="AQ13" s="389">
        <v>497985</v>
      </c>
      <c r="AR13" s="390">
        <v>64.319999999999993</v>
      </c>
    </row>
    <row r="14" spans="1:44" ht="15" customHeight="1">
      <c r="A14" s="387" t="s">
        <v>551</v>
      </c>
      <c r="B14" s="388">
        <v>6.9199999999999999E-3</v>
      </c>
      <c r="C14" s="389">
        <v>97760</v>
      </c>
      <c r="D14" s="389">
        <v>487166</v>
      </c>
      <c r="E14" s="390">
        <v>45.64</v>
      </c>
      <c r="F14" s="391"/>
      <c r="G14" s="387" t="s">
        <v>551</v>
      </c>
      <c r="H14" s="388">
        <v>3.3999999999999998E-3</v>
      </c>
      <c r="I14" s="389">
        <v>98557</v>
      </c>
      <c r="J14" s="389">
        <v>491976</v>
      </c>
      <c r="K14" s="390">
        <v>52.64</v>
      </c>
      <c r="L14" s="387" t="s">
        <v>551</v>
      </c>
      <c r="M14" s="388">
        <v>4.45E-3</v>
      </c>
      <c r="N14" s="389">
        <v>98572</v>
      </c>
      <c r="O14" s="389">
        <v>491800</v>
      </c>
      <c r="P14" s="390">
        <v>49.42</v>
      </c>
      <c r="Q14" s="391"/>
      <c r="R14" s="387" t="s">
        <v>551</v>
      </c>
      <c r="S14" s="388">
        <v>2.6900000000000001E-3</v>
      </c>
      <c r="T14" s="389">
        <v>99056</v>
      </c>
      <c r="U14" s="389">
        <v>494657</v>
      </c>
      <c r="V14" s="390">
        <v>56.33</v>
      </c>
      <c r="W14" s="387" t="s">
        <v>551</v>
      </c>
      <c r="X14" s="388">
        <v>3.0000000000000001E-3</v>
      </c>
      <c r="Y14" s="389">
        <v>99033</v>
      </c>
      <c r="Z14" s="389">
        <v>494449</v>
      </c>
      <c r="AA14" s="390">
        <v>51.82</v>
      </c>
      <c r="AB14" s="391"/>
      <c r="AC14" s="387" t="s">
        <v>551</v>
      </c>
      <c r="AD14" s="388">
        <v>1.7899999999999999E-3</v>
      </c>
      <c r="AE14" s="389">
        <v>99362</v>
      </c>
      <c r="AF14" s="389">
        <v>496394</v>
      </c>
      <c r="AG14" s="390">
        <v>57.94</v>
      </c>
      <c r="AH14" s="387" t="s">
        <v>551</v>
      </c>
      <c r="AI14" s="388">
        <v>1.99E-3</v>
      </c>
      <c r="AJ14" s="389">
        <v>99331</v>
      </c>
      <c r="AK14" s="389">
        <v>496184</v>
      </c>
      <c r="AL14" s="390">
        <v>53.98</v>
      </c>
      <c r="AM14" s="391"/>
      <c r="AN14" s="387" t="s">
        <v>551</v>
      </c>
      <c r="AO14" s="388">
        <v>1.1900000000000001E-3</v>
      </c>
      <c r="AP14" s="389">
        <v>99555</v>
      </c>
      <c r="AQ14" s="389">
        <v>497501</v>
      </c>
      <c r="AR14" s="390">
        <v>59.37</v>
      </c>
    </row>
    <row r="15" spans="1:44" ht="15" customHeight="1">
      <c r="A15" s="387" t="s">
        <v>552</v>
      </c>
      <c r="B15" s="388">
        <v>9.6799999999999994E-3</v>
      </c>
      <c r="C15" s="389">
        <v>97084</v>
      </c>
      <c r="D15" s="389">
        <v>483253</v>
      </c>
      <c r="E15" s="390">
        <v>40.94</v>
      </c>
      <c r="F15" s="391"/>
      <c r="G15" s="387" t="s">
        <v>552</v>
      </c>
      <c r="H15" s="388">
        <v>4.3E-3</v>
      </c>
      <c r="I15" s="389">
        <v>98222</v>
      </c>
      <c r="J15" s="389">
        <v>490122</v>
      </c>
      <c r="K15" s="390">
        <v>47.81</v>
      </c>
      <c r="L15" s="387" t="s">
        <v>552</v>
      </c>
      <c r="M15" s="388">
        <v>6.4200000000000004E-3</v>
      </c>
      <c r="N15" s="389">
        <v>98134</v>
      </c>
      <c r="O15" s="389">
        <v>489217</v>
      </c>
      <c r="P15" s="390">
        <v>44.63</v>
      </c>
      <c r="Q15" s="391"/>
      <c r="R15" s="387" t="s">
        <v>552</v>
      </c>
      <c r="S15" s="388">
        <v>3.6900000000000001E-3</v>
      </c>
      <c r="T15" s="389">
        <v>98790</v>
      </c>
      <c r="U15" s="389">
        <v>493066</v>
      </c>
      <c r="V15" s="390">
        <v>51.47</v>
      </c>
      <c r="W15" s="387" t="s">
        <v>552</v>
      </c>
      <c r="X15" s="388">
        <v>4.5199999999999997E-3</v>
      </c>
      <c r="Y15" s="389">
        <v>98736</v>
      </c>
      <c r="Z15" s="389">
        <v>492659</v>
      </c>
      <c r="AA15" s="390">
        <v>46.96</v>
      </c>
      <c r="AB15" s="391"/>
      <c r="AC15" s="387" t="s">
        <v>552</v>
      </c>
      <c r="AD15" s="388">
        <v>2.5699999999999998E-3</v>
      </c>
      <c r="AE15" s="389">
        <v>99184</v>
      </c>
      <c r="AF15" s="389">
        <v>495306</v>
      </c>
      <c r="AG15" s="390">
        <v>53.04</v>
      </c>
      <c r="AH15" s="387" t="s">
        <v>552</v>
      </c>
      <c r="AI15" s="388">
        <v>3.13E-3</v>
      </c>
      <c r="AJ15" s="389">
        <v>99134</v>
      </c>
      <c r="AK15" s="389">
        <v>494964</v>
      </c>
      <c r="AL15" s="390">
        <v>49.08</v>
      </c>
      <c r="AM15" s="391"/>
      <c r="AN15" s="387" t="s">
        <v>552</v>
      </c>
      <c r="AO15" s="388">
        <v>1.7799999999999999E-3</v>
      </c>
      <c r="AP15" s="389">
        <v>99437</v>
      </c>
      <c r="AQ15" s="389">
        <v>496761</v>
      </c>
      <c r="AR15" s="390">
        <v>54.43</v>
      </c>
    </row>
    <row r="16" spans="1:44" ht="15" customHeight="1">
      <c r="A16" s="387" t="s">
        <v>553</v>
      </c>
      <c r="B16" s="388">
        <v>1.584E-2</v>
      </c>
      <c r="C16" s="389">
        <v>96144</v>
      </c>
      <c r="D16" s="389">
        <v>477199</v>
      </c>
      <c r="E16" s="390">
        <v>36.32</v>
      </c>
      <c r="F16" s="391"/>
      <c r="G16" s="387" t="s">
        <v>553</v>
      </c>
      <c r="H16" s="388">
        <v>6.1900000000000002E-3</v>
      </c>
      <c r="I16" s="389">
        <v>97800</v>
      </c>
      <c r="J16" s="389">
        <v>487577</v>
      </c>
      <c r="K16" s="390">
        <v>43.01</v>
      </c>
      <c r="L16" s="387" t="s">
        <v>553</v>
      </c>
      <c r="M16" s="388">
        <v>1.0800000000000001E-2</v>
      </c>
      <c r="N16" s="389">
        <v>97503</v>
      </c>
      <c r="O16" s="389">
        <v>485088</v>
      </c>
      <c r="P16" s="390">
        <v>39.9</v>
      </c>
      <c r="Q16" s="391"/>
      <c r="R16" s="387" t="s">
        <v>553</v>
      </c>
      <c r="S16" s="388">
        <v>4.3E-3</v>
      </c>
      <c r="T16" s="389">
        <v>98426</v>
      </c>
      <c r="U16" s="389">
        <v>491112</v>
      </c>
      <c r="V16" s="390">
        <v>46.65</v>
      </c>
      <c r="W16" s="387" t="s">
        <v>553</v>
      </c>
      <c r="X16" s="388">
        <v>7.7600000000000004E-3</v>
      </c>
      <c r="Y16" s="389">
        <v>98290</v>
      </c>
      <c r="Z16" s="389">
        <v>489696</v>
      </c>
      <c r="AA16" s="390">
        <v>42.16</v>
      </c>
      <c r="AB16" s="391"/>
      <c r="AC16" s="387" t="s">
        <v>553</v>
      </c>
      <c r="AD16" s="388">
        <v>3.0599999999999998E-3</v>
      </c>
      <c r="AE16" s="389">
        <v>98929</v>
      </c>
      <c r="AF16" s="389">
        <v>493922</v>
      </c>
      <c r="AG16" s="390">
        <v>48.17</v>
      </c>
      <c r="AH16" s="387" t="s">
        <v>553</v>
      </c>
      <c r="AI16" s="388">
        <v>5.5100000000000001E-3</v>
      </c>
      <c r="AJ16" s="389">
        <v>98823</v>
      </c>
      <c r="AK16" s="389">
        <v>492870</v>
      </c>
      <c r="AL16" s="390">
        <v>44.23</v>
      </c>
      <c r="AM16" s="391"/>
      <c r="AN16" s="387" t="s">
        <v>553</v>
      </c>
      <c r="AO16" s="388">
        <v>2.1700000000000001E-3</v>
      </c>
      <c r="AP16" s="389">
        <v>99260</v>
      </c>
      <c r="AQ16" s="389">
        <v>495788</v>
      </c>
      <c r="AR16" s="390">
        <v>49.53</v>
      </c>
    </row>
    <row r="17" spans="1:44" ht="15" customHeight="1">
      <c r="A17" s="387" t="s">
        <v>554</v>
      </c>
      <c r="B17" s="388">
        <v>2.513E-2</v>
      </c>
      <c r="C17" s="389">
        <v>94620</v>
      </c>
      <c r="D17" s="389">
        <v>467475</v>
      </c>
      <c r="E17" s="390">
        <v>31.86</v>
      </c>
      <c r="F17" s="391"/>
      <c r="G17" s="387" t="s">
        <v>554</v>
      </c>
      <c r="H17" s="388">
        <v>1.025E-2</v>
      </c>
      <c r="I17" s="389">
        <v>97195</v>
      </c>
      <c r="J17" s="389">
        <v>483637</v>
      </c>
      <c r="K17" s="390">
        <v>38.26</v>
      </c>
      <c r="L17" s="387" t="s">
        <v>554</v>
      </c>
      <c r="M17" s="388">
        <v>1.687E-2</v>
      </c>
      <c r="N17" s="389">
        <v>96450</v>
      </c>
      <c r="O17" s="389">
        <v>478450</v>
      </c>
      <c r="P17" s="390">
        <v>35.31</v>
      </c>
      <c r="Q17" s="391"/>
      <c r="R17" s="387" t="s">
        <v>554</v>
      </c>
      <c r="S17" s="388">
        <v>6.4200000000000004E-3</v>
      </c>
      <c r="T17" s="389">
        <v>98003</v>
      </c>
      <c r="U17" s="389">
        <v>488552</v>
      </c>
      <c r="V17" s="390">
        <v>41.84</v>
      </c>
      <c r="W17" s="387" t="s">
        <v>554</v>
      </c>
      <c r="X17" s="388">
        <v>1.23E-2</v>
      </c>
      <c r="Y17" s="389">
        <v>97527</v>
      </c>
      <c r="Z17" s="389">
        <v>484839</v>
      </c>
      <c r="AA17" s="390">
        <v>37.47</v>
      </c>
      <c r="AB17" s="391"/>
      <c r="AC17" s="387" t="s">
        <v>554</v>
      </c>
      <c r="AD17" s="388">
        <v>4.64E-3</v>
      </c>
      <c r="AE17" s="389">
        <v>98627</v>
      </c>
      <c r="AF17" s="389">
        <v>492072</v>
      </c>
      <c r="AG17" s="390">
        <v>43.31</v>
      </c>
      <c r="AH17" s="387" t="s">
        <v>554</v>
      </c>
      <c r="AI17" s="388">
        <v>8.8699999999999994E-3</v>
      </c>
      <c r="AJ17" s="389">
        <v>98279</v>
      </c>
      <c r="AK17" s="389">
        <v>489366</v>
      </c>
      <c r="AL17" s="390">
        <v>39.46</v>
      </c>
      <c r="AM17" s="391"/>
      <c r="AN17" s="387" t="s">
        <v>554</v>
      </c>
      <c r="AO17" s="388">
        <v>3.3400000000000001E-3</v>
      </c>
      <c r="AP17" s="389">
        <v>99045</v>
      </c>
      <c r="AQ17" s="389">
        <v>494460</v>
      </c>
      <c r="AR17" s="390">
        <v>44.63</v>
      </c>
    </row>
    <row r="18" spans="1:44" ht="15" customHeight="1">
      <c r="A18" s="387" t="s">
        <v>555</v>
      </c>
      <c r="B18" s="388">
        <v>3.4569999999999997E-2</v>
      </c>
      <c r="C18" s="389">
        <v>92243</v>
      </c>
      <c r="D18" s="389">
        <v>453583</v>
      </c>
      <c r="E18" s="390">
        <v>27.61</v>
      </c>
      <c r="F18" s="391"/>
      <c r="G18" s="387" t="s">
        <v>555</v>
      </c>
      <c r="H18" s="388">
        <v>1.406E-2</v>
      </c>
      <c r="I18" s="389">
        <v>96199</v>
      </c>
      <c r="J18" s="389">
        <v>477714</v>
      </c>
      <c r="K18" s="390">
        <v>33.630000000000003</v>
      </c>
      <c r="L18" s="387" t="s">
        <v>555</v>
      </c>
      <c r="M18" s="388">
        <v>2.5190000000000001E-2</v>
      </c>
      <c r="N18" s="389">
        <v>94823</v>
      </c>
      <c r="O18" s="389">
        <v>468468</v>
      </c>
      <c r="P18" s="390">
        <v>30.87</v>
      </c>
      <c r="Q18" s="391"/>
      <c r="R18" s="387" t="s">
        <v>555</v>
      </c>
      <c r="S18" s="388">
        <v>9.1199999999999996E-3</v>
      </c>
      <c r="T18" s="389">
        <v>97373</v>
      </c>
      <c r="U18" s="389">
        <v>484736</v>
      </c>
      <c r="V18" s="390">
        <v>37.1</v>
      </c>
      <c r="W18" s="387" t="s">
        <v>555</v>
      </c>
      <c r="X18" s="388">
        <v>1.8339999999999999E-2</v>
      </c>
      <c r="Y18" s="389">
        <v>96328</v>
      </c>
      <c r="Z18" s="389">
        <v>477460</v>
      </c>
      <c r="AA18" s="390">
        <v>32.909999999999997</v>
      </c>
      <c r="AB18" s="391"/>
      <c r="AC18" s="387" t="s">
        <v>555</v>
      </c>
      <c r="AD18" s="388">
        <v>6.5799999999999999E-3</v>
      </c>
      <c r="AE18" s="389">
        <v>98169</v>
      </c>
      <c r="AF18" s="389">
        <v>489293</v>
      </c>
      <c r="AG18" s="390">
        <v>38.5</v>
      </c>
      <c r="AH18" s="387" t="s">
        <v>555</v>
      </c>
      <c r="AI18" s="388">
        <v>1.321E-2</v>
      </c>
      <c r="AJ18" s="389">
        <v>97407</v>
      </c>
      <c r="AK18" s="389">
        <v>483994</v>
      </c>
      <c r="AL18" s="390">
        <v>34.79</v>
      </c>
      <c r="AM18" s="391"/>
      <c r="AN18" s="387" t="s">
        <v>555</v>
      </c>
      <c r="AO18" s="388">
        <v>4.7299999999999998E-3</v>
      </c>
      <c r="AP18" s="389">
        <v>98714</v>
      </c>
      <c r="AQ18" s="389">
        <v>492450</v>
      </c>
      <c r="AR18" s="390">
        <v>39.770000000000003</v>
      </c>
    </row>
    <row r="19" spans="1:44" ht="15" customHeight="1">
      <c r="A19" s="387" t="s">
        <v>556</v>
      </c>
      <c r="B19" s="388">
        <v>4.8890000000000003E-2</v>
      </c>
      <c r="C19" s="389">
        <v>89054</v>
      </c>
      <c r="D19" s="389">
        <v>435007</v>
      </c>
      <c r="E19" s="390">
        <v>23.51</v>
      </c>
      <c r="F19" s="391"/>
      <c r="G19" s="387" t="s">
        <v>556</v>
      </c>
      <c r="H19" s="388">
        <v>1.882E-2</v>
      </c>
      <c r="I19" s="389">
        <v>94846</v>
      </c>
      <c r="J19" s="389">
        <v>470141</v>
      </c>
      <c r="K19" s="390">
        <v>29.07</v>
      </c>
      <c r="L19" s="387" t="s">
        <v>556</v>
      </c>
      <c r="M19" s="388">
        <v>3.4750000000000003E-2</v>
      </c>
      <c r="N19" s="389">
        <v>92434</v>
      </c>
      <c r="O19" s="389">
        <v>454494</v>
      </c>
      <c r="P19" s="390">
        <v>26.6</v>
      </c>
      <c r="Q19" s="391"/>
      <c r="R19" s="387" t="s">
        <v>556</v>
      </c>
      <c r="S19" s="388">
        <v>1.1849999999999999E-2</v>
      </c>
      <c r="T19" s="389">
        <v>96485</v>
      </c>
      <c r="U19" s="389">
        <v>479708</v>
      </c>
      <c r="V19" s="390">
        <v>32.409999999999997</v>
      </c>
      <c r="W19" s="387" t="s">
        <v>556</v>
      </c>
      <c r="X19" s="388">
        <v>2.5350000000000001E-2</v>
      </c>
      <c r="Y19" s="389">
        <v>94561</v>
      </c>
      <c r="Z19" s="389">
        <v>467084</v>
      </c>
      <c r="AA19" s="390">
        <v>28.47</v>
      </c>
      <c r="AB19" s="391"/>
      <c r="AC19" s="387" t="s">
        <v>556</v>
      </c>
      <c r="AD19" s="388">
        <v>8.5699999999999995E-3</v>
      </c>
      <c r="AE19" s="389">
        <v>97523</v>
      </c>
      <c r="AF19" s="389">
        <v>485629</v>
      </c>
      <c r="AG19" s="390">
        <v>33.74</v>
      </c>
      <c r="AH19" s="387" t="s">
        <v>556</v>
      </c>
      <c r="AI19" s="388">
        <v>1.8280000000000001E-2</v>
      </c>
      <c r="AJ19" s="389">
        <v>96121</v>
      </c>
      <c r="AK19" s="389">
        <v>476417</v>
      </c>
      <c r="AL19" s="390">
        <v>30.22</v>
      </c>
      <c r="AM19" s="391"/>
      <c r="AN19" s="387" t="s">
        <v>556</v>
      </c>
      <c r="AO19" s="388">
        <v>6.1599999999999997E-3</v>
      </c>
      <c r="AP19" s="389">
        <v>98248</v>
      </c>
      <c r="AQ19" s="389">
        <v>489802</v>
      </c>
      <c r="AR19" s="390">
        <v>34.950000000000003</v>
      </c>
    </row>
    <row r="20" spans="1:44" ht="15" customHeight="1">
      <c r="A20" s="387" t="s">
        <v>557</v>
      </c>
      <c r="B20" s="388">
        <v>7.2760000000000005E-2</v>
      </c>
      <c r="C20" s="389">
        <v>84700</v>
      </c>
      <c r="D20" s="389">
        <v>409017</v>
      </c>
      <c r="E20" s="390">
        <v>19.579999999999998</v>
      </c>
      <c r="F20" s="391"/>
      <c r="G20" s="387" t="s">
        <v>557</v>
      </c>
      <c r="H20" s="388">
        <v>2.826E-2</v>
      </c>
      <c r="I20" s="389">
        <v>93061</v>
      </c>
      <c r="J20" s="389">
        <v>459048</v>
      </c>
      <c r="K20" s="390">
        <v>24.58</v>
      </c>
      <c r="L20" s="387" t="s">
        <v>557</v>
      </c>
      <c r="M20" s="388">
        <v>4.9910000000000003E-2</v>
      </c>
      <c r="N20" s="389">
        <v>89223</v>
      </c>
      <c r="O20" s="389">
        <v>435689</v>
      </c>
      <c r="P20" s="390">
        <v>22.46</v>
      </c>
      <c r="Q20" s="391"/>
      <c r="R20" s="387" t="s">
        <v>557</v>
      </c>
      <c r="S20" s="388">
        <v>1.8149999999999999E-2</v>
      </c>
      <c r="T20" s="389">
        <v>95342</v>
      </c>
      <c r="U20" s="389">
        <v>472726</v>
      </c>
      <c r="V20" s="390">
        <v>27.77</v>
      </c>
      <c r="W20" s="387" t="s">
        <v>557</v>
      </c>
      <c r="X20" s="388">
        <v>3.669E-2</v>
      </c>
      <c r="Y20" s="389">
        <v>92164</v>
      </c>
      <c r="Z20" s="389">
        <v>452943</v>
      </c>
      <c r="AA20" s="390">
        <v>24.14</v>
      </c>
      <c r="AB20" s="391"/>
      <c r="AC20" s="387" t="s">
        <v>557</v>
      </c>
      <c r="AD20" s="388">
        <v>1.3220000000000001E-2</v>
      </c>
      <c r="AE20" s="389">
        <v>96687</v>
      </c>
      <c r="AF20" s="389">
        <v>480506</v>
      </c>
      <c r="AG20" s="390">
        <v>29.01</v>
      </c>
      <c r="AH20" s="387" t="s">
        <v>557</v>
      </c>
      <c r="AI20" s="388">
        <v>2.6679999999999999E-2</v>
      </c>
      <c r="AJ20" s="389">
        <v>94364</v>
      </c>
      <c r="AK20" s="389">
        <v>465983</v>
      </c>
      <c r="AL20" s="390">
        <v>25.73</v>
      </c>
      <c r="AM20" s="391"/>
      <c r="AN20" s="387" t="s">
        <v>557</v>
      </c>
      <c r="AO20" s="388">
        <v>9.58E-3</v>
      </c>
      <c r="AP20" s="389">
        <v>97643</v>
      </c>
      <c r="AQ20" s="389">
        <v>486077</v>
      </c>
      <c r="AR20" s="390">
        <v>30.15</v>
      </c>
    </row>
    <row r="21" spans="1:44" ht="15" customHeight="1">
      <c r="A21" s="387" t="s">
        <v>558</v>
      </c>
      <c r="B21" s="388">
        <v>0.1077</v>
      </c>
      <c r="C21" s="389">
        <v>78537</v>
      </c>
      <c r="D21" s="389">
        <v>372291</v>
      </c>
      <c r="E21" s="390">
        <v>15.91</v>
      </c>
      <c r="F21" s="391"/>
      <c r="G21" s="387" t="s">
        <v>558</v>
      </c>
      <c r="H21" s="388">
        <v>4.1579999999999999E-2</v>
      </c>
      <c r="I21" s="389">
        <v>90431</v>
      </c>
      <c r="J21" s="389">
        <v>443323</v>
      </c>
      <c r="K21" s="390">
        <v>20.21</v>
      </c>
      <c r="L21" s="387" t="s">
        <v>558</v>
      </c>
      <c r="M21" s="388">
        <v>8.0890000000000004E-2</v>
      </c>
      <c r="N21" s="389">
        <v>84770</v>
      </c>
      <c r="O21" s="389">
        <v>407852</v>
      </c>
      <c r="P21" s="390">
        <v>18.5</v>
      </c>
      <c r="Q21" s="391"/>
      <c r="R21" s="387" t="s">
        <v>558</v>
      </c>
      <c r="S21" s="388">
        <v>3.1710000000000002E-2</v>
      </c>
      <c r="T21" s="389">
        <v>93611</v>
      </c>
      <c r="U21" s="389">
        <v>461299</v>
      </c>
      <c r="V21" s="390">
        <v>23.24</v>
      </c>
      <c r="W21" s="387" t="s">
        <v>558</v>
      </c>
      <c r="X21" s="388">
        <v>6.1650000000000003E-2</v>
      </c>
      <c r="Y21" s="389">
        <v>88782</v>
      </c>
      <c r="Z21" s="389">
        <v>431275</v>
      </c>
      <c r="AA21" s="390">
        <v>19.96</v>
      </c>
      <c r="AB21" s="391"/>
      <c r="AC21" s="387" t="s">
        <v>558</v>
      </c>
      <c r="AD21" s="388">
        <v>2.3949999999999999E-2</v>
      </c>
      <c r="AE21" s="389">
        <v>95409</v>
      </c>
      <c r="AF21" s="389">
        <v>471889</v>
      </c>
      <c r="AG21" s="390">
        <v>24.36</v>
      </c>
      <c r="AH21" s="387" t="s">
        <v>558</v>
      </c>
      <c r="AI21" s="388">
        <v>4.6550000000000001E-2</v>
      </c>
      <c r="AJ21" s="389">
        <v>91846</v>
      </c>
      <c r="AK21" s="389">
        <v>449456</v>
      </c>
      <c r="AL21" s="390">
        <v>21.36</v>
      </c>
      <c r="AM21" s="391"/>
      <c r="AN21" s="387" t="s">
        <v>558</v>
      </c>
      <c r="AO21" s="388">
        <v>1.7979999999999999E-2</v>
      </c>
      <c r="AP21" s="389">
        <v>96707</v>
      </c>
      <c r="AQ21" s="389">
        <v>479646</v>
      </c>
      <c r="AR21" s="390">
        <v>25.41</v>
      </c>
    </row>
    <row r="22" spans="1:44" ht="15" customHeight="1">
      <c r="A22" s="387" t="s">
        <v>559</v>
      </c>
      <c r="B22" s="388">
        <v>0.16375000000000001</v>
      </c>
      <c r="C22" s="389">
        <v>70079</v>
      </c>
      <c r="D22" s="389">
        <v>323251</v>
      </c>
      <c r="E22" s="390">
        <v>12.52</v>
      </c>
      <c r="F22" s="391"/>
      <c r="G22" s="387" t="s">
        <v>559</v>
      </c>
      <c r="H22" s="388">
        <v>7.8390000000000001E-2</v>
      </c>
      <c r="I22" s="389">
        <v>86671</v>
      </c>
      <c r="J22" s="389">
        <v>418093</v>
      </c>
      <c r="K22" s="390">
        <v>15.98</v>
      </c>
      <c r="L22" s="387" t="s">
        <v>559</v>
      </c>
      <c r="M22" s="388">
        <v>0.12733</v>
      </c>
      <c r="N22" s="389">
        <v>77913</v>
      </c>
      <c r="O22" s="389">
        <v>366108</v>
      </c>
      <c r="P22" s="390">
        <v>14.89</v>
      </c>
      <c r="Q22" s="391"/>
      <c r="R22" s="387" t="s">
        <v>559</v>
      </c>
      <c r="S22" s="388">
        <v>5.7770000000000002E-2</v>
      </c>
      <c r="T22" s="389">
        <v>90643</v>
      </c>
      <c r="U22" s="389">
        <v>441311</v>
      </c>
      <c r="V22" s="390">
        <v>18.91</v>
      </c>
      <c r="W22" s="387" t="s">
        <v>559</v>
      </c>
      <c r="X22" s="388">
        <v>0.10155</v>
      </c>
      <c r="Y22" s="389">
        <v>83309</v>
      </c>
      <c r="Z22" s="389">
        <v>396768</v>
      </c>
      <c r="AA22" s="390">
        <v>16.100000000000001</v>
      </c>
      <c r="AB22" s="391"/>
      <c r="AC22" s="387" t="s">
        <v>559</v>
      </c>
      <c r="AD22" s="388">
        <v>4.5659999999999999E-2</v>
      </c>
      <c r="AE22" s="389">
        <v>93124</v>
      </c>
      <c r="AF22" s="389">
        <v>456040</v>
      </c>
      <c r="AG22" s="390">
        <v>19.89</v>
      </c>
      <c r="AH22" s="387" t="s">
        <v>559</v>
      </c>
      <c r="AI22" s="388">
        <v>8.0240000000000006E-2</v>
      </c>
      <c r="AJ22" s="389">
        <v>87570</v>
      </c>
      <c r="AK22" s="389">
        <v>421599</v>
      </c>
      <c r="AL22" s="390">
        <v>17.27</v>
      </c>
      <c r="AM22" s="391"/>
      <c r="AN22" s="387" t="s">
        <v>559</v>
      </c>
      <c r="AO22" s="388">
        <v>3.585E-2</v>
      </c>
      <c r="AP22" s="389">
        <v>94969</v>
      </c>
      <c r="AQ22" s="389">
        <v>467241</v>
      </c>
      <c r="AR22" s="390">
        <v>20.83</v>
      </c>
    </row>
    <row r="23" spans="1:44" ht="15" customHeight="1">
      <c r="A23" s="387" t="s">
        <v>560</v>
      </c>
      <c r="B23" s="388">
        <v>0.26855000000000001</v>
      </c>
      <c r="C23" s="389">
        <v>58604</v>
      </c>
      <c r="D23" s="389">
        <v>254944</v>
      </c>
      <c r="E23" s="390">
        <v>9.4499999999999993</v>
      </c>
      <c r="F23" s="391"/>
      <c r="G23" s="387" t="s">
        <v>560</v>
      </c>
      <c r="H23" s="388">
        <v>0.16242999999999999</v>
      </c>
      <c r="I23" s="389">
        <v>79877</v>
      </c>
      <c r="J23" s="389">
        <v>370199</v>
      </c>
      <c r="K23" s="390">
        <v>12.1</v>
      </c>
      <c r="L23" s="387" t="s">
        <v>560</v>
      </c>
      <c r="M23" s="388">
        <v>0.19814999999999999</v>
      </c>
      <c r="N23" s="389">
        <v>67993</v>
      </c>
      <c r="O23" s="389">
        <v>307672</v>
      </c>
      <c r="P23" s="390">
        <v>11.68</v>
      </c>
      <c r="Q23" s="391"/>
      <c r="R23" s="387" t="s">
        <v>560</v>
      </c>
      <c r="S23" s="388">
        <v>0.1043</v>
      </c>
      <c r="T23" s="389">
        <v>85406</v>
      </c>
      <c r="U23" s="389">
        <v>406540</v>
      </c>
      <c r="V23" s="390">
        <v>14.9</v>
      </c>
      <c r="W23" s="387" t="s">
        <v>560</v>
      </c>
      <c r="X23" s="388">
        <v>0.16550999999999999</v>
      </c>
      <c r="Y23" s="389">
        <v>74849</v>
      </c>
      <c r="Z23" s="389">
        <v>344957</v>
      </c>
      <c r="AA23" s="390">
        <v>12.61</v>
      </c>
      <c r="AB23" s="391"/>
      <c r="AC23" s="387" t="s">
        <v>560</v>
      </c>
      <c r="AD23" s="388">
        <v>8.6269999999999999E-2</v>
      </c>
      <c r="AE23" s="389">
        <v>88872</v>
      </c>
      <c r="AF23" s="389">
        <v>426918</v>
      </c>
      <c r="AG23" s="390">
        <v>15.71</v>
      </c>
      <c r="AH23" s="387" t="s">
        <v>560</v>
      </c>
      <c r="AI23" s="388">
        <v>0.13705999999999999</v>
      </c>
      <c r="AJ23" s="389">
        <v>80544</v>
      </c>
      <c r="AK23" s="389">
        <v>376960</v>
      </c>
      <c r="AL23" s="390">
        <v>13.55</v>
      </c>
      <c r="AM23" s="391"/>
      <c r="AN23" s="387" t="s">
        <v>560</v>
      </c>
      <c r="AO23" s="388">
        <v>7.0910000000000001E-2</v>
      </c>
      <c r="AP23" s="389">
        <v>91565</v>
      </c>
      <c r="AQ23" s="389">
        <v>443203</v>
      </c>
      <c r="AR23" s="390">
        <v>16.5</v>
      </c>
    </row>
    <row r="24" spans="1:44" ht="15" customHeight="1">
      <c r="A24" s="387" t="s">
        <v>561</v>
      </c>
      <c r="B24" s="388">
        <v>0.41353000000000001</v>
      </c>
      <c r="C24" s="389">
        <v>42866</v>
      </c>
      <c r="D24" s="389">
        <v>169905</v>
      </c>
      <c r="E24" s="390">
        <v>6.98</v>
      </c>
      <c r="F24" s="391"/>
      <c r="G24" s="387" t="s">
        <v>561</v>
      </c>
      <c r="H24" s="388">
        <v>0.28361999999999998</v>
      </c>
      <c r="I24" s="389">
        <v>66902</v>
      </c>
      <c r="J24" s="389">
        <v>288989</v>
      </c>
      <c r="K24" s="390">
        <v>8.91</v>
      </c>
      <c r="L24" s="387" t="s">
        <v>561</v>
      </c>
      <c r="M24" s="388">
        <v>0.29919000000000001</v>
      </c>
      <c r="N24" s="389">
        <v>54520</v>
      </c>
      <c r="O24" s="389">
        <v>232592</v>
      </c>
      <c r="P24" s="390">
        <v>8.92</v>
      </c>
      <c r="Q24" s="391"/>
      <c r="R24" s="387" t="s">
        <v>561</v>
      </c>
      <c r="S24" s="388">
        <v>0.18336</v>
      </c>
      <c r="T24" s="389">
        <v>76498</v>
      </c>
      <c r="U24" s="389">
        <v>349680</v>
      </c>
      <c r="V24" s="390">
        <v>11.32</v>
      </c>
      <c r="W24" s="387" t="s">
        <v>561</v>
      </c>
      <c r="X24" s="388">
        <v>0.26193</v>
      </c>
      <c r="Y24" s="389">
        <v>62461</v>
      </c>
      <c r="Z24" s="389">
        <v>272787</v>
      </c>
      <c r="AA24" s="390">
        <v>9.59</v>
      </c>
      <c r="AB24" s="391"/>
      <c r="AC24" s="387" t="s">
        <v>561</v>
      </c>
      <c r="AD24" s="388">
        <v>0.159</v>
      </c>
      <c r="AE24" s="389">
        <v>81205</v>
      </c>
      <c r="AF24" s="389">
        <v>376194</v>
      </c>
      <c r="AG24" s="390">
        <v>11.94</v>
      </c>
      <c r="AH24" s="387" t="s">
        <v>561</v>
      </c>
      <c r="AI24" s="388">
        <v>0.22764999999999999</v>
      </c>
      <c r="AJ24" s="389">
        <v>69505</v>
      </c>
      <c r="AK24" s="389">
        <v>309860</v>
      </c>
      <c r="AL24" s="390">
        <v>10.28</v>
      </c>
      <c r="AM24" s="391"/>
      <c r="AN24" s="387" t="s">
        <v>561</v>
      </c>
      <c r="AO24" s="388">
        <v>0.13714999999999999</v>
      </c>
      <c r="AP24" s="389">
        <v>85072</v>
      </c>
      <c r="AQ24" s="389">
        <v>398720</v>
      </c>
      <c r="AR24" s="390">
        <v>12.55</v>
      </c>
    </row>
    <row r="25" spans="1:44" ht="15" customHeight="1">
      <c r="A25" s="387" t="s">
        <v>433</v>
      </c>
      <c r="B25" s="388">
        <v>0.56801000000000001</v>
      </c>
      <c r="C25" s="389">
        <v>25140</v>
      </c>
      <c r="D25" s="389">
        <v>87686</v>
      </c>
      <c r="E25" s="390">
        <v>5.14</v>
      </c>
      <c r="F25" s="391"/>
      <c r="G25" s="387" t="s">
        <v>433</v>
      </c>
      <c r="H25" s="388">
        <v>0.45066000000000001</v>
      </c>
      <c r="I25" s="389">
        <v>47927</v>
      </c>
      <c r="J25" s="389">
        <v>185097</v>
      </c>
      <c r="K25" s="390">
        <v>6.41</v>
      </c>
      <c r="L25" s="387" t="s">
        <v>433</v>
      </c>
      <c r="M25" s="388">
        <v>0.43295</v>
      </c>
      <c r="N25" s="389">
        <v>38208</v>
      </c>
      <c r="O25" s="389">
        <v>149010</v>
      </c>
      <c r="P25" s="390">
        <v>6.65</v>
      </c>
      <c r="Q25" s="391"/>
      <c r="R25" s="387" t="s">
        <v>433</v>
      </c>
      <c r="S25" s="388">
        <v>0.30879000000000001</v>
      </c>
      <c r="T25" s="389">
        <v>62471</v>
      </c>
      <c r="U25" s="389">
        <v>265878</v>
      </c>
      <c r="V25" s="390">
        <v>8.26</v>
      </c>
      <c r="W25" s="387" t="s">
        <v>433</v>
      </c>
      <c r="X25" s="388">
        <v>0.39651999999999998</v>
      </c>
      <c r="Y25" s="389">
        <v>46100</v>
      </c>
      <c r="Z25" s="389">
        <v>184796</v>
      </c>
      <c r="AA25" s="390">
        <v>7.08</v>
      </c>
      <c r="AB25" s="391"/>
      <c r="AC25" s="387" t="s">
        <v>433</v>
      </c>
      <c r="AD25" s="388">
        <v>0.28043000000000001</v>
      </c>
      <c r="AE25" s="389">
        <v>68294</v>
      </c>
      <c r="AF25" s="389">
        <v>295933</v>
      </c>
      <c r="AG25" s="390">
        <v>8.68</v>
      </c>
      <c r="AH25" s="387" t="s">
        <v>433</v>
      </c>
      <c r="AI25" s="388">
        <v>0.36105999999999999</v>
      </c>
      <c r="AJ25" s="389">
        <v>53682</v>
      </c>
      <c r="AK25" s="389">
        <v>220703</v>
      </c>
      <c r="AL25" s="390">
        <v>7.53</v>
      </c>
      <c r="AM25" s="391"/>
      <c r="AN25" s="387" t="s">
        <v>433</v>
      </c>
      <c r="AO25" s="388">
        <v>0.25358000000000003</v>
      </c>
      <c r="AP25" s="389">
        <v>73404</v>
      </c>
      <c r="AQ25" s="389">
        <v>323333</v>
      </c>
      <c r="AR25" s="390">
        <v>9.11</v>
      </c>
    </row>
    <row r="26" spans="1:44" ht="15" customHeight="1">
      <c r="A26" s="387" t="s">
        <v>434</v>
      </c>
      <c r="B26" s="388">
        <v>0.71169000000000004</v>
      </c>
      <c r="C26" s="389">
        <v>10860</v>
      </c>
      <c r="D26" s="389">
        <v>32341</v>
      </c>
      <c r="E26" s="390">
        <v>3.82</v>
      </c>
      <c r="F26" s="391"/>
      <c r="G26" s="387" t="s">
        <v>434</v>
      </c>
      <c r="H26" s="388">
        <v>0.61960000000000004</v>
      </c>
      <c r="I26" s="389">
        <v>26328</v>
      </c>
      <c r="J26" s="389">
        <v>87447</v>
      </c>
      <c r="K26" s="390">
        <v>4.6500000000000004</v>
      </c>
      <c r="L26" s="387" t="s">
        <v>434</v>
      </c>
      <c r="M26" s="388">
        <v>0.59079000000000004</v>
      </c>
      <c r="N26" s="389">
        <v>21666</v>
      </c>
      <c r="O26" s="389">
        <v>74093</v>
      </c>
      <c r="P26" s="390">
        <v>4.84</v>
      </c>
      <c r="Q26" s="391"/>
      <c r="R26" s="387" t="s">
        <v>434</v>
      </c>
      <c r="S26" s="388">
        <v>0.48501</v>
      </c>
      <c r="T26" s="389">
        <v>43181</v>
      </c>
      <c r="U26" s="389">
        <v>162862</v>
      </c>
      <c r="V26" s="390">
        <v>5.8</v>
      </c>
      <c r="W26" s="387" t="s">
        <v>434</v>
      </c>
      <c r="X26" s="388">
        <v>0.56237000000000004</v>
      </c>
      <c r="Y26" s="389">
        <v>27821</v>
      </c>
      <c r="Z26" s="389">
        <v>97895</v>
      </c>
      <c r="AA26" s="390">
        <v>5.09</v>
      </c>
      <c r="AB26" s="391"/>
      <c r="AC26" s="387" t="s">
        <v>434</v>
      </c>
      <c r="AD26" s="388">
        <v>0.45895999999999998</v>
      </c>
      <c r="AE26" s="389">
        <v>49142</v>
      </c>
      <c r="AF26" s="389">
        <v>189350</v>
      </c>
      <c r="AG26" s="390">
        <v>6.05</v>
      </c>
      <c r="AH26" s="387" t="s">
        <v>434</v>
      </c>
      <c r="AI26" s="388">
        <v>0.53325</v>
      </c>
      <c r="AJ26" s="389">
        <v>34300</v>
      </c>
      <c r="AK26" s="389">
        <v>124053</v>
      </c>
      <c r="AL26" s="390">
        <v>5.35</v>
      </c>
      <c r="AM26" s="391"/>
      <c r="AN26" s="387" t="s">
        <v>434</v>
      </c>
      <c r="AO26" s="388">
        <v>0.43292000000000003</v>
      </c>
      <c r="AP26" s="389">
        <v>54790</v>
      </c>
      <c r="AQ26" s="389">
        <v>215465</v>
      </c>
      <c r="AR26" s="390">
        <v>6.3</v>
      </c>
    </row>
    <row r="27" spans="1:44" ht="15" customHeight="1">
      <c r="A27" s="387" t="s">
        <v>562</v>
      </c>
      <c r="B27" s="388">
        <v>0.82269000000000003</v>
      </c>
      <c r="C27" s="389">
        <v>3131</v>
      </c>
      <c r="D27" s="389">
        <v>7816</v>
      </c>
      <c r="E27" s="390">
        <v>2.9</v>
      </c>
      <c r="F27" s="383"/>
      <c r="G27" s="387" t="s">
        <v>562</v>
      </c>
      <c r="H27" s="388">
        <v>0.75461</v>
      </c>
      <c r="I27" s="389">
        <v>10015</v>
      </c>
      <c r="J27" s="389">
        <v>28029</v>
      </c>
      <c r="K27" s="390">
        <v>3.48</v>
      </c>
      <c r="L27" s="387" t="s">
        <v>562</v>
      </c>
      <c r="M27" s="388">
        <v>0.74866999999999995</v>
      </c>
      <c r="N27" s="389">
        <v>8866</v>
      </c>
      <c r="O27" s="389">
        <v>25291</v>
      </c>
      <c r="P27" s="390">
        <v>3.48</v>
      </c>
      <c r="Q27" s="383"/>
      <c r="R27" s="387" t="s">
        <v>562</v>
      </c>
      <c r="S27" s="388">
        <v>0.68781999999999999</v>
      </c>
      <c r="T27" s="389">
        <v>22238</v>
      </c>
      <c r="U27" s="389">
        <v>69315</v>
      </c>
      <c r="V27" s="390">
        <v>3.94</v>
      </c>
      <c r="W27" s="387" t="s">
        <v>562</v>
      </c>
      <c r="X27" s="388">
        <v>0.73331999999999997</v>
      </c>
      <c r="Y27" s="389">
        <v>12175</v>
      </c>
      <c r="Z27" s="389">
        <v>35578</v>
      </c>
      <c r="AA27" s="390">
        <v>3.6</v>
      </c>
      <c r="AB27" s="383"/>
      <c r="AC27" s="387" t="s">
        <v>562</v>
      </c>
      <c r="AD27" s="388">
        <v>0.67196999999999996</v>
      </c>
      <c r="AE27" s="389">
        <v>26588</v>
      </c>
      <c r="AF27" s="389">
        <v>84589</v>
      </c>
      <c r="AG27" s="390">
        <v>4.0599999999999996</v>
      </c>
      <c r="AH27" s="387" t="s">
        <v>562</v>
      </c>
      <c r="AI27" s="388">
        <v>0.71691000000000005</v>
      </c>
      <c r="AJ27" s="389">
        <v>16010</v>
      </c>
      <c r="AK27" s="389">
        <v>47935</v>
      </c>
      <c r="AL27" s="390">
        <v>3.72</v>
      </c>
      <c r="AM27" s="383"/>
      <c r="AN27" s="387" t="s">
        <v>562</v>
      </c>
      <c r="AO27" s="388">
        <v>0.65530999999999995</v>
      </c>
      <c r="AP27" s="389">
        <v>31070</v>
      </c>
      <c r="AQ27" s="389">
        <v>100897</v>
      </c>
      <c r="AR27" s="390">
        <v>4.18</v>
      </c>
    </row>
    <row r="28" spans="1:44" ht="15" customHeight="1" thickBot="1">
      <c r="A28" s="393" t="s">
        <v>563</v>
      </c>
      <c r="B28" s="459">
        <v>1</v>
      </c>
      <c r="C28" s="395">
        <v>555</v>
      </c>
      <c r="D28" s="395">
        <v>1279</v>
      </c>
      <c r="E28" s="460">
        <v>2.2999999999999998</v>
      </c>
      <c r="F28" s="383"/>
      <c r="G28" s="393" t="s">
        <v>563</v>
      </c>
      <c r="H28" s="459">
        <v>1</v>
      </c>
      <c r="I28" s="394">
        <v>2458</v>
      </c>
      <c r="J28" s="394">
        <v>6845</v>
      </c>
      <c r="K28" s="460">
        <v>2.79</v>
      </c>
      <c r="L28" s="393" t="s">
        <v>563</v>
      </c>
      <c r="M28" s="459">
        <v>1</v>
      </c>
      <c r="N28" s="395">
        <v>2228</v>
      </c>
      <c r="O28" s="395">
        <v>5543</v>
      </c>
      <c r="P28" s="460">
        <v>2.4900000000000002</v>
      </c>
      <c r="Q28" s="383"/>
      <c r="R28" s="393" t="s">
        <v>563</v>
      </c>
      <c r="S28" s="459">
        <v>1</v>
      </c>
      <c r="T28" s="394">
        <v>6942</v>
      </c>
      <c r="U28" s="394">
        <v>18231</v>
      </c>
      <c r="V28" s="460">
        <v>2.63</v>
      </c>
      <c r="W28" s="393" t="s">
        <v>563</v>
      </c>
      <c r="X28" s="459">
        <v>1</v>
      </c>
      <c r="Y28" s="395">
        <v>3247</v>
      </c>
      <c r="Z28" s="395">
        <v>8198</v>
      </c>
      <c r="AA28" s="460">
        <v>2.52</v>
      </c>
      <c r="AB28" s="383"/>
      <c r="AC28" s="393" t="s">
        <v>563</v>
      </c>
      <c r="AD28" s="459">
        <v>1</v>
      </c>
      <c r="AE28" s="394">
        <v>8722</v>
      </c>
      <c r="AF28" s="394">
        <v>23228</v>
      </c>
      <c r="AG28" s="460">
        <v>2.66</v>
      </c>
      <c r="AH28" s="393" t="s">
        <v>563</v>
      </c>
      <c r="AI28" s="459">
        <v>1</v>
      </c>
      <c r="AJ28" s="395">
        <v>4532</v>
      </c>
      <c r="AK28" s="395">
        <v>11628</v>
      </c>
      <c r="AL28" s="460">
        <v>2.57</v>
      </c>
      <c r="AM28" s="383"/>
      <c r="AN28" s="393" t="s">
        <v>563</v>
      </c>
      <c r="AO28" s="459">
        <v>1</v>
      </c>
      <c r="AP28" s="394">
        <v>10710</v>
      </c>
      <c r="AQ28" s="394">
        <v>28957</v>
      </c>
      <c r="AR28" s="460">
        <v>2.7</v>
      </c>
    </row>
    <row r="29" spans="1:44" ht="15" customHeight="1" thickBot="1">
      <c r="A29" s="378" t="s">
        <v>566</v>
      </c>
      <c r="B29" s="383"/>
      <c r="C29" s="383"/>
      <c r="D29" s="383"/>
      <c r="E29" s="383"/>
      <c r="F29" s="383"/>
      <c r="G29" s="385"/>
      <c r="H29" s="383"/>
      <c r="I29" s="383"/>
      <c r="J29" s="383"/>
      <c r="K29" s="383"/>
      <c r="L29" s="378" t="s">
        <v>568</v>
      </c>
      <c r="M29" s="383"/>
      <c r="N29" s="383"/>
      <c r="O29" s="383"/>
      <c r="P29" s="383"/>
      <c r="Q29" s="383"/>
      <c r="R29" s="385"/>
      <c r="S29" s="383"/>
      <c r="T29" s="383"/>
      <c r="U29" s="383"/>
      <c r="V29" s="383"/>
      <c r="W29" s="378" t="s">
        <v>570</v>
      </c>
      <c r="X29" s="383"/>
      <c r="Y29" s="383"/>
      <c r="Z29" s="383"/>
      <c r="AA29" s="383"/>
      <c r="AB29" s="383"/>
      <c r="AC29" s="385"/>
      <c r="AD29" s="383"/>
      <c r="AE29" s="383"/>
      <c r="AF29" s="383"/>
      <c r="AG29" s="383"/>
      <c r="AH29" s="378" t="s">
        <v>572</v>
      </c>
      <c r="AI29" s="383"/>
      <c r="AJ29" s="383"/>
      <c r="AK29" s="383"/>
      <c r="AL29" s="383"/>
      <c r="AM29" s="383"/>
      <c r="AN29" s="385"/>
      <c r="AO29" s="383"/>
      <c r="AP29" s="383"/>
      <c r="AQ29" s="383"/>
      <c r="AR29" s="383"/>
    </row>
    <row r="30" spans="1:44" ht="15" customHeight="1">
      <c r="A30" s="430" t="s">
        <v>449</v>
      </c>
      <c r="B30" s="431" t="s">
        <v>450</v>
      </c>
      <c r="C30" s="431" t="s">
        <v>427</v>
      </c>
      <c r="D30" s="431" t="s">
        <v>428</v>
      </c>
      <c r="E30" s="431" t="s">
        <v>429</v>
      </c>
      <c r="F30" s="382"/>
      <c r="G30" s="430" t="s">
        <v>451</v>
      </c>
      <c r="H30" s="431" t="s">
        <v>450</v>
      </c>
      <c r="I30" s="431" t="s">
        <v>427</v>
      </c>
      <c r="J30" s="431" t="s">
        <v>428</v>
      </c>
      <c r="K30" s="431" t="s">
        <v>429</v>
      </c>
      <c r="L30" s="430" t="s">
        <v>449</v>
      </c>
      <c r="M30" s="431" t="s">
        <v>450</v>
      </c>
      <c r="N30" s="431" t="s">
        <v>427</v>
      </c>
      <c r="O30" s="431" t="s">
        <v>428</v>
      </c>
      <c r="P30" s="431" t="s">
        <v>429</v>
      </c>
      <c r="Q30" s="382"/>
      <c r="R30" s="430" t="s">
        <v>451</v>
      </c>
      <c r="S30" s="431" t="s">
        <v>450</v>
      </c>
      <c r="T30" s="431" t="s">
        <v>427</v>
      </c>
      <c r="U30" s="431" t="s">
        <v>428</v>
      </c>
      <c r="V30" s="431" t="s">
        <v>429</v>
      </c>
      <c r="W30" s="430" t="s">
        <v>449</v>
      </c>
      <c r="X30" s="431" t="s">
        <v>450</v>
      </c>
      <c r="Y30" s="431" t="s">
        <v>427</v>
      </c>
      <c r="Z30" s="431" t="s">
        <v>428</v>
      </c>
      <c r="AA30" s="431" t="s">
        <v>429</v>
      </c>
      <c r="AB30" s="382"/>
      <c r="AC30" s="430" t="s">
        <v>451</v>
      </c>
      <c r="AD30" s="431" t="s">
        <v>450</v>
      </c>
      <c r="AE30" s="431" t="s">
        <v>427</v>
      </c>
      <c r="AF30" s="431" t="s">
        <v>428</v>
      </c>
      <c r="AG30" s="431" t="s">
        <v>429</v>
      </c>
      <c r="AH30" s="430" t="s">
        <v>449</v>
      </c>
      <c r="AI30" s="431" t="s">
        <v>450</v>
      </c>
      <c r="AJ30" s="431" t="s">
        <v>427</v>
      </c>
      <c r="AK30" s="431" t="s">
        <v>428</v>
      </c>
      <c r="AL30" s="431" t="s">
        <v>429</v>
      </c>
      <c r="AM30" s="382"/>
      <c r="AN30" s="430" t="s">
        <v>451</v>
      </c>
      <c r="AO30" s="431" t="s">
        <v>450</v>
      </c>
      <c r="AP30" s="431" t="s">
        <v>427</v>
      </c>
      <c r="AQ30" s="431" t="s">
        <v>428</v>
      </c>
      <c r="AR30" s="431" t="s">
        <v>429</v>
      </c>
    </row>
    <row r="31" spans="1:44" ht="15" customHeight="1">
      <c r="A31" s="432" t="s">
        <v>452</v>
      </c>
      <c r="B31" s="433" t="s">
        <v>453</v>
      </c>
      <c r="C31" s="434" t="s">
        <v>430</v>
      </c>
      <c r="D31" s="433" t="s">
        <v>431</v>
      </c>
      <c r="E31" s="433" t="s">
        <v>432</v>
      </c>
      <c r="F31" s="383"/>
      <c r="G31" s="432" t="s">
        <v>454</v>
      </c>
      <c r="H31" s="433" t="s">
        <v>453</v>
      </c>
      <c r="I31" s="434" t="s">
        <v>430</v>
      </c>
      <c r="J31" s="433" t="s">
        <v>431</v>
      </c>
      <c r="K31" s="433" t="s">
        <v>432</v>
      </c>
      <c r="L31" s="432" t="s">
        <v>452</v>
      </c>
      <c r="M31" s="433" t="s">
        <v>453</v>
      </c>
      <c r="N31" s="434" t="s">
        <v>430</v>
      </c>
      <c r="O31" s="433" t="s">
        <v>431</v>
      </c>
      <c r="P31" s="433" t="s">
        <v>432</v>
      </c>
      <c r="Q31" s="383"/>
      <c r="R31" s="432" t="s">
        <v>454</v>
      </c>
      <c r="S31" s="433" t="s">
        <v>453</v>
      </c>
      <c r="T31" s="434" t="s">
        <v>430</v>
      </c>
      <c r="U31" s="433" t="s">
        <v>431</v>
      </c>
      <c r="V31" s="433" t="s">
        <v>432</v>
      </c>
      <c r="W31" s="432" t="s">
        <v>452</v>
      </c>
      <c r="X31" s="433" t="s">
        <v>453</v>
      </c>
      <c r="Y31" s="434" t="s">
        <v>430</v>
      </c>
      <c r="Z31" s="433" t="s">
        <v>431</v>
      </c>
      <c r="AA31" s="433" t="s">
        <v>432</v>
      </c>
      <c r="AB31" s="383"/>
      <c r="AC31" s="432" t="s">
        <v>454</v>
      </c>
      <c r="AD31" s="433" t="s">
        <v>453</v>
      </c>
      <c r="AE31" s="434" t="s">
        <v>430</v>
      </c>
      <c r="AF31" s="433" t="s">
        <v>431</v>
      </c>
      <c r="AG31" s="433" t="s">
        <v>432</v>
      </c>
      <c r="AH31" s="432" t="s">
        <v>452</v>
      </c>
      <c r="AI31" s="433" t="s">
        <v>453</v>
      </c>
      <c r="AJ31" s="434" t="s">
        <v>430</v>
      </c>
      <c r="AK31" s="433" t="s">
        <v>431</v>
      </c>
      <c r="AL31" s="433" t="s">
        <v>432</v>
      </c>
      <c r="AM31" s="383"/>
      <c r="AN31" s="432" t="s">
        <v>454</v>
      </c>
      <c r="AO31" s="433" t="s">
        <v>453</v>
      </c>
      <c r="AP31" s="434" t="s">
        <v>430</v>
      </c>
      <c r="AQ31" s="433" t="s">
        <v>431</v>
      </c>
      <c r="AR31" s="433" t="s">
        <v>432</v>
      </c>
    </row>
    <row r="32" spans="1:44" ht="15" customHeight="1">
      <c r="A32" s="384"/>
      <c r="B32" s="385"/>
      <c r="C32" s="386"/>
      <c r="D32" s="385"/>
      <c r="E32" s="385"/>
      <c r="F32" s="383"/>
      <c r="G32" s="384"/>
      <c r="H32" s="385"/>
      <c r="I32" s="386"/>
      <c r="J32" s="385"/>
      <c r="K32" s="385"/>
      <c r="L32" s="384"/>
      <c r="M32" s="385"/>
      <c r="N32" s="386"/>
      <c r="O32" s="385"/>
      <c r="P32" s="385"/>
      <c r="Q32" s="383"/>
      <c r="R32" s="384"/>
      <c r="S32" s="385"/>
      <c r="T32" s="386"/>
      <c r="U32" s="385"/>
      <c r="V32" s="385"/>
      <c r="W32" s="384"/>
      <c r="X32" s="385"/>
      <c r="Y32" s="386"/>
      <c r="Z32" s="385"/>
      <c r="AA32" s="385"/>
      <c r="AB32" s="383"/>
      <c r="AC32" s="384"/>
      <c r="AD32" s="385"/>
      <c r="AE32" s="386"/>
      <c r="AF32" s="385"/>
      <c r="AG32" s="385"/>
      <c r="AH32" s="384"/>
      <c r="AI32" s="385"/>
      <c r="AJ32" s="386"/>
      <c r="AK32" s="385"/>
      <c r="AL32" s="385"/>
      <c r="AM32" s="383"/>
      <c r="AN32" s="384"/>
      <c r="AO32" s="385"/>
      <c r="AP32" s="386"/>
      <c r="AQ32" s="385"/>
      <c r="AR32" s="385"/>
    </row>
    <row r="33" spans="1:44" ht="15" customHeight="1">
      <c r="A33" s="387" t="s">
        <v>564</v>
      </c>
      <c r="B33" s="388">
        <v>5.3200000000000001E-3</v>
      </c>
      <c r="C33" s="389">
        <v>100000</v>
      </c>
      <c r="D33" s="389">
        <v>99551</v>
      </c>
      <c r="E33" s="390">
        <v>81.61</v>
      </c>
      <c r="F33" s="391"/>
      <c r="G33" s="387" t="s">
        <v>564</v>
      </c>
      <c r="H33" s="388">
        <v>3.7599999999999999E-3</v>
      </c>
      <c r="I33" s="389">
        <v>100000</v>
      </c>
      <c r="J33" s="389">
        <v>99648</v>
      </c>
      <c r="K33" s="390">
        <v>84.62</v>
      </c>
      <c r="L33" s="387" t="s">
        <v>564</v>
      </c>
      <c r="M33" s="388">
        <v>3.6800000000000001E-3</v>
      </c>
      <c r="N33" s="389">
        <v>100000</v>
      </c>
      <c r="O33" s="389">
        <v>99652</v>
      </c>
      <c r="P33" s="390">
        <v>79.92</v>
      </c>
      <c r="Q33" s="391"/>
      <c r="R33" s="387" t="s">
        <v>564</v>
      </c>
      <c r="S33" s="388">
        <v>3.13E-3</v>
      </c>
      <c r="T33" s="389">
        <v>100000</v>
      </c>
      <c r="U33" s="389">
        <v>99706</v>
      </c>
      <c r="V33" s="390">
        <v>86.6</v>
      </c>
      <c r="W33" s="387" t="s">
        <v>564</v>
      </c>
      <c r="X33" s="388">
        <v>3.14E-3</v>
      </c>
      <c r="Y33" s="389">
        <v>100000</v>
      </c>
      <c r="Z33" s="389">
        <v>99703</v>
      </c>
      <c r="AA33" s="390">
        <v>82.38</v>
      </c>
      <c r="AB33" s="391"/>
      <c r="AC33" s="387" t="s">
        <v>564</v>
      </c>
      <c r="AD33" s="388">
        <v>2.6099999999999999E-3</v>
      </c>
      <c r="AE33" s="389">
        <v>100000</v>
      </c>
      <c r="AF33" s="389">
        <v>99755</v>
      </c>
      <c r="AG33" s="390">
        <v>88.27</v>
      </c>
      <c r="AH33" s="387" t="s">
        <v>564</v>
      </c>
      <c r="AI33" s="388">
        <v>2.6800000000000001E-3</v>
      </c>
      <c r="AJ33" s="389">
        <v>100000</v>
      </c>
      <c r="AK33" s="389">
        <v>99746</v>
      </c>
      <c r="AL33" s="390">
        <v>84.46</v>
      </c>
      <c r="AM33" s="391"/>
      <c r="AN33" s="387" t="s">
        <v>564</v>
      </c>
      <c r="AO33" s="388">
        <v>2.1700000000000001E-3</v>
      </c>
      <c r="AP33" s="389">
        <v>100000</v>
      </c>
      <c r="AQ33" s="389">
        <v>99796</v>
      </c>
      <c r="AR33" s="390">
        <v>89.66</v>
      </c>
    </row>
    <row r="34" spans="1:44" ht="15" customHeight="1">
      <c r="A34" s="392" t="s">
        <v>545</v>
      </c>
      <c r="B34" s="388">
        <v>1.65E-3</v>
      </c>
      <c r="C34" s="389">
        <v>99468</v>
      </c>
      <c r="D34" s="389">
        <v>397470</v>
      </c>
      <c r="E34" s="390">
        <v>81.05</v>
      </c>
      <c r="F34" s="391"/>
      <c r="G34" s="392" t="s">
        <v>545</v>
      </c>
      <c r="H34" s="388">
        <v>1.32E-3</v>
      </c>
      <c r="I34" s="389">
        <v>99624</v>
      </c>
      <c r="J34" s="389">
        <v>398165</v>
      </c>
      <c r="K34" s="390">
        <v>83.94</v>
      </c>
      <c r="L34" s="392" t="s">
        <v>545</v>
      </c>
      <c r="M34" s="388">
        <v>5.5000000000000003E-4</v>
      </c>
      <c r="N34" s="389">
        <v>99632</v>
      </c>
      <c r="O34" s="389">
        <v>398393</v>
      </c>
      <c r="P34" s="390">
        <v>79.22</v>
      </c>
      <c r="Q34" s="391"/>
      <c r="R34" s="392" t="s">
        <v>545</v>
      </c>
      <c r="S34" s="388">
        <v>6.7000000000000002E-4</v>
      </c>
      <c r="T34" s="389">
        <v>99687</v>
      </c>
      <c r="U34" s="389">
        <v>398577</v>
      </c>
      <c r="V34" s="390">
        <v>85.87</v>
      </c>
      <c r="W34" s="392" t="s">
        <v>545</v>
      </c>
      <c r="X34" s="388">
        <v>2.7999999999999998E-4</v>
      </c>
      <c r="Y34" s="389">
        <v>99686</v>
      </c>
      <c r="Z34" s="389">
        <v>398675</v>
      </c>
      <c r="AA34" s="390">
        <v>81.64</v>
      </c>
      <c r="AB34" s="391"/>
      <c r="AC34" s="392" t="s">
        <v>545</v>
      </c>
      <c r="AD34" s="388">
        <v>3.4000000000000002E-4</v>
      </c>
      <c r="AE34" s="389">
        <v>99739</v>
      </c>
      <c r="AF34" s="389">
        <v>398869</v>
      </c>
      <c r="AG34" s="390">
        <v>87.5</v>
      </c>
      <c r="AH34" s="392" t="s">
        <v>545</v>
      </c>
      <c r="AI34" s="388">
        <v>1.3999999999999999E-4</v>
      </c>
      <c r="AJ34" s="389">
        <v>99732</v>
      </c>
      <c r="AK34" s="389">
        <v>398893</v>
      </c>
      <c r="AL34" s="390">
        <v>83.68</v>
      </c>
      <c r="AM34" s="391"/>
      <c r="AN34" s="392" t="s">
        <v>545</v>
      </c>
      <c r="AO34" s="388">
        <v>1.7000000000000001E-4</v>
      </c>
      <c r="AP34" s="389">
        <v>99783</v>
      </c>
      <c r="AQ34" s="389">
        <v>399085</v>
      </c>
      <c r="AR34" s="390">
        <v>88.85</v>
      </c>
    </row>
    <row r="35" spans="1:44" ht="15" customHeight="1">
      <c r="A35" s="387" t="s">
        <v>546</v>
      </c>
      <c r="B35" s="388">
        <v>7.2000000000000005E-4</v>
      </c>
      <c r="C35" s="389">
        <v>99304</v>
      </c>
      <c r="D35" s="389">
        <v>496326</v>
      </c>
      <c r="E35" s="390">
        <v>77.180000000000007</v>
      </c>
      <c r="F35" s="391"/>
      <c r="G35" s="387" t="s">
        <v>546</v>
      </c>
      <c r="H35" s="388">
        <v>6.8999999999999997E-4</v>
      </c>
      <c r="I35" s="389">
        <v>99492</v>
      </c>
      <c r="J35" s="389">
        <v>497290</v>
      </c>
      <c r="K35" s="390">
        <v>80.05</v>
      </c>
      <c r="L35" s="387" t="s">
        <v>546</v>
      </c>
      <c r="M35" s="388">
        <v>3.4000000000000002E-4</v>
      </c>
      <c r="N35" s="389">
        <v>99578</v>
      </c>
      <c r="O35" s="389">
        <v>497806</v>
      </c>
      <c r="P35" s="390">
        <v>75.260000000000005</v>
      </c>
      <c r="Q35" s="391"/>
      <c r="R35" s="387" t="s">
        <v>546</v>
      </c>
      <c r="S35" s="388">
        <v>3.4000000000000002E-4</v>
      </c>
      <c r="T35" s="389">
        <v>99620</v>
      </c>
      <c r="U35" s="389">
        <v>498015</v>
      </c>
      <c r="V35" s="390">
        <v>81.93</v>
      </c>
      <c r="W35" s="387" t="s">
        <v>546</v>
      </c>
      <c r="X35" s="388">
        <v>1.7000000000000001E-4</v>
      </c>
      <c r="Y35" s="389">
        <v>99658</v>
      </c>
      <c r="Z35" s="389">
        <v>498251</v>
      </c>
      <c r="AA35" s="390">
        <v>77.66</v>
      </c>
      <c r="AB35" s="391"/>
      <c r="AC35" s="387" t="s">
        <v>546</v>
      </c>
      <c r="AD35" s="388">
        <v>1.7000000000000001E-4</v>
      </c>
      <c r="AE35" s="389">
        <v>99705</v>
      </c>
      <c r="AF35" s="389">
        <v>498485</v>
      </c>
      <c r="AG35" s="390">
        <v>83.53</v>
      </c>
      <c r="AH35" s="387" t="s">
        <v>546</v>
      </c>
      <c r="AI35" s="388">
        <v>9.0000000000000006E-5</v>
      </c>
      <c r="AJ35" s="389">
        <v>99718</v>
      </c>
      <c r="AK35" s="389">
        <v>498570</v>
      </c>
      <c r="AL35" s="390">
        <v>79.7</v>
      </c>
      <c r="AM35" s="391"/>
      <c r="AN35" s="387" t="s">
        <v>546</v>
      </c>
      <c r="AO35" s="388">
        <v>9.0000000000000006E-5</v>
      </c>
      <c r="AP35" s="389">
        <v>99765</v>
      </c>
      <c r="AQ35" s="389">
        <v>498806</v>
      </c>
      <c r="AR35" s="390">
        <v>84.87</v>
      </c>
    </row>
    <row r="36" spans="1:44" ht="15" customHeight="1">
      <c r="A36" s="387" t="s">
        <v>547</v>
      </c>
      <c r="B36" s="388">
        <v>5.9000000000000003E-4</v>
      </c>
      <c r="C36" s="389">
        <v>99232</v>
      </c>
      <c r="D36" s="389">
        <v>496025</v>
      </c>
      <c r="E36" s="390">
        <v>72.239999999999995</v>
      </c>
      <c r="F36" s="391"/>
      <c r="G36" s="387" t="s">
        <v>547</v>
      </c>
      <c r="H36" s="388">
        <v>8.4000000000000003E-4</v>
      </c>
      <c r="I36" s="389">
        <v>99423</v>
      </c>
      <c r="J36" s="389">
        <v>496915</v>
      </c>
      <c r="K36" s="390">
        <v>75.099999999999994</v>
      </c>
      <c r="L36" s="387" t="s">
        <v>547</v>
      </c>
      <c r="M36" s="388">
        <v>5.1999999999999995E-4</v>
      </c>
      <c r="N36" s="389">
        <v>99544</v>
      </c>
      <c r="O36" s="389">
        <v>497612</v>
      </c>
      <c r="P36" s="390">
        <v>70.28</v>
      </c>
      <c r="Q36" s="391"/>
      <c r="R36" s="387" t="s">
        <v>547</v>
      </c>
      <c r="S36" s="388">
        <v>4.4000000000000002E-4</v>
      </c>
      <c r="T36" s="389">
        <v>99586</v>
      </c>
      <c r="U36" s="389">
        <v>497825</v>
      </c>
      <c r="V36" s="390">
        <v>76.95</v>
      </c>
      <c r="W36" s="387" t="s">
        <v>547</v>
      </c>
      <c r="X36" s="388">
        <v>2.7999999999999998E-4</v>
      </c>
      <c r="Y36" s="389">
        <v>99642</v>
      </c>
      <c r="Z36" s="389">
        <v>498151</v>
      </c>
      <c r="AA36" s="390">
        <v>72.67</v>
      </c>
      <c r="AB36" s="391"/>
      <c r="AC36" s="387" t="s">
        <v>547</v>
      </c>
      <c r="AD36" s="388">
        <v>2.3000000000000001E-4</v>
      </c>
      <c r="AE36" s="389">
        <v>99688</v>
      </c>
      <c r="AF36" s="389">
        <v>498388</v>
      </c>
      <c r="AG36" s="390">
        <v>78.540000000000006</v>
      </c>
      <c r="AH36" s="387" t="s">
        <v>547</v>
      </c>
      <c r="AI36" s="388">
        <v>1.4999999999999999E-4</v>
      </c>
      <c r="AJ36" s="389">
        <v>99710</v>
      </c>
      <c r="AK36" s="389">
        <v>498518</v>
      </c>
      <c r="AL36" s="390">
        <v>74.7</v>
      </c>
      <c r="AM36" s="391"/>
      <c r="AN36" s="387" t="s">
        <v>547</v>
      </c>
      <c r="AO36" s="388">
        <v>1.2E-4</v>
      </c>
      <c r="AP36" s="389">
        <v>99757</v>
      </c>
      <c r="AQ36" s="389">
        <v>498756</v>
      </c>
      <c r="AR36" s="390">
        <v>79.87</v>
      </c>
    </row>
    <row r="37" spans="1:44" ht="15" customHeight="1">
      <c r="A37" s="387" t="s">
        <v>548</v>
      </c>
      <c r="B37" s="388">
        <v>1.2999999999999999E-3</v>
      </c>
      <c r="C37" s="389">
        <v>99174</v>
      </c>
      <c r="D37" s="389">
        <v>495568</v>
      </c>
      <c r="E37" s="390">
        <v>67.28</v>
      </c>
      <c r="F37" s="391"/>
      <c r="G37" s="387" t="s">
        <v>548</v>
      </c>
      <c r="H37" s="388">
        <v>1.0200000000000001E-3</v>
      </c>
      <c r="I37" s="389">
        <v>99340</v>
      </c>
      <c r="J37" s="389">
        <v>496461</v>
      </c>
      <c r="K37" s="390">
        <v>70.16</v>
      </c>
      <c r="L37" s="387" t="s">
        <v>548</v>
      </c>
      <c r="M37" s="388">
        <v>1.32E-3</v>
      </c>
      <c r="N37" s="389">
        <v>99493</v>
      </c>
      <c r="O37" s="389">
        <v>497175</v>
      </c>
      <c r="P37" s="390">
        <v>65.319999999999993</v>
      </c>
      <c r="Q37" s="391"/>
      <c r="R37" s="387" t="s">
        <v>548</v>
      </c>
      <c r="S37" s="388">
        <v>5.9999999999999995E-4</v>
      </c>
      <c r="T37" s="389">
        <v>99542</v>
      </c>
      <c r="U37" s="389">
        <v>497568</v>
      </c>
      <c r="V37" s="390">
        <v>71.989999999999995</v>
      </c>
      <c r="W37" s="387" t="s">
        <v>548</v>
      </c>
      <c r="X37" s="388">
        <v>7.7999999999999999E-4</v>
      </c>
      <c r="Y37" s="389">
        <v>99614</v>
      </c>
      <c r="Z37" s="389">
        <v>497898</v>
      </c>
      <c r="AA37" s="390">
        <v>67.69</v>
      </c>
      <c r="AB37" s="391"/>
      <c r="AC37" s="387" t="s">
        <v>548</v>
      </c>
      <c r="AD37" s="388">
        <v>3.5E-4</v>
      </c>
      <c r="AE37" s="389">
        <v>99665</v>
      </c>
      <c r="AF37" s="389">
        <v>498243</v>
      </c>
      <c r="AG37" s="390">
        <v>73.56</v>
      </c>
      <c r="AH37" s="387" t="s">
        <v>548</v>
      </c>
      <c r="AI37" s="388">
        <v>4.6000000000000001E-4</v>
      </c>
      <c r="AJ37" s="389">
        <v>99695</v>
      </c>
      <c r="AK37" s="389">
        <v>498370</v>
      </c>
      <c r="AL37" s="390">
        <v>69.709999999999994</v>
      </c>
      <c r="AM37" s="391"/>
      <c r="AN37" s="387" t="s">
        <v>548</v>
      </c>
      <c r="AO37" s="388">
        <v>2.1000000000000001E-4</v>
      </c>
      <c r="AP37" s="389">
        <v>99744</v>
      </c>
      <c r="AQ37" s="389">
        <v>498673</v>
      </c>
      <c r="AR37" s="390">
        <v>74.88</v>
      </c>
    </row>
    <row r="38" spans="1:44" ht="15" customHeight="1">
      <c r="A38" s="387" t="s">
        <v>549</v>
      </c>
      <c r="B38" s="388">
        <v>2.0300000000000001E-3</v>
      </c>
      <c r="C38" s="389">
        <v>99045</v>
      </c>
      <c r="D38" s="389">
        <v>494770</v>
      </c>
      <c r="E38" s="390">
        <v>62.36</v>
      </c>
      <c r="F38" s="391"/>
      <c r="G38" s="387" t="s">
        <v>549</v>
      </c>
      <c r="H38" s="388">
        <v>1.6299999999999999E-3</v>
      </c>
      <c r="I38" s="389">
        <v>99239</v>
      </c>
      <c r="J38" s="389">
        <v>495821</v>
      </c>
      <c r="K38" s="390">
        <v>65.23</v>
      </c>
      <c r="L38" s="387" t="s">
        <v>549</v>
      </c>
      <c r="M38" s="388">
        <v>2.2399999999999998E-3</v>
      </c>
      <c r="N38" s="389">
        <v>99362</v>
      </c>
      <c r="O38" s="389">
        <v>496293</v>
      </c>
      <c r="P38" s="390">
        <v>60.4</v>
      </c>
      <c r="Q38" s="391"/>
      <c r="R38" s="387" t="s">
        <v>549</v>
      </c>
      <c r="S38" s="388">
        <v>1.01E-3</v>
      </c>
      <c r="T38" s="389">
        <v>99482</v>
      </c>
      <c r="U38" s="389">
        <v>497186</v>
      </c>
      <c r="V38" s="390">
        <v>67.03</v>
      </c>
      <c r="W38" s="387" t="s">
        <v>549</v>
      </c>
      <c r="X38" s="388">
        <v>1.39E-3</v>
      </c>
      <c r="Y38" s="389">
        <v>99537</v>
      </c>
      <c r="Z38" s="389">
        <v>497367</v>
      </c>
      <c r="AA38" s="390">
        <v>62.74</v>
      </c>
      <c r="AB38" s="391"/>
      <c r="AC38" s="387" t="s">
        <v>549</v>
      </c>
      <c r="AD38" s="388">
        <v>6.2E-4</v>
      </c>
      <c r="AE38" s="389">
        <v>99630</v>
      </c>
      <c r="AF38" s="389">
        <v>498014</v>
      </c>
      <c r="AG38" s="390">
        <v>68.59</v>
      </c>
      <c r="AH38" s="387" t="s">
        <v>549</v>
      </c>
      <c r="AI38" s="388">
        <v>8.7000000000000001E-4</v>
      </c>
      <c r="AJ38" s="389">
        <v>99648</v>
      </c>
      <c r="AK38" s="389">
        <v>498048</v>
      </c>
      <c r="AL38" s="390">
        <v>64.739999999999995</v>
      </c>
      <c r="AM38" s="391"/>
      <c r="AN38" s="387" t="s">
        <v>549</v>
      </c>
      <c r="AO38" s="388">
        <v>3.8999999999999999E-4</v>
      </c>
      <c r="AP38" s="389">
        <v>99724</v>
      </c>
      <c r="AQ38" s="389">
        <v>498535</v>
      </c>
      <c r="AR38" s="390">
        <v>69.900000000000006</v>
      </c>
    </row>
    <row r="39" spans="1:44" ht="15" customHeight="1">
      <c r="A39" s="387" t="s">
        <v>550</v>
      </c>
      <c r="B39" s="388">
        <v>2.8900000000000002E-3</v>
      </c>
      <c r="C39" s="389">
        <v>98843</v>
      </c>
      <c r="D39" s="389">
        <v>493511</v>
      </c>
      <c r="E39" s="390">
        <v>57.48</v>
      </c>
      <c r="F39" s="391"/>
      <c r="G39" s="387" t="s">
        <v>550</v>
      </c>
      <c r="H39" s="388">
        <v>2.3600000000000001E-3</v>
      </c>
      <c r="I39" s="389">
        <v>99077</v>
      </c>
      <c r="J39" s="389">
        <v>494830</v>
      </c>
      <c r="K39" s="390">
        <v>60.33</v>
      </c>
      <c r="L39" s="387" t="s">
        <v>550</v>
      </c>
      <c r="M39" s="388">
        <v>3.0699999999999998E-3</v>
      </c>
      <c r="N39" s="389">
        <v>99139</v>
      </c>
      <c r="O39" s="389">
        <v>494958</v>
      </c>
      <c r="P39" s="390">
        <v>55.53</v>
      </c>
      <c r="Q39" s="391"/>
      <c r="R39" s="387" t="s">
        <v>550</v>
      </c>
      <c r="S39" s="388">
        <v>1.5299999999999999E-3</v>
      </c>
      <c r="T39" s="389">
        <v>99382</v>
      </c>
      <c r="U39" s="389">
        <v>496553</v>
      </c>
      <c r="V39" s="390">
        <v>62.09</v>
      </c>
      <c r="W39" s="387" t="s">
        <v>550</v>
      </c>
      <c r="X39" s="388">
        <v>2E-3</v>
      </c>
      <c r="Y39" s="389">
        <v>99398</v>
      </c>
      <c r="Z39" s="389">
        <v>496510</v>
      </c>
      <c r="AA39" s="390">
        <v>57.83</v>
      </c>
      <c r="AB39" s="391"/>
      <c r="AC39" s="387" t="s">
        <v>550</v>
      </c>
      <c r="AD39" s="388">
        <v>9.8999999999999999E-4</v>
      </c>
      <c r="AE39" s="389">
        <v>99569</v>
      </c>
      <c r="AF39" s="389">
        <v>497611</v>
      </c>
      <c r="AG39" s="390">
        <v>63.63</v>
      </c>
      <c r="AH39" s="387" t="s">
        <v>550</v>
      </c>
      <c r="AI39" s="388">
        <v>1.32E-3</v>
      </c>
      <c r="AJ39" s="389">
        <v>99562</v>
      </c>
      <c r="AK39" s="389">
        <v>497494</v>
      </c>
      <c r="AL39" s="390">
        <v>59.8</v>
      </c>
      <c r="AM39" s="391"/>
      <c r="AN39" s="387" t="s">
        <v>550</v>
      </c>
      <c r="AO39" s="388">
        <v>6.4999999999999997E-4</v>
      </c>
      <c r="AP39" s="389">
        <v>99685</v>
      </c>
      <c r="AQ39" s="389">
        <v>498275</v>
      </c>
      <c r="AR39" s="390">
        <v>64.92</v>
      </c>
    </row>
    <row r="40" spans="1:44" ht="15" customHeight="1">
      <c r="A40" s="387" t="s">
        <v>551</v>
      </c>
      <c r="B40" s="388">
        <v>3.3999999999999998E-3</v>
      </c>
      <c r="C40" s="389">
        <v>98557</v>
      </c>
      <c r="D40" s="389">
        <v>491976</v>
      </c>
      <c r="E40" s="390">
        <v>52.64</v>
      </c>
      <c r="F40" s="391"/>
      <c r="G40" s="387" t="s">
        <v>551</v>
      </c>
      <c r="H40" s="388">
        <v>3.2699999999999999E-3</v>
      </c>
      <c r="I40" s="389">
        <v>98844</v>
      </c>
      <c r="J40" s="389">
        <v>493458</v>
      </c>
      <c r="K40" s="390">
        <v>55.47</v>
      </c>
      <c r="L40" s="387" t="s">
        <v>551</v>
      </c>
      <c r="M40" s="388">
        <v>3.63E-3</v>
      </c>
      <c r="N40" s="389">
        <v>98835</v>
      </c>
      <c r="O40" s="389">
        <v>493308</v>
      </c>
      <c r="P40" s="390">
        <v>50.69</v>
      </c>
      <c r="Q40" s="391"/>
      <c r="R40" s="387" t="s">
        <v>551</v>
      </c>
      <c r="S40" s="388">
        <v>2.1800000000000001E-3</v>
      </c>
      <c r="T40" s="389">
        <v>99231</v>
      </c>
      <c r="U40" s="389">
        <v>495647</v>
      </c>
      <c r="V40" s="390">
        <v>57.18</v>
      </c>
      <c r="W40" s="387" t="s">
        <v>551</v>
      </c>
      <c r="X40" s="388">
        <v>2.4399999999999999E-3</v>
      </c>
      <c r="Y40" s="389">
        <v>99199</v>
      </c>
      <c r="Z40" s="389">
        <v>495414</v>
      </c>
      <c r="AA40" s="390">
        <v>52.94</v>
      </c>
      <c r="AB40" s="391"/>
      <c r="AC40" s="387" t="s">
        <v>551</v>
      </c>
      <c r="AD40" s="388">
        <v>1.4599999999999999E-3</v>
      </c>
      <c r="AE40" s="389">
        <v>99470</v>
      </c>
      <c r="AF40" s="389">
        <v>497013</v>
      </c>
      <c r="AG40" s="390">
        <v>58.69</v>
      </c>
      <c r="AH40" s="387" t="s">
        <v>551</v>
      </c>
      <c r="AI40" s="388">
        <v>1.65E-3</v>
      </c>
      <c r="AJ40" s="389">
        <v>99431</v>
      </c>
      <c r="AK40" s="389">
        <v>496762</v>
      </c>
      <c r="AL40" s="390">
        <v>54.87</v>
      </c>
      <c r="AM40" s="391"/>
      <c r="AN40" s="387" t="s">
        <v>551</v>
      </c>
      <c r="AO40" s="388">
        <v>9.7999999999999997E-4</v>
      </c>
      <c r="AP40" s="389">
        <v>99621</v>
      </c>
      <c r="AQ40" s="389">
        <v>497879</v>
      </c>
      <c r="AR40" s="390">
        <v>59.96</v>
      </c>
    </row>
    <row r="41" spans="1:44" ht="15" customHeight="1">
      <c r="A41" s="387" t="s">
        <v>552</v>
      </c>
      <c r="B41" s="388">
        <v>4.3E-3</v>
      </c>
      <c r="C41" s="389">
        <v>98222</v>
      </c>
      <c r="D41" s="389">
        <v>490122</v>
      </c>
      <c r="E41" s="390">
        <v>47.81</v>
      </c>
      <c r="F41" s="391"/>
      <c r="G41" s="387" t="s">
        <v>552</v>
      </c>
      <c r="H41" s="388">
        <v>4.4000000000000003E-3</v>
      </c>
      <c r="I41" s="389">
        <v>98520</v>
      </c>
      <c r="J41" s="389">
        <v>491546</v>
      </c>
      <c r="K41" s="390">
        <v>50.64</v>
      </c>
      <c r="L41" s="387" t="s">
        <v>552</v>
      </c>
      <c r="M41" s="388">
        <v>5.3600000000000002E-3</v>
      </c>
      <c r="N41" s="389">
        <v>98476</v>
      </c>
      <c r="O41" s="389">
        <v>491168</v>
      </c>
      <c r="P41" s="390">
        <v>45.87</v>
      </c>
      <c r="Q41" s="391"/>
      <c r="R41" s="387" t="s">
        <v>552</v>
      </c>
      <c r="S41" s="388">
        <v>3.0599999999999998E-3</v>
      </c>
      <c r="T41" s="389">
        <v>99014</v>
      </c>
      <c r="U41" s="389">
        <v>494337</v>
      </c>
      <c r="V41" s="390">
        <v>52.3</v>
      </c>
      <c r="W41" s="387" t="s">
        <v>552</v>
      </c>
      <c r="X41" s="388">
        <v>3.7599999999999999E-3</v>
      </c>
      <c r="Y41" s="389">
        <v>98957</v>
      </c>
      <c r="Z41" s="389">
        <v>493935</v>
      </c>
      <c r="AA41" s="390">
        <v>48.06</v>
      </c>
      <c r="AB41" s="391"/>
      <c r="AC41" s="387" t="s">
        <v>552</v>
      </c>
      <c r="AD41" s="388">
        <v>2.1299999999999999E-3</v>
      </c>
      <c r="AE41" s="389">
        <v>99325</v>
      </c>
      <c r="AF41" s="389">
        <v>496117</v>
      </c>
      <c r="AG41" s="390">
        <v>53.77</v>
      </c>
      <c r="AH41" s="387" t="s">
        <v>552</v>
      </c>
      <c r="AI41" s="388">
        <v>2.66E-3</v>
      </c>
      <c r="AJ41" s="389">
        <v>99267</v>
      </c>
      <c r="AK41" s="389">
        <v>495737</v>
      </c>
      <c r="AL41" s="390">
        <v>49.96</v>
      </c>
      <c r="AM41" s="391"/>
      <c r="AN41" s="387" t="s">
        <v>552</v>
      </c>
      <c r="AO41" s="388">
        <v>1.5E-3</v>
      </c>
      <c r="AP41" s="389">
        <v>99523</v>
      </c>
      <c r="AQ41" s="389">
        <v>497262</v>
      </c>
      <c r="AR41" s="390">
        <v>55.02</v>
      </c>
    </row>
    <row r="42" spans="1:44" ht="15" customHeight="1">
      <c r="A42" s="387" t="s">
        <v>553</v>
      </c>
      <c r="B42" s="388">
        <v>6.1900000000000002E-3</v>
      </c>
      <c r="C42" s="389">
        <v>97800</v>
      </c>
      <c r="D42" s="389">
        <v>487577</v>
      </c>
      <c r="E42" s="390">
        <v>43.01</v>
      </c>
      <c r="F42" s="391"/>
      <c r="G42" s="387" t="s">
        <v>553</v>
      </c>
      <c r="H42" s="388">
        <v>5.0600000000000003E-3</v>
      </c>
      <c r="I42" s="389">
        <v>98087</v>
      </c>
      <c r="J42" s="389">
        <v>489239</v>
      </c>
      <c r="K42" s="390">
        <v>45.85</v>
      </c>
      <c r="L42" s="387" t="s">
        <v>553</v>
      </c>
      <c r="M42" s="388">
        <v>9.11E-3</v>
      </c>
      <c r="N42" s="389">
        <v>97948</v>
      </c>
      <c r="O42" s="389">
        <v>487686</v>
      </c>
      <c r="P42" s="390">
        <v>41.1</v>
      </c>
      <c r="Q42" s="391"/>
      <c r="R42" s="387" t="s">
        <v>553</v>
      </c>
      <c r="S42" s="388">
        <v>3.6099999999999999E-3</v>
      </c>
      <c r="T42" s="389">
        <v>98711</v>
      </c>
      <c r="U42" s="389">
        <v>492700</v>
      </c>
      <c r="V42" s="390">
        <v>47.46</v>
      </c>
      <c r="W42" s="387" t="s">
        <v>553</v>
      </c>
      <c r="X42" s="388">
        <v>6.5399999999999998E-3</v>
      </c>
      <c r="Y42" s="389">
        <v>98584</v>
      </c>
      <c r="Z42" s="389">
        <v>491442</v>
      </c>
      <c r="AA42" s="390">
        <v>43.23</v>
      </c>
      <c r="AB42" s="391"/>
      <c r="AC42" s="387" t="s">
        <v>553</v>
      </c>
      <c r="AD42" s="388">
        <v>2.5699999999999998E-3</v>
      </c>
      <c r="AE42" s="389">
        <v>99113</v>
      </c>
      <c r="AF42" s="389">
        <v>494957</v>
      </c>
      <c r="AG42" s="390">
        <v>48.88</v>
      </c>
      <c r="AH42" s="387" t="s">
        <v>553</v>
      </c>
      <c r="AI42" s="388">
        <v>4.7099999999999998E-3</v>
      </c>
      <c r="AJ42" s="389">
        <v>99003</v>
      </c>
      <c r="AK42" s="389">
        <v>493949</v>
      </c>
      <c r="AL42" s="390">
        <v>45.09</v>
      </c>
      <c r="AM42" s="391"/>
      <c r="AN42" s="387" t="s">
        <v>553</v>
      </c>
      <c r="AO42" s="388">
        <v>1.8400000000000001E-3</v>
      </c>
      <c r="AP42" s="389">
        <v>99375</v>
      </c>
      <c r="AQ42" s="389">
        <v>496437</v>
      </c>
      <c r="AR42" s="390">
        <v>50.1</v>
      </c>
    </row>
    <row r="43" spans="1:44" ht="15" customHeight="1">
      <c r="A43" s="387" t="s">
        <v>554</v>
      </c>
      <c r="B43" s="388">
        <v>1.025E-2</v>
      </c>
      <c r="C43" s="389">
        <v>97195</v>
      </c>
      <c r="D43" s="389">
        <v>483637</v>
      </c>
      <c r="E43" s="390">
        <v>38.26</v>
      </c>
      <c r="F43" s="391"/>
      <c r="G43" s="387" t="s">
        <v>554</v>
      </c>
      <c r="H43" s="388">
        <v>7.5199999999999998E-3</v>
      </c>
      <c r="I43" s="389">
        <v>97590</v>
      </c>
      <c r="J43" s="389">
        <v>486247</v>
      </c>
      <c r="K43" s="390">
        <v>41.07</v>
      </c>
      <c r="L43" s="387" t="s">
        <v>554</v>
      </c>
      <c r="M43" s="388">
        <v>1.434E-2</v>
      </c>
      <c r="N43" s="389">
        <v>97056</v>
      </c>
      <c r="O43" s="389">
        <v>482031</v>
      </c>
      <c r="P43" s="390">
        <v>36.450000000000003</v>
      </c>
      <c r="Q43" s="391"/>
      <c r="R43" s="387" t="s">
        <v>554</v>
      </c>
      <c r="S43" s="388">
        <v>5.4400000000000004E-3</v>
      </c>
      <c r="T43" s="389">
        <v>98355</v>
      </c>
      <c r="U43" s="389">
        <v>490532</v>
      </c>
      <c r="V43" s="390">
        <v>42.62</v>
      </c>
      <c r="W43" s="387" t="s">
        <v>554</v>
      </c>
      <c r="X43" s="388">
        <v>1.0449999999999999E-2</v>
      </c>
      <c r="Y43" s="389">
        <v>97940</v>
      </c>
      <c r="Z43" s="389">
        <v>487314</v>
      </c>
      <c r="AA43" s="390">
        <v>38.5</v>
      </c>
      <c r="AB43" s="391"/>
      <c r="AC43" s="387" t="s">
        <v>554</v>
      </c>
      <c r="AD43" s="388">
        <v>3.9300000000000003E-3</v>
      </c>
      <c r="AE43" s="389">
        <v>98858</v>
      </c>
      <c r="AF43" s="389">
        <v>493391</v>
      </c>
      <c r="AG43" s="390">
        <v>44</v>
      </c>
      <c r="AH43" s="387" t="s">
        <v>554</v>
      </c>
      <c r="AI43" s="388">
        <v>7.6400000000000001E-3</v>
      </c>
      <c r="AJ43" s="389">
        <v>98537</v>
      </c>
      <c r="AK43" s="389">
        <v>490934</v>
      </c>
      <c r="AL43" s="390">
        <v>40.29</v>
      </c>
      <c r="AM43" s="391"/>
      <c r="AN43" s="387" t="s">
        <v>554</v>
      </c>
      <c r="AO43" s="388">
        <v>2.8600000000000001E-3</v>
      </c>
      <c r="AP43" s="389">
        <v>99191</v>
      </c>
      <c r="AQ43" s="389">
        <v>495301</v>
      </c>
      <c r="AR43" s="390">
        <v>45.19</v>
      </c>
    </row>
    <row r="44" spans="1:44" ht="15" customHeight="1">
      <c r="A44" s="387" t="s">
        <v>555</v>
      </c>
      <c r="B44" s="388">
        <v>1.406E-2</v>
      </c>
      <c r="C44" s="389">
        <v>96199</v>
      </c>
      <c r="D44" s="389">
        <v>477714</v>
      </c>
      <c r="E44" s="390">
        <v>33.630000000000003</v>
      </c>
      <c r="F44" s="391"/>
      <c r="G44" s="387" t="s">
        <v>555</v>
      </c>
      <c r="H44" s="388">
        <v>1.068E-2</v>
      </c>
      <c r="I44" s="389">
        <v>96857</v>
      </c>
      <c r="J44" s="389">
        <v>481800</v>
      </c>
      <c r="K44" s="390">
        <v>36.36</v>
      </c>
      <c r="L44" s="387" t="s">
        <v>555</v>
      </c>
      <c r="M44" s="388">
        <v>2.1389999999999999E-2</v>
      </c>
      <c r="N44" s="389">
        <v>95664</v>
      </c>
      <c r="O44" s="389">
        <v>473483</v>
      </c>
      <c r="P44" s="390">
        <v>31.94</v>
      </c>
      <c r="Q44" s="391"/>
      <c r="R44" s="387" t="s">
        <v>555</v>
      </c>
      <c r="S44" s="388">
        <v>7.7099999999999998E-3</v>
      </c>
      <c r="T44" s="389">
        <v>97820</v>
      </c>
      <c r="U44" s="389">
        <v>487288</v>
      </c>
      <c r="V44" s="390">
        <v>37.840000000000003</v>
      </c>
      <c r="W44" s="387" t="s">
        <v>555</v>
      </c>
      <c r="X44" s="388">
        <v>1.5570000000000001E-2</v>
      </c>
      <c r="Y44" s="389">
        <v>96916</v>
      </c>
      <c r="Z44" s="389">
        <v>481014</v>
      </c>
      <c r="AA44" s="390">
        <v>33.880000000000003</v>
      </c>
      <c r="AB44" s="391"/>
      <c r="AC44" s="387" t="s">
        <v>555</v>
      </c>
      <c r="AD44" s="388">
        <v>5.5700000000000003E-3</v>
      </c>
      <c r="AE44" s="389">
        <v>98470</v>
      </c>
      <c r="AF44" s="389">
        <v>491030</v>
      </c>
      <c r="AG44" s="390">
        <v>39.159999999999997</v>
      </c>
      <c r="AH44" s="387" t="s">
        <v>555</v>
      </c>
      <c r="AI44" s="388">
        <v>1.136E-2</v>
      </c>
      <c r="AJ44" s="389">
        <v>97784</v>
      </c>
      <c r="AK44" s="389">
        <v>486293</v>
      </c>
      <c r="AL44" s="390">
        <v>35.58</v>
      </c>
      <c r="AM44" s="391"/>
      <c r="AN44" s="387" t="s">
        <v>555</v>
      </c>
      <c r="AO44" s="388">
        <v>4.0400000000000002E-3</v>
      </c>
      <c r="AP44" s="389">
        <v>98908</v>
      </c>
      <c r="AQ44" s="389">
        <v>493577</v>
      </c>
      <c r="AR44" s="390">
        <v>40.31</v>
      </c>
    </row>
    <row r="45" spans="1:44" ht="15" customHeight="1">
      <c r="A45" s="387" t="s">
        <v>556</v>
      </c>
      <c r="B45" s="388">
        <v>1.882E-2</v>
      </c>
      <c r="C45" s="389">
        <v>94846</v>
      </c>
      <c r="D45" s="389">
        <v>470141</v>
      </c>
      <c r="E45" s="390">
        <v>29.07</v>
      </c>
      <c r="F45" s="391"/>
      <c r="G45" s="387" t="s">
        <v>556</v>
      </c>
      <c r="H45" s="388">
        <v>1.387E-2</v>
      </c>
      <c r="I45" s="389">
        <v>95822</v>
      </c>
      <c r="J45" s="389">
        <v>475948</v>
      </c>
      <c r="K45" s="390">
        <v>31.73</v>
      </c>
      <c r="L45" s="387" t="s">
        <v>556</v>
      </c>
      <c r="M45" s="388">
        <v>2.955E-2</v>
      </c>
      <c r="N45" s="389">
        <v>93618</v>
      </c>
      <c r="O45" s="389">
        <v>461483</v>
      </c>
      <c r="P45" s="390">
        <v>27.59</v>
      </c>
      <c r="Q45" s="391"/>
      <c r="R45" s="387" t="s">
        <v>556</v>
      </c>
      <c r="S45" s="388">
        <v>1.0030000000000001E-2</v>
      </c>
      <c r="T45" s="389">
        <v>97065</v>
      </c>
      <c r="U45" s="389">
        <v>483012</v>
      </c>
      <c r="V45" s="390">
        <v>33.11</v>
      </c>
      <c r="W45" s="387" t="s">
        <v>556</v>
      </c>
      <c r="X45" s="388">
        <v>2.1520000000000001E-2</v>
      </c>
      <c r="Y45" s="389">
        <v>95408</v>
      </c>
      <c r="Z45" s="389">
        <v>472143</v>
      </c>
      <c r="AA45" s="390">
        <v>29.37</v>
      </c>
      <c r="AB45" s="391"/>
      <c r="AC45" s="387" t="s">
        <v>556</v>
      </c>
      <c r="AD45" s="388">
        <v>7.26E-3</v>
      </c>
      <c r="AE45" s="389">
        <v>97921</v>
      </c>
      <c r="AF45" s="389">
        <v>487918</v>
      </c>
      <c r="AG45" s="390">
        <v>34.369999999999997</v>
      </c>
      <c r="AH45" s="387" t="s">
        <v>556</v>
      </c>
      <c r="AI45" s="388">
        <v>1.575E-2</v>
      </c>
      <c r="AJ45" s="389">
        <v>96673</v>
      </c>
      <c r="AK45" s="389">
        <v>479740</v>
      </c>
      <c r="AL45" s="390">
        <v>30.95</v>
      </c>
      <c r="AM45" s="391"/>
      <c r="AN45" s="387" t="s">
        <v>556</v>
      </c>
      <c r="AO45" s="388">
        <v>5.28E-3</v>
      </c>
      <c r="AP45" s="389">
        <v>98508</v>
      </c>
      <c r="AQ45" s="389">
        <v>491305</v>
      </c>
      <c r="AR45" s="390">
        <v>35.46</v>
      </c>
    </row>
    <row r="46" spans="1:44" ht="15" customHeight="1">
      <c r="A46" s="387" t="s">
        <v>557</v>
      </c>
      <c r="B46" s="388">
        <v>2.826E-2</v>
      </c>
      <c r="C46" s="389">
        <v>93061</v>
      </c>
      <c r="D46" s="389">
        <v>459048</v>
      </c>
      <c r="E46" s="390">
        <v>24.58</v>
      </c>
      <c r="F46" s="391"/>
      <c r="G46" s="387" t="s">
        <v>557</v>
      </c>
      <c r="H46" s="388">
        <v>2.1170000000000001E-2</v>
      </c>
      <c r="I46" s="389">
        <v>94493</v>
      </c>
      <c r="J46" s="389">
        <v>467853</v>
      </c>
      <c r="K46" s="390">
        <v>27.14</v>
      </c>
      <c r="L46" s="387" t="s">
        <v>557</v>
      </c>
      <c r="M46" s="388">
        <v>4.258E-2</v>
      </c>
      <c r="N46" s="389">
        <v>90852</v>
      </c>
      <c r="O46" s="389">
        <v>445226</v>
      </c>
      <c r="P46" s="390">
        <v>23.35</v>
      </c>
      <c r="Q46" s="391"/>
      <c r="R46" s="387" t="s">
        <v>557</v>
      </c>
      <c r="S46" s="388">
        <v>1.5429999999999999E-2</v>
      </c>
      <c r="T46" s="389">
        <v>96091</v>
      </c>
      <c r="U46" s="389">
        <v>477053</v>
      </c>
      <c r="V46" s="390">
        <v>28.42</v>
      </c>
      <c r="W46" s="387" t="s">
        <v>557</v>
      </c>
      <c r="X46" s="388">
        <v>3.1269999999999999E-2</v>
      </c>
      <c r="Y46" s="389">
        <v>93355</v>
      </c>
      <c r="Z46" s="389">
        <v>459991</v>
      </c>
      <c r="AA46" s="390">
        <v>24.96</v>
      </c>
      <c r="AB46" s="391"/>
      <c r="AC46" s="387" t="s">
        <v>557</v>
      </c>
      <c r="AD46" s="388">
        <v>1.124E-2</v>
      </c>
      <c r="AE46" s="389">
        <v>97211</v>
      </c>
      <c r="AF46" s="389">
        <v>483554</v>
      </c>
      <c r="AG46" s="390">
        <v>29.6</v>
      </c>
      <c r="AH46" s="387" t="s">
        <v>557</v>
      </c>
      <c r="AI46" s="388">
        <v>2.3050000000000001E-2</v>
      </c>
      <c r="AJ46" s="389">
        <v>95151</v>
      </c>
      <c r="AK46" s="389">
        <v>470681</v>
      </c>
      <c r="AL46" s="390">
        <v>26.41</v>
      </c>
      <c r="AM46" s="391"/>
      <c r="AN46" s="387" t="s">
        <v>557</v>
      </c>
      <c r="AO46" s="388">
        <v>8.2299999999999995E-3</v>
      </c>
      <c r="AP46" s="389">
        <v>97988</v>
      </c>
      <c r="AQ46" s="389">
        <v>488102</v>
      </c>
      <c r="AR46" s="390">
        <v>30.64</v>
      </c>
    </row>
    <row r="47" spans="1:44" ht="15" customHeight="1">
      <c r="A47" s="387" t="s">
        <v>558</v>
      </c>
      <c r="B47" s="388">
        <v>4.1579999999999999E-2</v>
      </c>
      <c r="C47" s="389">
        <v>90431</v>
      </c>
      <c r="D47" s="389">
        <v>443323</v>
      </c>
      <c r="E47" s="390">
        <v>20.21</v>
      </c>
      <c r="F47" s="391"/>
      <c r="G47" s="387" t="s">
        <v>558</v>
      </c>
      <c r="H47" s="388">
        <v>3.6290000000000003E-2</v>
      </c>
      <c r="I47" s="389">
        <v>92493</v>
      </c>
      <c r="J47" s="389">
        <v>454791</v>
      </c>
      <c r="K47" s="390">
        <v>22.67</v>
      </c>
      <c r="L47" s="387" t="s">
        <v>558</v>
      </c>
      <c r="M47" s="388">
        <v>7.0319999999999994E-2</v>
      </c>
      <c r="N47" s="389">
        <v>86983</v>
      </c>
      <c r="O47" s="389">
        <v>420725</v>
      </c>
      <c r="P47" s="390">
        <v>19.27</v>
      </c>
      <c r="Q47" s="391"/>
      <c r="R47" s="387" t="s">
        <v>558</v>
      </c>
      <c r="S47" s="388">
        <v>2.7470000000000001E-2</v>
      </c>
      <c r="T47" s="389">
        <v>94609</v>
      </c>
      <c r="U47" s="389">
        <v>467158</v>
      </c>
      <c r="V47" s="390">
        <v>23.82</v>
      </c>
      <c r="W47" s="387" t="s">
        <v>558</v>
      </c>
      <c r="X47" s="388">
        <v>5.3560000000000003E-2</v>
      </c>
      <c r="Y47" s="389">
        <v>90435</v>
      </c>
      <c r="Z47" s="389">
        <v>441050</v>
      </c>
      <c r="AA47" s="390">
        <v>20.68</v>
      </c>
      <c r="AB47" s="391"/>
      <c r="AC47" s="387" t="s">
        <v>558</v>
      </c>
      <c r="AD47" s="388">
        <v>2.0729999999999998E-2</v>
      </c>
      <c r="AE47" s="389">
        <v>96118</v>
      </c>
      <c r="AF47" s="389">
        <v>476114</v>
      </c>
      <c r="AG47" s="390">
        <v>24.9</v>
      </c>
      <c r="AH47" s="387" t="s">
        <v>558</v>
      </c>
      <c r="AI47" s="388">
        <v>4.088E-2</v>
      </c>
      <c r="AJ47" s="389">
        <v>92958</v>
      </c>
      <c r="AK47" s="389">
        <v>456141</v>
      </c>
      <c r="AL47" s="390">
        <v>21.97</v>
      </c>
      <c r="AM47" s="391"/>
      <c r="AN47" s="387" t="s">
        <v>558</v>
      </c>
      <c r="AO47" s="388">
        <v>1.5730000000000001E-2</v>
      </c>
      <c r="AP47" s="389">
        <v>97182</v>
      </c>
      <c r="AQ47" s="389">
        <v>482501</v>
      </c>
      <c r="AR47" s="390">
        <v>25.87</v>
      </c>
    </row>
    <row r="48" spans="1:44" ht="15" customHeight="1">
      <c r="A48" s="387" t="s">
        <v>559</v>
      </c>
      <c r="B48" s="388">
        <v>7.8390000000000001E-2</v>
      </c>
      <c r="C48" s="389">
        <v>86671</v>
      </c>
      <c r="D48" s="389">
        <v>418093</v>
      </c>
      <c r="E48" s="390">
        <v>15.98</v>
      </c>
      <c r="F48" s="391"/>
      <c r="G48" s="387" t="s">
        <v>559</v>
      </c>
      <c r="H48" s="388">
        <v>6.4659999999999995E-2</v>
      </c>
      <c r="I48" s="389">
        <v>89137</v>
      </c>
      <c r="J48" s="389">
        <v>432523</v>
      </c>
      <c r="K48" s="390">
        <v>18.420000000000002</v>
      </c>
      <c r="L48" s="387" t="s">
        <v>559</v>
      </c>
      <c r="M48" s="388">
        <v>0.11332</v>
      </c>
      <c r="N48" s="389">
        <v>80867</v>
      </c>
      <c r="O48" s="389">
        <v>382795</v>
      </c>
      <c r="P48" s="390">
        <v>15.52</v>
      </c>
      <c r="Q48" s="391"/>
      <c r="R48" s="387" t="s">
        <v>559</v>
      </c>
      <c r="S48" s="388">
        <v>5.1220000000000002E-2</v>
      </c>
      <c r="T48" s="389">
        <v>92011</v>
      </c>
      <c r="U48" s="389">
        <v>449389</v>
      </c>
      <c r="V48" s="390">
        <v>19.420000000000002</v>
      </c>
      <c r="W48" s="387" t="s">
        <v>559</v>
      </c>
      <c r="X48" s="388">
        <v>9.0249999999999997E-2</v>
      </c>
      <c r="Y48" s="389">
        <v>85592</v>
      </c>
      <c r="Z48" s="389">
        <v>409997</v>
      </c>
      <c r="AA48" s="390">
        <v>16.7</v>
      </c>
      <c r="AB48" s="391"/>
      <c r="AC48" s="387" t="s">
        <v>559</v>
      </c>
      <c r="AD48" s="388">
        <v>4.0430000000000001E-2</v>
      </c>
      <c r="AE48" s="389">
        <v>94126</v>
      </c>
      <c r="AF48" s="389">
        <v>462093</v>
      </c>
      <c r="AG48" s="390">
        <v>20.37</v>
      </c>
      <c r="AH48" s="387" t="s">
        <v>559</v>
      </c>
      <c r="AI48" s="388">
        <v>7.1989999999999998E-2</v>
      </c>
      <c r="AJ48" s="389">
        <v>89158</v>
      </c>
      <c r="AK48" s="389">
        <v>431014</v>
      </c>
      <c r="AL48" s="390">
        <v>17.79</v>
      </c>
      <c r="AM48" s="391"/>
      <c r="AN48" s="387" t="s">
        <v>559</v>
      </c>
      <c r="AO48" s="388">
        <v>3.2009999999999997E-2</v>
      </c>
      <c r="AP48" s="389">
        <v>95653</v>
      </c>
      <c r="AQ48" s="389">
        <v>471455</v>
      </c>
      <c r="AR48" s="390">
        <v>21.24</v>
      </c>
    </row>
    <row r="49" spans="1:44" ht="15" customHeight="1">
      <c r="A49" s="387" t="s">
        <v>560</v>
      </c>
      <c r="B49" s="388">
        <v>0.16242999999999999</v>
      </c>
      <c r="C49" s="389">
        <v>79877</v>
      </c>
      <c r="D49" s="389">
        <v>370199</v>
      </c>
      <c r="E49" s="390">
        <v>12.1</v>
      </c>
      <c r="F49" s="391"/>
      <c r="G49" s="387" t="s">
        <v>560</v>
      </c>
      <c r="H49" s="388">
        <v>0.11414000000000001</v>
      </c>
      <c r="I49" s="389">
        <v>83374</v>
      </c>
      <c r="J49" s="389">
        <v>394856</v>
      </c>
      <c r="K49" s="390">
        <v>14.5</v>
      </c>
      <c r="L49" s="387" t="s">
        <v>560</v>
      </c>
      <c r="M49" s="388">
        <v>0.18068000000000001</v>
      </c>
      <c r="N49" s="389">
        <v>71703</v>
      </c>
      <c r="O49" s="389">
        <v>327686</v>
      </c>
      <c r="P49" s="390">
        <v>12.17</v>
      </c>
      <c r="Q49" s="391"/>
      <c r="R49" s="387" t="s">
        <v>560</v>
      </c>
      <c r="S49" s="388">
        <v>9.4689999999999996E-2</v>
      </c>
      <c r="T49" s="389">
        <v>87298</v>
      </c>
      <c r="U49" s="389">
        <v>417583</v>
      </c>
      <c r="V49" s="390">
        <v>15.32</v>
      </c>
      <c r="W49" s="387" t="s">
        <v>560</v>
      </c>
      <c r="X49" s="388">
        <v>0.15062</v>
      </c>
      <c r="Y49" s="389">
        <v>77867</v>
      </c>
      <c r="Z49" s="389">
        <v>361794</v>
      </c>
      <c r="AA49" s="390">
        <v>13.09</v>
      </c>
      <c r="AB49" s="391"/>
      <c r="AC49" s="387" t="s">
        <v>560</v>
      </c>
      <c r="AD49" s="388">
        <v>7.8179999999999999E-2</v>
      </c>
      <c r="AE49" s="389">
        <v>90321</v>
      </c>
      <c r="AF49" s="389">
        <v>435622</v>
      </c>
      <c r="AG49" s="390">
        <v>16.11</v>
      </c>
      <c r="AH49" s="387" t="s">
        <v>560</v>
      </c>
      <c r="AI49" s="388">
        <v>0.12565999999999999</v>
      </c>
      <c r="AJ49" s="389">
        <v>82739</v>
      </c>
      <c r="AK49" s="389">
        <v>389570</v>
      </c>
      <c r="AL49" s="390">
        <v>13.96</v>
      </c>
      <c r="AM49" s="391"/>
      <c r="AN49" s="387" t="s">
        <v>560</v>
      </c>
      <c r="AO49" s="388">
        <v>6.4710000000000004E-2</v>
      </c>
      <c r="AP49" s="389">
        <v>92592</v>
      </c>
      <c r="AQ49" s="389">
        <v>449533</v>
      </c>
      <c r="AR49" s="390">
        <v>16.850000000000001</v>
      </c>
    </row>
    <row r="50" spans="1:44" ht="15" customHeight="1">
      <c r="A50" s="387" t="s">
        <v>561</v>
      </c>
      <c r="B50" s="388">
        <v>0.28361999999999998</v>
      </c>
      <c r="C50" s="389">
        <v>66902</v>
      </c>
      <c r="D50" s="389">
        <v>288989</v>
      </c>
      <c r="E50" s="390">
        <v>8.91</v>
      </c>
      <c r="F50" s="391"/>
      <c r="G50" s="387" t="s">
        <v>561</v>
      </c>
      <c r="H50" s="388">
        <v>0.19603999999999999</v>
      </c>
      <c r="I50" s="389">
        <v>73857</v>
      </c>
      <c r="J50" s="389">
        <v>335206</v>
      </c>
      <c r="K50" s="390">
        <v>11.03</v>
      </c>
      <c r="L50" s="387" t="s">
        <v>561</v>
      </c>
      <c r="M50" s="388">
        <v>0.27950999999999998</v>
      </c>
      <c r="N50" s="389">
        <v>58748</v>
      </c>
      <c r="O50" s="389">
        <v>253787</v>
      </c>
      <c r="P50" s="390">
        <v>9.27</v>
      </c>
      <c r="Q50" s="391"/>
      <c r="R50" s="387" t="s">
        <v>561</v>
      </c>
      <c r="S50" s="388">
        <v>0.17058999999999999</v>
      </c>
      <c r="T50" s="389">
        <v>79032</v>
      </c>
      <c r="U50" s="389">
        <v>363822</v>
      </c>
      <c r="V50" s="390">
        <v>11.64</v>
      </c>
      <c r="W50" s="387" t="s">
        <v>561</v>
      </c>
      <c r="X50" s="388">
        <v>0.24432999999999999</v>
      </c>
      <c r="Y50" s="389">
        <v>66139</v>
      </c>
      <c r="Z50" s="389">
        <v>291952</v>
      </c>
      <c r="AA50" s="390">
        <v>9.94</v>
      </c>
      <c r="AB50" s="391"/>
      <c r="AC50" s="387" t="s">
        <v>561</v>
      </c>
      <c r="AD50" s="388">
        <v>0.14762</v>
      </c>
      <c r="AE50" s="389">
        <v>83259</v>
      </c>
      <c r="AF50" s="389">
        <v>388071</v>
      </c>
      <c r="AG50" s="390">
        <v>12.25</v>
      </c>
      <c r="AH50" s="387" t="s">
        <v>561</v>
      </c>
      <c r="AI50" s="388">
        <v>0.21343000000000001</v>
      </c>
      <c r="AJ50" s="389">
        <v>72342</v>
      </c>
      <c r="AK50" s="389">
        <v>325194</v>
      </c>
      <c r="AL50" s="390">
        <v>10.58</v>
      </c>
      <c r="AM50" s="391"/>
      <c r="AN50" s="387" t="s">
        <v>561</v>
      </c>
      <c r="AO50" s="388">
        <v>0.128</v>
      </c>
      <c r="AP50" s="389">
        <v>86600</v>
      </c>
      <c r="AQ50" s="389">
        <v>407826</v>
      </c>
      <c r="AR50" s="390">
        <v>12.82</v>
      </c>
    </row>
    <row r="51" spans="1:44" ht="15" customHeight="1">
      <c r="A51" s="387" t="s">
        <v>433</v>
      </c>
      <c r="B51" s="388">
        <v>0.45066000000000001</v>
      </c>
      <c r="C51" s="389">
        <v>47927</v>
      </c>
      <c r="D51" s="389">
        <v>185097</v>
      </c>
      <c r="E51" s="390">
        <v>6.41</v>
      </c>
      <c r="F51" s="391"/>
      <c r="G51" s="387" t="s">
        <v>433</v>
      </c>
      <c r="H51" s="388">
        <v>0.32283000000000001</v>
      </c>
      <c r="I51" s="389">
        <v>59378</v>
      </c>
      <c r="J51" s="389">
        <v>250395</v>
      </c>
      <c r="K51" s="390">
        <v>8.07</v>
      </c>
      <c r="L51" s="387" t="s">
        <v>433</v>
      </c>
      <c r="M51" s="388">
        <v>0.41393999999999997</v>
      </c>
      <c r="N51" s="389">
        <v>42327</v>
      </c>
      <c r="O51" s="389">
        <v>167489</v>
      </c>
      <c r="P51" s="390">
        <v>6.87</v>
      </c>
      <c r="Q51" s="391"/>
      <c r="R51" s="387" t="s">
        <v>433</v>
      </c>
      <c r="S51" s="388">
        <v>0.29409999999999997</v>
      </c>
      <c r="T51" s="389">
        <v>65550</v>
      </c>
      <c r="U51" s="389">
        <v>281614</v>
      </c>
      <c r="V51" s="390">
        <v>8.48</v>
      </c>
      <c r="W51" s="387" t="s">
        <v>433</v>
      </c>
      <c r="X51" s="388">
        <v>0.37842999999999999</v>
      </c>
      <c r="Y51" s="389">
        <v>49979</v>
      </c>
      <c r="Z51" s="389">
        <v>202974</v>
      </c>
      <c r="AA51" s="390">
        <v>7.31</v>
      </c>
      <c r="AB51" s="391"/>
      <c r="AC51" s="387" t="s">
        <v>433</v>
      </c>
      <c r="AD51" s="388">
        <v>0.26656000000000002</v>
      </c>
      <c r="AE51" s="389">
        <v>70969</v>
      </c>
      <c r="AF51" s="389">
        <v>310161</v>
      </c>
      <c r="AG51" s="390">
        <v>8.9</v>
      </c>
      <c r="AH51" s="387" t="s">
        <v>433</v>
      </c>
      <c r="AI51" s="388">
        <v>0.34575</v>
      </c>
      <c r="AJ51" s="389">
        <v>56902</v>
      </c>
      <c r="AK51" s="389">
        <v>236412</v>
      </c>
      <c r="AL51" s="390">
        <v>7.73</v>
      </c>
      <c r="AM51" s="391"/>
      <c r="AN51" s="387" t="s">
        <v>433</v>
      </c>
      <c r="AO51" s="388">
        <v>0.24193000000000001</v>
      </c>
      <c r="AP51" s="389">
        <v>75515</v>
      </c>
      <c r="AQ51" s="389">
        <v>334946</v>
      </c>
      <c r="AR51" s="390">
        <v>9.3000000000000007</v>
      </c>
    </row>
    <row r="52" spans="1:44" ht="15" customHeight="1">
      <c r="A52" s="387" t="s">
        <v>434</v>
      </c>
      <c r="B52" s="388">
        <v>0.61960000000000004</v>
      </c>
      <c r="C52" s="389">
        <v>26328</v>
      </c>
      <c r="D52" s="389">
        <v>87447</v>
      </c>
      <c r="E52" s="390">
        <v>4.6500000000000004</v>
      </c>
      <c r="F52" s="391"/>
      <c r="G52" s="387" t="s">
        <v>434</v>
      </c>
      <c r="H52" s="388">
        <v>0.49704999999999999</v>
      </c>
      <c r="I52" s="389">
        <v>40209</v>
      </c>
      <c r="J52" s="389">
        <v>150095</v>
      </c>
      <c r="K52" s="390">
        <v>5.69</v>
      </c>
      <c r="L52" s="387" t="s">
        <v>434</v>
      </c>
      <c r="M52" s="388">
        <v>0.57609999999999995</v>
      </c>
      <c r="N52" s="389">
        <v>24806</v>
      </c>
      <c r="O52" s="389">
        <v>86111</v>
      </c>
      <c r="P52" s="390">
        <v>4.97</v>
      </c>
      <c r="Q52" s="391"/>
      <c r="R52" s="387" t="s">
        <v>434</v>
      </c>
      <c r="S52" s="388">
        <v>0.47159000000000001</v>
      </c>
      <c r="T52" s="389">
        <v>46271</v>
      </c>
      <c r="U52" s="389">
        <v>176468</v>
      </c>
      <c r="V52" s="390">
        <v>5.93</v>
      </c>
      <c r="W52" s="387" t="s">
        <v>434</v>
      </c>
      <c r="X52" s="388">
        <v>0.54754999999999998</v>
      </c>
      <c r="Y52" s="389">
        <v>31066</v>
      </c>
      <c r="Z52" s="389">
        <v>110875</v>
      </c>
      <c r="AA52" s="390">
        <v>5.22</v>
      </c>
      <c r="AB52" s="391"/>
      <c r="AC52" s="387" t="s">
        <v>434</v>
      </c>
      <c r="AD52" s="388">
        <v>0.44561000000000001</v>
      </c>
      <c r="AE52" s="389">
        <v>52051</v>
      </c>
      <c r="AF52" s="389">
        <v>202691</v>
      </c>
      <c r="AG52" s="390">
        <v>6.18</v>
      </c>
      <c r="AH52" s="387" t="s">
        <v>434</v>
      </c>
      <c r="AI52" s="388">
        <v>0.52022000000000002</v>
      </c>
      <c r="AJ52" s="389">
        <v>37228</v>
      </c>
      <c r="AK52" s="389">
        <v>136244</v>
      </c>
      <c r="AL52" s="390">
        <v>5.47</v>
      </c>
      <c r="AM52" s="391"/>
      <c r="AN52" s="387" t="s">
        <v>434</v>
      </c>
      <c r="AO52" s="388">
        <v>0.42118</v>
      </c>
      <c r="AP52" s="389">
        <v>57246</v>
      </c>
      <c r="AQ52" s="389">
        <v>227136</v>
      </c>
      <c r="AR52" s="390">
        <v>6.42</v>
      </c>
    </row>
    <row r="53" spans="1:44" ht="15" customHeight="1">
      <c r="A53" s="387" t="s">
        <v>562</v>
      </c>
      <c r="B53" s="388">
        <v>0.75461</v>
      </c>
      <c r="C53" s="389">
        <v>10015</v>
      </c>
      <c r="D53" s="389">
        <v>28029</v>
      </c>
      <c r="E53" s="390">
        <v>3.48</v>
      </c>
      <c r="F53" s="383"/>
      <c r="G53" s="387" t="s">
        <v>562</v>
      </c>
      <c r="H53" s="388">
        <v>0.69450000000000001</v>
      </c>
      <c r="I53" s="389">
        <v>20223</v>
      </c>
      <c r="J53" s="389">
        <v>62462</v>
      </c>
      <c r="K53" s="390">
        <v>3.89</v>
      </c>
      <c r="L53" s="387" t="s">
        <v>562</v>
      </c>
      <c r="M53" s="388">
        <v>0.74085000000000001</v>
      </c>
      <c r="N53" s="389">
        <v>10515</v>
      </c>
      <c r="O53" s="389">
        <v>30372</v>
      </c>
      <c r="P53" s="390">
        <v>3.54</v>
      </c>
      <c r="Q53" s="383"/>
      <c r="R53" s="387" t="s">
        <v>562</v>
      </c>
      <c r="S53" s="388">
        <v>0.67978000000000005</v>
      </c>
      <c r="T53" s="389">
        <v>24450</v>
      </c>
      <c r="U53" s="389">
        <v>77019</v>
      </c>
      <c r="V53" s="390">
        <v>4</v>
      </c>
      <c r="W53" s="387" t="s">
        <v>562</v>
      </c>
      <c r="X53" s="388">
        <v>0.72499999999999998</v>
      </c>
      <c r="Y53" s="389">
        <v>14056</v>
      </c>
      <c r="Z53" s="389">
        <v>41591</v>
      </c>
      <c r="AA53" s="390">
        <v>3.66</v>
      </c>
      <c r="AB53" s="383"/>
      <c r="AC53" s="387" t="s">
        <v>562</v>
      </c>
      <c r="AD53" s="388">
        <v>0.66351000000000004</v>
      </c>
      <c r="AE53" s="389">
        <v>28857</v>
      </c>
      <c r="AF53" s="389">
        <v>92782</v>
      </c>
      <c r="AG53" s="390">
        <v>4.12</v>
      </c>
      <c r="AH53" s="387" t="s">
        <v>562</v>
      </c>
      <c r="AI53" s="388">
        <v>0.70938999999999997</v>
      </c>
      <c r="AJ53" s="389">
        <v>17861</v>
      </c>
      <c r="AK53" s="389">
        <v>54055</v>
      </c>
      <c r="AL53" s="390">
        <v>3.78</v>
      </c>
      <c r="AM53" s="383"/>
      <c r="AN53" s="387" t="s">
        <v>562</v>
      </c>
      <c r="AO53" s="388">
        <v>0.64759</v>
      </c>
      <c r="AP53" s="389">
        <v>33135</v>
      </c>
      <c r="AQ53" s="389">
        <v>108598</v>
      </c>
      <c r="AR53" s="390">
        <v>4.24</v>
      </c>
    </row>
    <row r="54" spans="1:44" ht="15" customHeight="1" thickBot="1">
      <c r="A54" s="393" t="s">
        <v>563</v>
      </c>
      <c r="B54" s="459">
        <v>1</v>
      </c>
      <c r="C54" s="395">
        <v>2458</v>
      </c>
      <c r="D54" s="395">
        <v>6845</v>
      </c>
      <c r="E54" s="460">
        <v>2.79</v>
      </c>
      <c r="F54" s="383"/>
      <c r="G54" s="393" t="s">
        <v>563</v>
      </c>
      <c r="H54" s="459">
        <v>1</v>
      </c>
      <c r="I54" s="394">
        <v>6178</v>
      </c>
      <c r="J54" s="394">
        <v>16147</v>
      </c>
      <c r="K54" s="460">
        <v>2.61</v>
      </c>
      <c r="L54" s="393" t="s">
        <v>563</v>
      </c>
      <c r="M54" s="459">
        <v>1</v>
      </c>
      <c r="N54" s="395">
        <v>2725</v>
      </c>
      <c r="O54" s="395">
        <v>6831</v>
      </c>
      <c r="P54" s="460">
        <v>2.5099999999999998</v>
      </c>
      <c r="Q54" s="383"/>
      <c r="R54" s="393" t="s">
        <v>563</v>
      </c>
      <c r="S54" s="459">
        <v>1</v>
      </c>
      <c r="T54" s="394">
        <v>7829</v>
      </c>
      <c r="U54" s="458">
        <v>20705</v>
      </c>
      <c r="V54" s="460">
        <v>2.64</v>
      </c>
      <c r="W54" s="393" t="s">
        <v>563</v>
      </c>
      <c r="X54" s="459">
        <v>1</v>
      </c>
      <c r="Y54" s="395">
        <v>3865</v>
      </c>
      <c r="Z54" s="395">
        <v>9840</v>
      </c>
      <c r="AA54" s="460">
        <v>2.5499999999999998</v>
      </c>
      <c r="AB54" s="383"/>
      <c r="AC54" s="393" t="s">
        <v>563</v>
      </c>
      <c r="AD54" s="459">
        <v>1</v>
      </c>
      <c r="AE54" s="394">
        <v>9710</v>
      </c>
      <c r="AF54" s="394">
        <v>26060</v>
      </c>
      <c r="AG54" s="460">
        <v>2.68</v>
      </c>
      <c r="AH54" s="393" t="s">
        <v>563</v>
      </c>
      <c r="AI54" s="459">
        <v>1</v>
      </c>
      <c r="AJ54" s="395">
        <v>5191</v>
      </c>
      <c r="AK54" s="395">
        <v>13415</v>
      </c>
      <c r="AL54" s="460">
        <v>2.58</v>
      </c>
      <c r="AM54" s="383"/>
      <c r="AN54" s="393" t="s">
        <v>563</v>
      </c>
      <c r="AO54" s="459">
        <v>1</v>
      </c>
      <c r="AP54" s="394">
        <v>11677</v>
      </c>
      <c r="AQ54" s="394">
        <v>31787</v>
      </c>
      <c r="AR54" s="460">
        <v>2.72</v>
      </c>
    </row>
    <row r="55" spans="1:44" ht="15" customHeight="1"/>
    <row r="56" spans="1:44" ht="15" customHeight="1"/>
    <row r="57" spans="1:44" ht="15" customHeight="1"/>
    <row r="58" spans="1:44" ht="15" customHeight="1"/>
    <row r="59" spans="1:44" ht="15" customHeight="1"/>
    <row r="60" spans="1:44" ht="15" customHeight="1"/>
    <row r="61" spans="1:44" ht="15" customHeight="1"/>
    <row r="62" spans="1:44" ht="15" customHeight="1"/>
    <row r="63" spans="1:44" ht="15" customHeight="1"/>
    <row r="64" spans="1:44" ht="15" customHeight="1"/>
    <row r="65" ht="15" customHeight="1"/>
    <row r="66" ht="15" customHeight="1"/>
    <row r="67" ht="15" customHeight="1"/>
    <row r="68" ht="15" customHeight="1"/>
    <row r="69" ht="15" customHeight="1"/>
    <row r="70" ht="15" customHeight="1"/>
    <row r="71" ht="15" customHeight="1"/>
    <row r="72" ht="15" customHeight="1"/>
    <row r="73" ht="15" customHeight="1"/>
    <row r="74" ht="15" customHeight="1"/>
    <row r="75" ht="15" customHeight="1"/>
    <row r="76" ht="15" customHeight="1"/>
    <row r="77" ht="15" customHeight="1"/>
    <row r="78" ht="15" customHeight="1"/>
    <row r="79" ht="15" customHeight="1"/>
    <row r="80" ht="15" customHeight="1"/>
    <row r="81" ht="15" customHeight="1"/>
    <row r="82" ht="15" customHeight="1"/>
    <row r="83" ht="15" customHeight="1"/>
    <row r="84" ht="15" customHeight="1"/>
    <row r="85" ht="15" customHeight="1"/>
    <row r="86" ht="15" customHeight="1"/>
    <row r="87" ht="15" customHeight="1"/>
    <row r="88" ht="15" customHeight="1"/>
    <row r="89" ht="15" customHeight="1"/>
    <row r="90" ht="15" customHeight="1"/>
    <row r="91" ht="15" customHeight="1"/>
    <row r="92" ht="15" customHeight="1"/>
    <row r="93" ht="15" customHeight="1"/>
    <row r="94" ht="15" customHeight="1"/>
    <row r="95" ht="15" customHeight="1"/>
    <row r="96" ht="15" customHeight="1"/>
    <row r="97" ht="15" customHeight="1"/>
    <row r="98" ht="15" customHeight="1"/>
    <row r="99" ht="15" customHeight="1"/>
    <row r="100" ht="15" customHeight="1"/>
    <row r="101" ht="15" customHeight="1"/>
    <row r="102" ht="15" customHeight="1"/>
    <row r="103" ht="15" customHeight="1"/>
    <row r="104" ht="15" customHeight="1"/>
    <row r="105" ht="15" customHeight="1"/>
    <row r="106" ht="15" customHeight="1"/>
    <row r="107" ht="15" customHeight="1"/>
    <row r="108" ht="15" customHeight="1"/>
    <row r="109" ht="15" customHeight="1"/>
    <row r="110" ht="15" customHeight="1"/>
    <row r="111" ht="15" customHeight="1"/>
    <row r="112" ht="15" customHeight="1"/>
    <row r="113" ht="15" customHeight="1"/>
    <row r="114" ht="15" customHeight="1"/>
    <row r="115" ht="15" customHeight="1"/>
    <row r="116" ht="15" customHeight="1"/>
    <row r="117" ht="15" customHeight="1"/>
    <row r="118" ht="15" customHeight="1"/>
    <row r="119" ht="15" customHeight="1"/>
    <row r="120" ht="15" customHeight="1"/>
    <row r="121" ht="15" customHeight="1"/>
    <row r="122" ht="15" customHeight="1"/>
    <row r="123" ht="15" customHeight="1"/>
    <row r="124" ht="15" customHeight="1"/>
    <row r="125" ht="15" customHeight="1"/>
    <row r="126" ht="15" customHeight="1"/>
    <row r="127" ht="15" customHeight="1"/>
    <row r="128" ht="15" customHeight="1"/>
    <row r="129" ht="15" customHeight="1"/>
    <row r="130" ht="15" customHeight="1"/>
    <row r="131" ht="15" customHeight="1"/>
    <row r="132" ht="15" customHeight="1"/>
    <row r="133" ht="15" customHeight="1"/>
    <row r="134" ht="15" customHeight="1"/>
    <row r="135" ht="15" customHeight="1"/>
    <row r="136" ht="15" customHeight="1"/>
    <row r="137" ht="15" customHeight="1"/>
    <row r="138" ht="15" customHeight="1"/>
    <row r="139" ht="15" customHeight="1"/>
    <row r="140" ht="15" customHeight="1"/>
    <row r="141" ht="15" customHeight="1"/>
    <row r="142" ht="15" customHeight="1"/>
    <row r="143" ht="15" customHeight="1"/>
    <row r="144" ht="15" customHeight="1"/>
    <row r="145" ht="15" customHeight="1"/>
    <row r="146" ht="15" customHeight="1"/>
    <row r="147" ht="15" customHeight="1"/>
    <row r="148" ht="15" customHeight="1"/>
    <row r="149" ht="15" customHeight="1"/>
    <row r="150" ht="15" customHeight="1"/>
    <row r="151" ht="15" customHeight="1"/>
  </sheetData>
  <mergeCells count="7">
    <mergeCell ref="AH1:AR1"/>
    <mergeCell ref="AH2:AR2"/>
    <mergeCell ref="L1:V1"/>
    <mergeCell ref="W1:AG1"/>
    <mergeCell ref="A2:K2"/>
    <mergeCell ref="L2:V2"/>
    <mergeCell ref="W2:AG2"/>
  </mergeCells>
  <phoneticPr fontId="10" type="noConversion"/>
  <pageMargins left="0.55118110236220474" right="0.55118110236220474" top="0.98425196850393704" bottom="0.98425196850393704" header="0.51181102362204722" footer="0.51181102362204722"/>
  <pageSetup paperSize="9" scale="80" orientation="portrait" r:id="rId1"/>
  <headerFooter alignWithMargins="0"/>
  <colBreaks count="2" manualBreakCount="2">
    <brk id="11" max="1048575" man="1"/>
    <brk id="22" max="1048575" man="1"/>
  </colBreaks>
  <ignoredErrors>
    <ignoredError sqref="G33" numberStoredAsText="1"/>
  </ignoredErrors>
</worksheet>
</file>

<file path=xl/worksheets/sheet39.xml><?xml version="1.0" encoding="utf-8"?>
<worksheet xmlns="http://schemas.openxmlformats.org/spreadsheetml/2006/main" xmlns:r="http://schemas.openxmlformats.org/officeDocument/2006/relationships">
  <dimension ref="A1:R296"/>
  <sheetViews>
    <sheetView workbookViewId="0"/>
  </sheetViews>
  <sheetFormatPr defaultRowHeight="13.5"/>
  <cols>
    <col min="1" max="1" width="7.33203125" style="214" customWidth="1"/>
    <col min="2" max="2" width="9.33203125" style="214" customWidth="1"/>
    <col min="3" max="3" width="12" style="214" customWidth="1"/>
    <col min="4" max="4" width="16.109375" style="214" customWidth="1"/>
    <col min="5" max="5" width="5.77734375" style="214" customWidth="1"/>
    <col min="6" max="6" width="7.109375" style="214" bestFit="1" customWidth="1"/>
    <col min="7" max="7" width="5.77734375" style="214" customWidth="1"/>
    <col min="8" max="12" width="8.77734375" style="214" customWidth="1"/>
    <col min="13" max="13" width="21.77734375" style="214" customWidth="1"/>
    <col min="14" max="16384" width="8.88671875" style="214"/>
  </cols>
  <sheetData>
    <row r="1" spans="1:13" ht="24.95" customHeight="1">
      <c r="A1" s="212" t="s">
        <v>461</v>
      </c>
      <c r="B1" s="212"/>
      <c r="C1" s="213"/>
      <c r="D1" s="213"/>
      <c r="E1" s="213"/>
      <c r="F1" s="213"/>
      <c r="G1" s="213"/>
      <c r="H1" s="213"/>
      <c r="I1" s="213"/>
      <c r="J1" s="213"/>
      <c r="K1" s="213"/>
      <c r="L1" s="213"/>
      <c r="M1" s="213"/>
    </row>
    <row r="2" spans="1:13" ht="24.95" customHeight="1">
      <c r="A2" s="625" t="s">
        <v>462</v>
      </c>
      <c r="B2" s="625"/>
      <c r="C2" s="625"/>
      <c r="D2" s="625"/>
      <c r="E2" s="625" t="s">
        <v>463</v>
      </c>
      <c r="F2" s="626" t="s">
        <v>464</v>
      </c>
      <c r="G2" s="625" t="s">
        <v>465</v>
      </c>
      <c r="H2" s="627" t="s">
        <v>466</v>
      </c>
      <c r="I2" s="627"/>
      <c r="J2" s="627"/>
      <c r="K2" s="627"/>
      <c r="L2" s="627"/>
      <c r="M2" s="625" t="s">
        <v>467</v>
      </c>
    </row>
    <row r="3" spans="1:13" ht="24.95" customHeight="1">
      <c r="A3" s="625"/>
      <c r="B3" s="625"/>
      <c r="C3" s="625"/>
      <c r="D3" s="625"/>
      <c r="E3" s="625"/>
      <c r="F3" s="625"/>
      <c r="G3" s="625"/>
      <c r="H3" s="216">
        <v>2009</v>
      </c>
      <c r="I3" s="625">
        <v>2010</v>
      </c>
      <c r="J3" s="625">
        <v>2015</v>
      </c>
      <c r="K3" s="625">
        <v>2020</v>
      </c>
      <c r="L3" s="625">
        <v>2025</v>
      </c>
      <c r="M3" s="625"/>
    </row>
    <row r="4" spans="1:13" ht="24.95" customHeight="1">
      <c r="A4" s="625"/>
      <c r="B4" s="625"/>
      <c r="C4" s="625"/>
      <c r="D4" s="625"/>
      <c r="E4" s="625"/>
      <c r="F4" s="625"/>
      <c r="G4" s="625"/>
      <c r="H4" s="217" t="s">
        <v>468</v>
      </c>
      <c r="I4" s="625"/>
      <c r="J4" s="625"/>
      <c r="K4" s="625"/>
      <c r="L4" s="625"/>
      <c r="M4" s="625"/>
    </row>
    <row r="5" spans="1:13" ht="24.95" hidden="1" customHeight="1">
      <c r="A5" s="628" t="s">
        <v>469</v>
      </c>
      <c r="B5" s="628" t="s">
        <v>470</v>
      </c>
      <c r="C5" s="628" t="s">
        <v>471</v>
      </c>
      <c r="D5" s="219" t="s">
        <v>472</v>
      </c>
      <c r="E5" s="220">
        <v>435</v>
      </c>
      <c r="F5" s="220">
        <v>2011</v>
      </c>
      <c r="G5" s="220" t="s">
        <v>473</v>
      </c>
      <c r="H5" s="221"/>
      <c r="I5" s="221"/>
      <c r="J5" s="221"/>
      <c r="K5" s="221"/>
      <c r="L5" s="221"/>
      <c r="M5" s="631" t="s">
        <v>535</v>
      </c>
    </row>
    <row r="6" spans="1:13" ht="24.95" hidden="1" customHeight="1">
      <c r="A6" s="628"/>
      <c r="B6" s="628"/>
      <c r="C6" s="628"/>
      <c r="D6" s="219" t="s">
        <v>474</v>
      </c>
      <c r="E6" s="220">
        <v>268</v>
      </c>
      <c r="F6" s="220">
        <v>2009</v>
      </c>
      <c r="G6" s="220" t="s">
        <v>473</v>
      </c>
      <c r="H6" s="221"/>
      <c r="I6" s="221"/>
      <c r="J6" s="221"/>
      <c r="K6" s="221"/>
      <c r="L6" s="221"/>
      <c r="M6" s="630"/>
    </row>
    <row r="7" spans="1:13" ht="24.95" hidden="1" customHeight="1">
      <c r="A7" s="628"/>
      <c r="B7" s="628"/>
      <c r="C7" s="628"/>
      <c r="D7" s="219" t="s">
        <v>475</v>
      </c>
      <c r="E7" s="220">
        <v>461</v>
      </c>
      <c r="F7" s="220">
        <v>2011</v>
      </c>
      <c r="G7" s="220" t="s">
        <v>473</v>
      </c>
      <c r="H7" s="221"/>
      <c r="I7" s="221"/>
      <c r="J7" s="221"/>
      <c r="K7" s="221"/>
      <c r="L7" s="221"/>
      <c r="M7" s="630"/>
    </row>
    <row r="8" spans="1:13" ht="24.95" hidden="1" customHeight="1">
      <c r="A8" s="628"/>
      <c r="B8" s="628"/>
      <c r="C8" s="628"/>
      <c r="D8" s="219" t="s">
        <v>476</v>
      </c>
      <c r="E8" s="220">
        <v>424</v>
      </c>
      <c r="F8" s="220">
        <v>2011</v>
      </c>
      <c r="G8" s="220" t="s">
        <v>473</v>
      </c>
      <c r="H8" s="221"/>
      <c r="I8" s="221"/>
      <c r="J8" s="221"/>
      <c r="K8" s="221"/>
      <c r="L8" s="221"/>
      <c r="M8" s="634"/>
    </row>
    <row r="9" spans="1:13" ht="24.95" hidden="1" customHeight="1">
      <c r="A9" s="628"/>
      <c r="B9" s="628"/>
      <c r="C9" s="628"/>
      <c r="D9" s="219" t="s">
        <v>477</v>
      </c>
      <c r="E9" s="220">
        <v>652</v>
      </c>
      <c r="F9" s="220">
        <v>2011</v>
      </c>
      <c r="G9" s="220" t="s">
        <v>473</v>
      </c>
      <c r="H9" s="221"/>
      <c r="I9" s="221"/>
      <c r="J9" s="221">
        <f t="shared" ref="J9:L15" si="0">$E9*2.6</f>
        <v>1695.2</v>
      </c>
      <c r="K9" s="221">
        <f t="shared" si="0"/>
        <v>1695.2</v>
      </c>
      <c r="L9" s="221">
        <f t="shared" si="0"/>
        <v>1695.2</v>
      </c>
      <c r="M9" s="629" t="s">
        <v>460</v>
      </c>
    </row>
    <row r="10" spans="1:13" ht="24.95" hidden="1" customHeight="1">
      <c r="A10" s="628"/>
      <c r="B10" s="628"/>
      <c r="C10" s="628"/>
      <c r="D10" s="219" t="s">
        <v>478</v>
      </c>
      <c r="E10" s="220">
        <v>300</v>
      </c>
      <c r="F10" s="220">
        <v>2011</v>
      </c>
      <c r="G10" s="220" t="s">
        <v>473</v>
      </c>
      <c r="H10" s="221"/>
      <c r="I10" s="221"/>
      <c r="J10" s="221">
        <f t="shared" si="0"/>
        <v>780</v>
      </c>
      <c r="K10" s="221">
        <f t="shared" si="0"/>
        <v>780</v>
      </c>
      <c r="L10" s="221">
        <f t="shared" si="0"/>
        <v>780</v>
      </c>
      <c r="M10" s="630"/>
    </row>
    <row r="11" spans="1:13" ht="24.95" hidden="1" customHeight="1">
      <c r="A11" s="628"/>
      <c r="B11" s="628"/>
      <c r="C11" s="628"/>
      <c r="D11" s="219" t="s">
        <v>479</v>
      </c>
      <c r="E11" s="220">
        <v>203</v>
      </c>
      <c r="F11" s="220">
        <v>2009</v>
      </c>
      <c r="G11" s="220" t="s">
        <v>473</v>
      </c>
      <c r="H11" s="221"/>
      <c r="I11" s="221">
        <f>$E11*2.6</f>
        <v>527.80000000000007</v>
      </c>
      <c r="J11" s="221">
        <f t="shared" si="0"/>
        <v>527.80000000000007</v>
      </c>
      <c r="K11" s="221">
        <f t="shared" si="0"/>
        <v>527.80000000000007</v>
      </c>
      <c r="L11" s="221">
        <f t="shared" si="0"/>
        <v>527.80000000000007</v>
      </c>
      <c r="M11" s="630"/>
    </row>
    <row r="12" spans="1:13" ht="24.95" hidden="1" customHeight="1">
      <c r="A12" s="628"/>
      <c r="B12" s="628"/>
      <c r="C12" s="628"/>
      <c r="D12" s="219" t="s">
        <v>480</v>
      </c>
      <c r="E12" s="220">
        <v>450</v>
      </c>
      <c r="F12" s="220">
        <v>2011</v>
      </c>
      <c r="G12" s="220" t="s">
        <v>473</v>
      </c>
      <c r="H12" s="221"/>
      <c r="I12" s="221"/>
      <c r="J12" s="221">
        <f t="shared" si="0"/>
        <v>1170</v>
      </c>
      <c r="K12" s="221">
        <f t="shared" si="0"/>
        <v>1170</v>
      </c>
      <c r="L12" s="221">
        <f t="shared" si="0"/>
        <v>1170</v>
      </c>
      <c r="M12" s="630"/>
    </row>
    <row r="13" spans="1:13" ht="24.95" hidden="1" customHeight="1">
      <c r="A13" s="628"/>
      <c r="B13" s="628"/>
      <c r="C13" s="628"/>
      <c r="D13" s="219" t="s">
        <v>481</v>
      </c>
      <c r="E13" s="220">
        <v>600</v>
      </c>
      <c r="F13" s="220">
        <v>2009</v>
      </c>
      <c r="G13" s="220" t="s">
        <v>473</v>
      </c>
      <c r="H13" s="221"/>
      <c r="I13" s="221">
        <f>$E13*2.6</f>
        <v>1560</v>
      </c>
      <c r="J13" s="221">
        <f t="shared" si="0"/>
        <v>1560</v>
      </c>
      <c r="K13" s="221">
        <f t="shared" si="0"/>
        <v>1560</v>
      </c>
      <c r="L13" s="221">
        <f t="shared" si="0"/>
        <v>1560</v>
      </c>
      <c r="M13" s="630"/>
    </row>
    <row r="14" spans="1:13" ht="24.95" hidden="1" customHeight="1">
      <c r="A14" s="628"/>
      <c r="B14" s="628"/>
      <c r="C14" s="631" t="s">
        <v>482</v>
      </c>
      <c r="D14" s="219" t="s">
        <v>483</v>
      </c>
      <c r="E14" s="220">
        <v>345</v>
      </c>
      <c r="F14" s="220"/>
      <c r="G14" s="220"/>
      <c r="H14" s="221"/>
      <c r="I14" s="221"/>
      <c r="J14" s="221">
        <f t="shared" si="0"/>
        <v>897</v>
      </c>
      <c r="K14" s="221">
        <f t="shared" si="0"/>
        <v>897</v>
      </c>
      <c r="L14" s="221">
        <f t="shared" si="0"/>
        <v>897</v>
      </c>
      <c r="M14" s="630"/>
    </row>
    <row r="15" spans="1:13" ht="24.95" hidden="1" customHeight="1">
      <c r="A15" s="628"/>
      <c r="B15" s="628"/>
      <c r="C15" s="632"/>
      <c r="D15" s="219" t="s">
        <v>484</v>
      </c>
      <c r="E15" s="220">
        <v>180</v>
      </c>
      <c r="F15" s="220"/>
      <c r="G15" s="220"/>
      <c r="H15" s="221"/>
      <c r="I15" s="221"/>
      <c r="J15" s="221">
        <f t="shared" si="0"/>
        <v>468</v>
      </c>
      <c r="K15" s="221">
        <f t="shared" si="0"/>
        <v>468</v>
      </c>
      <c r="L15" s="221">
        <f t="shared" si="0"/>
        <v>468</v>
      </c>
      <c r="M15" s="630"/>
    </row>
    <row r="16" spans="1:13" ht="24.95" hidden="1" customHeight="1">
      <c r="A16" s="628"/>
      <c r="B16" s="628"/>
      <c r="C16" s="632"/>
      <c r="D16" s="219" t="s">
        <v>485</v>
      </c>
      <c r="E16" s="220">
        <v>1</v>
      </c>
      <c r="F16" s="220"/>
      <c r="G16" s="220"/>
      <c r="H16" s="221"/>
      <c r="I16" s="221"/>
      <c r="J16" s="221">
        <v>400</v>
      </c>
      <c r="K16" s="221">
        <v>400</v>
      </c>
      <c r="L16" s="221">
        <v>400</v>
      </c>
      <c r="M16" s="630"/>
    </row>
    <row r="17" spans="1:14" ht="24.95" hidden="1" customHeight="1">
      <c r="A17" s="628"/>
      <c r="B17" s="628"/>
      <c r="C17" s="633"/>
      <c r="D17" s="219" t="s">
        <v>486</v>
      </c>
      <c r="E17" s="220">
        <v>800</v>
      </c>
      <c r="F17" s="220"/>
      <c r="G17" s="220"/>
      <c r="H17" s="221"/>
      <c r="I17" s="221"/>
      <c r="J17" s="221">
        <v>800</v>
      </c>
      <c r="K17" s="221">
        <v>800</v>
      </c>
      <c r="L17" s="221">
        <v>800</v>
      </c>
      <c r="M17" s="630"/>
    </row>
    <row r="18" spans="1:14" ht="24.95" hidden="1" customHeight="1">
      <c r="A18" s="628"/>
      <c r="B18" s="628"/>
      <c r="C18" s="629" t="s">
        <v>487</v>
      </c>
      <c r="D18" s="218" t="s">
        <v>488</v>
      </c>
      <c r="E18" s="220"/>
      <c r="F18" s="220">
        <v>2015</v>
      </c>
      <c r="G18" s="220" t="s">
        <v>473</v>
      </c>
      <c r="H18" s="221"/>
      <c r="I18" s="221"/>
      <c r="J18" s="221">
        <v>4000</v>
      </c>
      <c r="K18" s="221">
        <v>4000</v>
      </c>
      <c r="L18" s="221">
        <v>4000</v>
      </c>
      <c r="M18" s="630"/>
    </row>
    <row r="19" spans="1:14" ht="24.95" hidden="1" customHeight="1">
      <c r="A19" s="628"/>
      <c r="B19" s="628"/>
      <c r="C19" s="630"/>
      <c r="D19" s="218" t="s">
        <v>489</v>
      </c>
      <c r="E19" s="220"/>
      <c r="F19" s="220">
        <v>2015</v>
      </c>
      <c r="G19" s="220" t="s">
        <v>473</v>
      </c>
      <c r="H19" s="221"/>
      <c r="I19" s="221"/>
      <c r="J19" s="221">
        <v>2100</v>
      </c>
      <c r="K19" s="221">
        <v>2100</v>
      </c>
      <c r="L19" s="221">
        <v>2100</v>
      </c>
      <c r="M19" s="634"/>
    </row>
    <row r="20" spans="1:14" ht="24.95" hidden="1" customHeight="1">
      <c r="A20" s="628"/>
      <c r="B20" s="628"/>
      <c r="C20" s="226" t="s">
        <v>490</v>
      </c>
      <c r="D20" s="218" t="s">
        <v>491</v>
      </c>
      <c r="E20" s="220"/>
      <c r="F20" s="220">
        <v>2010</v>
      </c>
      <c r="G20" s="220" t="s">
        <v>473</v>
      </c>
      <c r="H20" s="221"/>
      <c r="I20" s="221">
        <v>1166</v>
      </c>
      <c r="J20" s="221">
        <f t="shared" ref="J20:L21" si="1">+I20</f>
        <v>1166</v>
      </c>
      <c r="K20" s="221">
        <f t="shared" si="1"/>
        <v>1166</v>
      </c>
      <c r="L20" s="221">
        <f t="shared" si="1"/>
        <v>1166</v>
      </c>
      <c r="M20" s="635" t="s">
        <v>492</v>
      </c>
    </row>
    <row r="21" spans="1:14" ht="24.95" hidden="1" customHeight="1">
      <c r="A21" s="628"/>
      <c r="B21" s="628"/>
      <c r="C21" s="220" t="s">
        <v>487</v>
      </c>
      <c r="D21" s="218" t="s">
        <v>534</v>
      </c>
      <c r="E21" s="220"/>
      <c r="F21" s="220">
        <v>2010</v>
      </c>
      <c r="G21" s="220" t="s">
        <v>473</v>
      </c>
      <c r="H21" s="221"/>
      <c r="I21" s="221">
        <v>7229</v>
      </c>
      <c r="J21" s="221">
        <f t="shared" si="1"/>
        <v>7229</v>
      </c>
      <c r="K21" s="221">
        <f t="shared" si="1"/>
        <v>7229</v>
      </c>
      <c r="L21" s="221">
        <f t="shared" si="1"/>
        <v>7229</v>
      </c>
      <c r="M21" s="636"/>
    </row>
    <row r="22" spans="1:14" ht="24.95" hidden="1" customHeight="1">
      <c r="A22" s="628"/>
      <c r="B22" s="628"/>
      <c r="C22" s="626" t="s">
        <v>493</v>
      </c>
      <c r="D22" s="626"/>
      <c r="E22" s="215"/>
      <c r="F22" s="215"/>
      <c r="G22" s="215" t="s">
        <v>473</v>
      </c>
      <c r="H22" s="222">
        <f>SUM(H5:H19)</f>
        <v>0</v>
      </c>
      <c r="I22" s="222">
        <f>SUM(I5:I21)</f>
        <v>10482.799999999999</v>
      </c>
      <c r="J22" s="222">
        <f>SUM(J5:J21)</f>
        <v>22793</v>
      </c>
      <c r="K22" s="222">
        <f>SUM(K5:K21)</f>
        <v>22793</v>
      </c>
      <c r="L22" s="222">
        <f>SUM(L5:L21)</f>
        <v>22793</v>
      </c>
      <c r="M22" s="225" t="s">
        <v>494</v>
      </c>
    </row>
    <row r="23" spans="1:14" ht="24.95" customHeight="1">
      <c r="A23" s="628" t="s">
        <v>469</v>
      </c>
      <c r="B23" s="628" t="s">
        <v>470</v>
      </c>
      <c r="C23" s="628" t="s">
        <v>471</v>
      </c>
      <c r="D23" s="219" t="s">
        <v>472</v>
      </c>
      <c r="E23" s="220">
        <v>435</v>
      </c>
      <c r="F23" s="220">
        <v>2011</v>
      </c>
      <c r="G23" s="220" t="s">
        <v>473</v>
      </c>
      <c r="H23" s="221"/>
      <c r="I23" s="221">
        <f t="shared" ref="I23:L31" si="2">+ROUND(I5*$N$23,0)</f>
        <v>0</v>
      </c>
      <c r="J23" s="221">
        <f t="shared" si="2"/>
        <v>0</v>
      </c>
      <c r="K23" s="221">
        <f t="shared" si="2"/>
        <v>0</v>
      </c>
      <c r="L23" s="221">
        <f t="shared" si="2"/>
        <v>0</v>
      </c>
      <c r="M23" s="631" t="s">
        <v>535</v>
      </c>
      <c r="N23" s="401">
        <v>0.46500000000000002</v>
      </c>
    </row>
    <row r="24" spans="1:14" ht="24.95" customHeight="1">
      <c r="A24" s="628"/>
      <c r="B24" s="628"/>
      <c r="C24" s="628"/>
      <c r="D24" s="219" t="s">
        <v>474</v>
      </c>
      <c r="E24" s="220">
        <v>268</v>
      </c>
      <c r="F24" s="220">
        <v>2009</v>
      </c>
      <c r="G24" s="220" t="s">
        <v>473</v>
      </c>
      <c r="H24" s="221"/>
      <c r="I24" s="221">
        <f t="shared" si="2"/>
        <v>0</v>
      </c>
      <c r="J24" s="221">
        <f t="shared" si="2"/>
        <v>0</v>
      </c>
      <c r="K24" s="221">
        <f t="shared" si="2"/>
        <v>0</v>
      </c>
      <c r="L24" s="221">
        <f t="shared" si="2"/>
        <v>0</v>
      </c>
      <c r="M24" s="630"/>
    </row>
    <row r="25" spans="1:14" ht="24.95" customHeight="1">
      <c r="A25" s="628"/>
      <c r="B25" s="628"/>
      <c r="C25" s="628"/>
      <c r="D25" s="219" t="s">
        <v>475</v>
      </c>
      <c r="E25" s="220">
        <v>461</v>
      </c>
      <c r="F25" s="220">
        <v>2011</v>
      </c>
      <c r="G25" s="220" t="s">
        <v>473</v>
      </c>
      <c r="H25" s="221"/>
      <c r="I25" s="221">
        <f t="shared" si="2"/>
        <v>0</v>
      </c>
      <c r="J25" s="221">
        <f t="shared" si="2"/>
        <v>0</v>
      </c>
      <c r="K25" s="221">
        <f t="shared" si="2"/>
        <v>0</v>
      </c>
      <c r="L25" s="221">
        <f t="shared" si="2"/>
        <v>0</v>
      </c>
      <c r="M25" s="630"/>
    </row>
    <row r="26" spans="1:14" ht="24.95" customHeight="1">
      <c r="A26" s="628"/>
      <c r="B26" s="628"/>
      <c r="C26" s="628"/>
      <c r="D26" s="219" t="s">
        <v>476</v>
      </c>
      <c r="E26" s="220">
        <v>424</v>
      </c>
      <c r="F26" s="220">
        <v>2011</v>
      </c>
      <c r="G26" s="220" t="s">
        <v>473</v>
      </c>
      <c r="H26" s="221"/>
      <c r="I26" s="221">
        <f t="shared" si="2"/>
        <v>0</v>
      </c>
      <c r="J26" s="221">
        <f t="shared" si="2"/>
        <v>0</v>
      </c>
      <c r="K26" s="221">
        <f t="shared" si="2"/>
        <v>0</v>
      </c>
      <c r="L26" s="221">
        <f t="shared" si="2"/>
        <v>0</v>
      </c>
      <c r="M26" s="634"/>
    </row>
    <row r="27" spans="1:14" ht="24.95" customHeight="1">
      <c r="A27" s="628"/>
      <c r="B27" s="628"/>
      <c r="C27" s="628"/>
      <c r="D27" s="219" t="s">
        <v>477</v>
      </c>
      <c r="E27" s="220">
        <v>652</v>
      </c>
      <c r="F27" s="220">
        <v>2011</v>
      </c>
      <c r="G27" s="220" t="s">
        <v>473</v>
      </c>
      <c r="H27" s="221"/>
      <c r="I27" s="221">
        <f t="shared" si="2"/>
        <v>0</v>
      </c>
      <c r="J27" s="221">
        <f t="shared" si="2"/>
        <v>788</v>
      </c>
      <c r="K27" s="221">
        <f t="shared" si="2"/>
        <v>788</v>
      </c>
      <c r="L27" s="221">
        <f t="shared" si="2"/>
        <v>788</v>
      </c>
      <c r="M27" s="631" t="s">
        <v>537</v>
      </c>
    </row>
    <row r="28" spans="1:14" ht="24.95" customHeight="1">
      <c r="A28" s="628"/>
      <c r="B28" s="628"/>
      <c r="C28" s="628"/>
      <c r="D28" s="219" t="s">
        <v>478</v>
      </c>
      <c r="E28" s="220">
        <v>300</v>
      </c>
      <c r="F28" s="220">
        <v>2011</v>
      </c>
      <c r="G28" s="220" t="s">
        <v>473</v>
      </c>
      <c r="H28" s="221"/>
      <c r="I28" s="221">
        <f t="shared" si="2"/>
        <v>0</v>
      </c>
      <c r="J28" s="221">
        <f t="shared" si="2"/>
        <v>363</v>
      </c>
      <c r="K28" s="221">
        <f t="shared" si="2"/>
        <v>363</v>
      </c>
      <c r="L28" s="221">
        <f t="shared" si="2"/>
        <v>363</v>
      </c>
      <c r="M28" s="632"/>
    </row>
    <row r="29" spans="1:14" ht="24.95" customHeight="1">
      <c r="A29" s="628"/>
      <c r="B29" s="628"/>
      <c r="C29" s="628"/>
      <c r="D29" s="219" t="s">
        <v>479</v>
      </c>
      <c r="E29" s="220">
        <v>203</v>
      </c>
      <c r="F29" s="220">
        <v>2009</v>
      </c>
      <c r="G29" s="220" t="s">
        <v>473</v>
      </c>
      <c r="H29" s="221"/>
      <c r="I29" s="221">
        <f t="shared" si="2"/>
        <v>245</v>
      </c>
      <c r="J29" s="221">
        <f t="shared" si="2"/>
        <v>245</v>
      </c>
      <c r="K29" s="221">
        <f t="shared" si="2"/>
        <v>245</v>
      </c>
      <c r="L29" s="221">
        <f t="shared" si="2"/>
        <v>245</v>
      </c>
      <c r="M29" s="632"/>
    </row>
    <row r="30" spans="1:14" ht="24.95" customHeight="1">
      <c r="A30" s="628"/>
      <c r="B30" s="628"/>
      <c r="C30" s="628"/>
      <c r="D30" s="219" t="s">
        <v>480</v>
      </c>
      <c r="E30" s="220">
        <v>450</v>
      </c>
      <c r="F30" s="220">
        <v>2011</v>
      </c>
      <c r="G30" s="220" t="s">
        <v>473</v>
      </c>
      <c r="H30" s="221"/>
      <c r="I30" s="221">
        <f t="shared" si="2"/>
        <v>0</v>
      </c>
      <c r="J30" s="221">
        <f t="shared" si="2"/>
        <v>544</v>
      </c>
      <c r="K30" s="221">
        <f t="shared" si="2"/>
        <v>544</v>
      </c>
      <c r="L30" s="221">
        <f t="shared" si="2"/>
        <v>544</v>
      </c>
      <c r="M30" s="632"/>
    </row>
    <row r="31" spans="1:14" ht="24.95" customHeight="1">
      <c r="A31" s="628"/>
      <c r="B31" s="628"/>
      <c r="C31" s="628"/>
      <c r="D31" s="219" t="s">
        <v>481</v>
      </c>
      <c r="E31" s="220">
        <v>600</v>
      </c>
      <c r="F31" s="220">
        <v>2009</v>
      </c>
      <c r="G31" s="220" t="s">
        <v>473</v>
      </c>
      <c r="H31" s="221"/>
      <c r="I31" s="221">
        <f t="shared" si="2"/>
        <v>725</v>
      </c>
      <c r="J31" s="221">
        <f t="shared" si="2"/>
        <v>725</v>
      </c>
      <c r="K31" s="221">
        <f t="shared" si="2"/>
        <v>725</v>
      </c>
      <c r="L31" s="221">
        <f t="shared" si="2"/>
        <v>725</v>
      </c>
      <c r="M31" s="632"/>
    </row>
    <row r="32" spans="1:14" ht="24.95" customHeight="1">
      <c r="A32" s="628"/>
      <c r="B32" s="628"/>
      <c r="C32" s="631" t="s">
        <v>482</v>
      </c>
      <c r="D32" s="219" t="s">
        <v>483</v>
      </c>
      <c r="E32" s="220">
        <v>345</v>
      </c>
      <c r="F32" s="220"/>
      <c r="G32" s="220"/>
      <c r="H32" s="221"/>
      <c r="I32" s="221"/>
      <c r="J32" s="221"/>
      <c r="K32" s="221"/>
      <c r="L32" s="221"/>
      <c r="M32" s="631" t="s">
        <v>538</v>
      </c>
    </row>
    <row r="33" spans="1:18" ht="24.95" customHeight="1">
      <c r="A33" s="628"/>
      <c r="B33" s="628"/>
      <c r="C33" s="632"/>
      <c r="D33" s="219" t="s">
        <v>484</v>
      </c>
      <c r="E33" s="220">
        <v>180</v>
      </c>
      <c r="F33" s="220"/>
      <c r="G33" s="220"/>
      <c r="H33" s="221"/>
      <c r="I33" s="221"/>
      <c r="J33" s="221"/>
      <c r="K33" s="221"/>
      <c r="L33" s="221"/>
      <c r="M33" s="632"/>
    </row>
    <row r="34" spans="1:18" ht="24.95" customHeight="1">
      <c r="A34" s="628"/>
      <c r="B34" s="628"/>
      <c r="C34" s="632"/>
      <c r="D34" s="219" t="s">
        <v>485</v>
      </c>
      <c r="E34" s="220">
        <v>1</v>
      </c>
      <c r="F34" s="220"/>
      <c r="G34" s="220"/>
      <c r="H34" s="221"/>
      <c r="I34" s="221"/>
      <c r="J34" s="221"/>
      <c r="K34" s="221"/>
      <c r="L34" s="221"/>
      <c r="M34" s="632"/>
    </row>
    <row r="35" spans="1:18" ht="24.95" customHeight="1">
      <c r="A35" s="628"/>
      <c r="B35" s="628"/>
      <c r="C35" s="633"/>
      <c r="D35" s="219" t="s">
        <v>486</v>
      </c>
      <c r="E35" s="220">
        <v>800</v>
      </c>
      <c r="F35" s="220"/>
      <c r="G35" s="220"/>
      <c r="H35" s="221"/>
      <c r="I35" s="221"/>
      <c r="J35" s="221"/>
      <c r="K35" s="221"/>
      <c r="L35" s="221"/>
      <c r="M35" s="633"/>
    </row>
    <row r="36" spans="1:18" ht="24.95" customHeight="1">
      <c r="A36" s="628"/>
      <c r="B36" s="628"/>
      <c r="C36" s="629" t="s">
        <v>487</v>
      </c>
      <c r="D36" s="218" t="s">
        <v>488</v>
      </c>
      <c r="E36" s="220"/>
      <c r="F36" s="220">
        <v>2015</v>
      </c>
      <c r="G36" s="220" t="s">
        <v>473</v>
      </c>
      <c r="H36" s="221"/>
      <c r="I36" s="221">
        <f t="shared" ref="I36:L39" si="3">+ROUND(I18*$N$23,0)</f>
        <v>0</v>
      </c>
      <c r="J36" s="221">
        <f t="shared" si="3"/>
        <v>1860</v>
      </c>
      <c r="K36" s="221">
        <f t="shared" si="3"/>
        <v>1860</v>
      </c>
      <c r="L36" s="221">
        <f t="shared" si="3"/>
        <v>1860</v>
      </c>
      <c r="M36" s="632" t="s">
        <v>536</v>
      </c>
    </row>
    <row r="37" spans="1:18" ht="24.95" customHeight="1">
      <c r="A37" s="628"/>
      <c r="B37" s="628"/>
      <c r="C37" s="630"/>
      <c r="D37" s="218" t="s">
        <v>489</v>
      </c>
      <c r="E37" s="220"/>
      <c r="F37" s="220">
        <v>2015</v>
      </c>
      <c r="G37" s="220" t="s">
        <v>473</v>
      </c>
      <c r="H37" s="221"/>
      <c r="I37" s="221">
        <f t="shared" si="3"/>
        <v>0</v>
      </c>
      <c r="J37" s="221">
        <f t="shared" si="3"/>
        <v>977</v>
      </c>
      <c r="K37" s="221">
        <f t="shared" si="3"/>
        <v>977</v>
      </c>
      <c r="L37" s="221">
        <f t="shared" si="3"/>
        <v>977</v>
      </c>
      <c r="M37" s="633"/>
    </row>
    <row r="38" spans="1:18" ht="24.95" customHeight="1">
      <c r="A38" s="628"/>
      <c r="B38" s="628"/>
      <c r="C38" s="226" t="s">
        <v>490</v>
      </c>
      <c r="D38" s="218" t="s">
        <v>491</v>
      </c>
      <c r="E38" s="220"/>
      <c r="F38" s="220">
        <v>2010</v>
      </c>
      <c r="G38" s="220" t="s">
        <v>473</v>
      </c>
      <c r="H38" s="221"/>
      <c r="I38" s="221">
        <f t="shared" si="3"/>
        <v>542</v>
      </c>
      <c r="J38" s="221">
        <f t="shared" si="3"/>
        <v>542</v>
      </c>
      <c r="K38" s="221">
        <f t="shared" si="3"/>
        <v>542</v>
      </c>
      <c r="L38" s="221">
        <f t="shared" si="3"/>
        <v>542</v>
      </c>
      <c r="M38" s="635"/>
    </row>
    <row r="39" spans="1:18" ht="24.95" customHeight="1">
      <c r="A39" s="628"/>
      <c r="B39" s="628"/>
      <c r="C39" s="220" t="s">
        <v>487</v>
      </c>
      <c r="D39" s="218" t="s">
        <v>534</v>
      </c>
      <c r="E39" s="220"/>
      <c r="F39" s="220">
        <v>2010</v>
      </c>
      <c r="G39" s="220" t="s">
        <v>473</v>
      </c>
      <c r="H39" s="221"/>
      <c r="I39" s="221">
        <f t="shared" si="3"/>
        <v>3361</v>
      </c>
      <c r="J39" s="221">
        <f t="shared" si="3"/>
        <v>3361</v>
      </c>
      <c r="K39" s="221">
        <f t="shared" si="3"/>
        <v>3361</v>
      </c>
      <c r="L39" s="221">
        <f t="shared" si="3"/>
        <v>3361</v>
      </c>
      <c r="M39" s="636"/>
    </row>
    <row r="40" spans="1:18" ht="24.95" customHeight="1">
      <c r="A40" s="628"/>
      <c r="B40" s="628"/>
      <c r="C40" s="626" t="s">
        <v>493</v>
      </c>
      <c r="D40" s="626"/>
      <c r="E40" s="215"/>
      <c r="F40" s="215"/>
      <c r="G40" s="215" t="s">
        <v>473</v>
      </c>
      <c r="H40" s="222">
        <f>SUM(H23:H37)</f>
        <v>0</v>
      </c>
      <c r="I40" s="222">
        <f>SUM(I23:I39)</f>
        <v>4873</v>
      </c>
      <c r="J40" s="222">
        <f>SUM(J23:J39)</f>
        <v>9405</v>
      </c>
      <c r="K40" s="222">
        <f>SUM(K23:K39)</f>
        <v>9405</v>
      </c>
      <c r="L40" s="222">
        <f>SUM(L23:L39)</f>
        <v>9405</v>
      </c>
      <c r="M40" s="225" t="s">
        <v>494</v>
      </c>
    </row>
    <row r="41" spans="1:18" ht="24.95" customHeight="1">
      <c r="A41" s="628"/>
      <c r="B41" s="629" t="s">
        <v>495</v>
      </c>
      <c r="C41" s="639" t="s">
        <v>496</v>
      </c>
      <c r="D41" s="644"/>
      <c r="E41" s="220"/>
      <c r="F41" s="220"/>
      <c r="G41" s="220" t="s">
        <v>151</v>
      </c>
      <c r="H41" s="221">
        <v>0</v>
      </c>
      <c r="I41" s="221">
        <v>0</v>
      </c>
      <c r="J41" s="221">
        <v>1258</v>
      </c>
      <c r="K41" s="221">
        <v>1258</v>
      </c>
      <c r="L41" s="221">
        <v>1258</v>
      </c>
      <c r="M41" s="218"/>
    </row>
    <row r="42" spans="1:18" ht="24.95" customHeight="1">
      <c r="A42" s="628"/>
      <c r="B42" s="630"/>
      <c r="C42" s="640"/>
      <c r="D42" s="645"/>
      <c r="E42" s="220"/>
      <c r="F42" s="220"/>
      <c r="G42" s="220" t="s">
        <v>151</v>
      </c>
      <c r="H42" s="221">
        <f>ROUND(H41*0.9,0)</f>
        <v>0</v>
      </c>
      <c r="I42" s="221">
        <f>ROUND(I41*$N42*$O42,0)</f>
        <v>0</v>
      </c>
      <c r="J42" s="221">
        <f>ROUND(J41*$N42*$O42,0)</f>
        <v>1076</v>
      </c>
      <c r="K42" s="221">
        <f>ROUND(K41*$N42*$O42,0)</f>
        <v>1076</v>
      </c>
      <c r="L42" s="221">
        <f>ROUND(L41*$N42*$O42,0)</f>
        <v>1076</v>
      </c>
      <c r="M42" s="218" t="s">
        <v>497</v>
      </c>
      <c r="N42" s="214">
        <v>0.9</v>
      </c>
      <c r="O42" s="214">
        <v>0.95</v>
      </c>
    </row>
    <row r="43" spans="1:18" ht="24.95" customHeight="1">
      <c r="A43" s="628"/>
      <c r="B43" s="630"/>
      <c r="C43" s="640"/>
      <c r="D43" s="645"/>
      <c r="E43" s="220"/>
      <c r="F43" s="220"/>
      <c r="G43" s="220" t="s">
        <v>151</v>
      </c>
      <c r="H43" s="221">
        <f>ROUND(H42*0.8,0)</f>
        <v>0</v>
      </c>
      <c r="I43" s="221">
        <f t="shared" ref="I43:L44" si="4">ROUND(I42*$N43,0)</f>
        <v>0</v>
      </c>
      <c r="J43" s="221">
        <f t="shared" si="4"/>
        <v>861</v>
      </c>
      <c r="K43" s="221">
        <f t="shared" si="4"/>
        <v>861</v>
      </c>
      <c r="L43" s="221">
        <f t="shared" si="4"/>
        <v>861</v>
      </c>
      <c r="M43" s="218" t="s">
        <v>498</v>
      </c>
      <c r="N43" s="214">
        <v>0.8</v>
      </c>
    </row>
    <row r="44" spans="1:18" ht="24.95" customHeight="1">
      <c r="A44" s="628"/>
      <c r="B44" s="630"/>
      <c r="C44" s="640"/>
      <c r="D44" s="645"/>
      <c r="E44" s="220"/>
      <c r="F44" s="220"/>
      <c r="G44" s="220" t="s">
        <v>151</v>
      </c>
      <c r="H44" s="221">
        <f>ROUND(H43*2.6,0)</f>
        <v>0</v>
      </c>
      <c r="I44" s="221">
        <f t="shared" si="4"/>
        <v>0</v>
      </c>
      <c r="J44" s="221">
        <f t="shared" si="4"/>
        <v>2239</v>
      </c>
      <c r="K44" s="221">
        <f t="shared" si="4"/>
        <v>2239</v>
      </c>
      <c r="L44" s="221">
        <f t="shared" si="4"/>
        <v>2239</v>
      </c>
      <c r="M44" s="218" t="s">
        <v>499</v>
      </c>
      <c r="N44" s="214">
        <v>2.6</v>
      </c>
    </row>
    <row r="45" spans="1:18" ht="24.95" customHeight="1">
      <c r="A45" s="628"/>
      <c r="B45" s="630"/>
      <c r="C45" s="641"/>
      <c r="D45" s="646"/>
      <c r="E45" s="220"/>
      <c r="F45" s="220"/>
      <c r="G45" s="220"/>
      <c r="H45" s="221"/>
      <c r="I45" s="221"/>
      <c r="J45" s="221"/>
      <c r="K45" s="221"/>
      <c r="L45" s="221"/>
      <c r="M45" s="218"/>
    </row>
    <row r="46" spans="1:18" ht="24.95" customHeight="1">
      <c r="A46" s="628"/>
      <c r="B46" s="630"/>
      <c r="C46" s="637" t="s">
        <v>500</v>
      </c>
      <c r="D46" s="638"/>
      <c r="E46" s="220"/>
      <c r="F46" s="220"/>
      <c r="G46" s="220" t="s">
        <v>151</v>
      </c>
      <c r="H46" s="221"/>
      <c r="I46" s="221"/>
      <c r="J46" s="221">
        <f>+J45+J44</f>
        <v>2239</v>
      </c>
      <c r="K46" s="221">
        <f>+K45+K44</f>
        <v>2239</v>
      </c>
      <c r="L46" s="221">
        <f>+L45+L44</f>
        <v>2239</v>
      </c>
      <c r="M46" s="218"/>
    </row>
    <row r="47" spans="1:18" ht="24.95" customHeight="1">
      <c r="A47" s="628"/>
      <c r="B47" s="630"/>
      <c r="C47" s="647" t="s">
        <v>501</v>
      </c>
      <c r="D47" s="647"/>
      <c r="E47" s="220"/>
      <c r="F47" s="220"/>
      <c r="G47" s="220" t="s">
        <v>473</v>
      </c>
      <c r="H47" s="221"/>
      <c r="I47" s="221">
        <f>+R47</f>
        <v>3306</v>
      </c>
      <c r="J47" s="221">
        <f>ROUND(I47*J48/I48,-2)</f>
        <v>12500</v>
      </c>
      <c r="K47" s="221">
        <f>+J47</f>
        <v>12500</v>
      </c>
      <c r="L47" s="221">
        <f>+K47</f>
        <v>12500</v>
      </c>
      <c r="M47" s="628" t="s">
        <v>502</v>
      </c>
      <c r="P47" s="214">
        <f>+ROUND(Q47/Q48,4)</f>
        <v>0.26390000000000002</v>
      </c>
      <c r="Q47" s="214">
        <v>617216</v>
      </c>
      <c r="R47" s="214">
        <f>3000+20+58+21+19+50+40+26+35+12+25</f>
        <v>3306</v>
      </c>
    </row>
    <row r="48" spans="1:18" ht="24.95" customHeight="1">
      <c r="A48" s="628"/>
      <c r="B48" s="630"/>
      <c r="C48" s="647"/>
      <c r="D48" s="647"/>
      <c r="E48" s="220"/>
      <c r="F48" s="220"/>
      <c r="G48" s="220" t="s">
        <v>503</v>
      </c>
      <c r="H48" s="227"/>
      <c r="I48" s="227">
        <f>+P47</f>
        <v>0.26390000000000002</v>
      </c>
      <c r="J48" s="227">
        <v>1</v>
      </c>
      <c r="K48" s="227">
        <v>1</v>
      </c>
      <c r="L48" s="227">
        <v>1</v>
      </c>
      <c r="M48" s="628"/>
      <c r="Q48" s="214">
        <v>2339000</v>
      </c>
      <c r="R48" s="214">
        <f>ROUND(R47*Q48/Q47,0)</f>
        <v>12528</v>
      </c>
    </row>
    <row r="49" spans="1:15" ht="24.95" customHeight="1">
      <c r="A49" s="628"/>
      <c r="B49" s="630"/>
      <c r="C49" s="647"/>
      <c r="D49" s="647"/>
      <c r="E49" s="220"/>
      <c r="F49" s="220"/>
      <c r="G49" s="220"/>
      <c r="H49" s="227"/>
      <c r="I49" s="397">
        <f>ROUND(I47-H47,0)</f>
        <v>3306</v>
      </c>
      <c r="J49" s="397">
        <f>ROUND(J47-H47,0)</f>
        <v>12500</v>
      </c>
      <c r="K49" s="397">
        <f>+J49</f>
        <v>12500</v>
      </c>
      <c r="L49" s="397">
        <f>+K49</f>
        <v>12500</v>
      </c>
      <c r="M49" s="218" t="s">
        <v>504</v>
      </c>
    </row>
    <row r="50" spans="1:15" ht="24.95" customHeight="1">
      <c r="A50" s="628"/>
      <c r="B50" s="630"/>
      <c r="C50" s="647"/>
      <c r="D50" s="647"/>
      <c r="E50" s="220"/>
      <c r="F50" s="220"/>
      <c r="G50" s="220" t="s">
        <v>151</v>
      </c>
      <c r="H50" s="221">
        <v>0</v>
      </c>
      <c r="I50" s="221">
        <f>ROUND(I49*$N50*$O50,0)</f>
        <v>1384</v>
      </c>
      <c r="J50" s="221">
        <f>ROUND(J49*$N50*$O50,0)</f>
        <v>5231</v>
      </c>
      <c r="K50" s="221">
        <f>ROUND(K49*$N50*$O50,0)</f>
        <v>5231</v>
      </c>
      <c r="L50" s="221">
        <f>ROUND(L49*$N50*$O50,0)</f>
        <v>5231</v>
      </c>
      <c r="M50" s="218" t="s">
        <v>533</v>
      </c>
      <c r="N50" s="214">
        <v>0.9</v>
      </c>
      <c r="O50" s="214">
        <v>0.46500000000000002</v>
      </c>
    </row>
    <row r="51" spans="1:15" ht="24.95" customHeight="1">
      <c r="A51" s="628"/>
      <c r="B51" s="630"/>
      <c r="C51" s="647"/>
      <c r="D51" s="647"/>
      <c r="E51" s="220"/>
      <c r="F51" s="220"/>
      <c r="G51" s="220" t="s">
        <v>151</v>
      </c>
      <c r="H51" s="221">
        <f>ROUND(H50*0.8,0)</f>
        <v>0</v>
      </c>
      <c r="I51" s="221">
        <f t="shared" ref="I51:L52" si="5">ROUND(I50*$N51,0)</f>
        <v>1107</v>
      </c>
      <c r="J51" s="221">
        <f t="shared" si="5"/>
        <v>4185</v>
      </c>
      <c r="K51" s="221">
        <f t="shared" si="5"/>
        <v>4185</v>
      </c>
      <c r="L51" s="221">
        <f t="shared" si="5"/>
        <v>4185</v>
      </c>
      <c r="M51" s="218" t="s">
        <v>498</v>
      </c>
      <c r="N51" s="214">
        <v>0.8</v>
      </c>
    </row>
    <row r="52" spans="1:15" ht="24.95" customHeight="1">
      <c r="A52" s="628"/>
      <c r="B52" s="630"/>
      <c r="C52" s="647"/>
      <c r="D52" s="647"/>
      <c r="E52" s="220"/>
      <c r="F52" s="220"/>
      <c r="G52" s="220" t="s">
        <v>151</v>
      </c>
      <c r="H52" s="221">
        <f>ROUND(H51*2.6,0)</f>
        <v>0</v>
      </c>
      <c r="I52" s="221">
        <f t="shared" si="5"/>
        <v>2878</v>
      </c>
      <c r="J52" s="221">
        <f t="shared" si="5"/>
        <v>10881</v>
      </c>
      <c r="K52" s="221">
        <f t="shared" si="5"/>
        <v>10881</v>
      </c>
      <c r="L52" s="221">
        <f t="shared" si="5"/>
        <v>10881</v>
      </c>
      <c r="M52" s="218" t="s">
        <v>499</v>
      </c>
      <c r="N52" s="214">
        <v>2.6</v>
      </c>
    </row>
    <row r="53" spans="1:15" ht="24.95" customHeight="1">
      <c r="A53" s="628"/>
      <c r="B53" s="630"/>
      <c r="C53" s="637" t="s">
        <v>500</v>
      </c>
      <c r="D53" s="638"/>
      <c r="E53" s="220"/>
      <c r="F53" s="220"/>
      <c r="G53" s="220"/>
      <c r="H53" s="221">
        <f>+H52</f>
        <v>0</v>
      </c>
      <c r="I53" s="221">
        <f>+I52</f>
        <v>2878</v>
      </c>
      <c r="J53" s="221">
        <f>+J52</f>
        <v>10881</v>
      </c>
      <c r="K53" s="221">
        <f>+K52</f>
        <v>10881</v>
      </c>
      <c r="L53" s="221">
        <f>+L52</f>
        <v>10881</v>
      </c>
      <c r="M53" s="218"/>
    </row>
    <row r="54" spans="1:15" ht="24.95" customHeight="1">
      <c r="A54" s="628"/>
      <c r="B54" s="630"/>
      <c r="C54" s="629" t="s">
        <v>505</v>
      </c>
      <c r="D54" s="226">
        <v>247734</v>
      </c>
      <c r="E54" s="220"/>
      <c r="F54" s="220"/>
      <c r="G54" s="220"/>
      <c r="H54" s="221"/>
      <c r="I54" s="236">
        <v>0.25</v>
      </c>
      <c r="J54" s="236">
        <v>0.5</v>
      </c>
      <c r="K54" s="236">
        <v>0.75</v>
      </c>
      <c r="L54" s="236">
        <v>1</v>
      </c>
      <c r="M54" s="218"/>
    </row>
    <row r="55" spans="1:15" ht="24.95" customHeight="1">
      <c r="A55" s="628"/>
      <c r="B55" s="630"/>
      <c r="C55" s="630"/>
      <c r="D55" s="229">
        <v>1.8</v>
      </c>
      <c r="E55" s="220"/>
      <c r="F55" s="220"/>
      <c r="G55" s="220"/>
      <c r="H55" s="221"/>
      <c r="I55" s="238">
        <f>+ROUND($D$54*$D$55/1000*I54,0)</f>
        <v>111</v>
      </c>
      <c r="J55" s="238">
        <f>+ROUND($D$54*$D$55/1000*J54,0)</f>
        <v>223</v>
      </c>
      <c r="K55" s="238">
        <f>+ROUND($D$54*$D$55/1000*K54,0)</f>
        <v>334</v>
      </c>
      <c r="L55" s="238">
        <f>+ROUND($D$54*$D$55/1000*L54,0)</f>
        <v>446</v>
      </c>
      <c r="M55" s="218" t="s">
        <v>506</v>
      </c>
    </row>
    <row r="56" spans="1:15" ht="24.95" customHeight="1">
      <c r="A56" s="628"/>
      <c r="B56" s="630"/>
      <c r="C56" s="630"/>
      <c r="D56" s="229"/>
      <c r="E56" s="220"/>
      <c r="F56" s="220"/>
      <c r="G56" s="220"/>
      <c r="H56" s="221"/>
      <c r="I56" s="221">
        <f>ROUND(I55*$N56*$O56,0)</f>
        <v>46</v>
      </c>
      <c r="J56" s="221">
        <f>ROUND(J55*$N56*$O56,0)</f>
        <v>93</v>
      </c>
      <c r="K56" s="221">
        <f>ROUND(K55*$N56*$O56,0)</f>
        <v>140</v>
      </c>
      <c r="L56" s="221">
        <f>ROUND(L55*$N56*$O56,0)</f>
        <v>187</v>
      </c>
      <c r="M56" s="218" t="s">
        <v>533</v>
      </c>
      <c r="N56" s="214">
        <v>0.9</v>
      </c>
      <c r="O56" s="214">
        <v>0.46500000000000002</v>
      </c>
    </row>
    <row r="57" spans="1:15" ht="24.95" customHeight="1">
      <c r="A57" s="628"/>
      <c r="B57" s="630"/>
      <c r="C57" s="630"/>
      <c r="D57" s="229"/>
      <c r="E57" s="220"/>
      <c r="F57" s="220"/>
      <c r="G57" s="220"/>
      <c r="H57" s="221"/>
      <c r="I57" s="221">
        <f t="shared" ref="I57:L58" si="6">ROUND(I56*$N57,0)</f>
        <v>37</v>
      </c>
      <c r="J57" s="221">
        <f t="shared" si="6"/>
        <v>74</v>
      </c>
      <c r="K57" s="221">
        <f t="shared" si="6"/>
        <v>112</v>
      </c>
      <c r="L57" s="221">
        <f t="shared" si="6"/>
        <v>150</v>
      </c>
      <c r="M57" s="218" t="s">
        <v>498</v>
      </c>
      <c r="N57" s="214">
        <v>0.8</v>
      </c>
    </row>
    <row r="58" spans="1:15" ht="24.95" customHeight="1">
      <c r="A58" s="628"/>
      <c r="B58" s="630"/>
      <c r="C58" s="630"/>
      <c r="D58" s="230"/>
      <c r="E58" s="220"/>
      <c r="F58" s="220"/>
      <c r="G58" s="220"/>
      <c r="H58" s="221"/>
      <c r="I58" s="221">
        <f t="shared" si="6"/>
        <v>96</v>
      </c>
      <c r="J58" s="221">
        <f t="shared" si="6"/>
        <v>192</v>
      </c>
      <c r="K58" s="221">
        <f t="shared" si="6"/>
        <v>291</v>
      </c>
      <c r="L58" s="221">
        <f t="shared" si="6"/>
        <v>390</v>
      </c>
      <c r="M58" s="218" t="s">
        <v>499</v>
      </c>
      <c r="N58" s="214">
        <v>2.6</v>
      </c>
    </row>
    <row r="59" spans="1:15" ht="24.95" customHeight="1">
      <c r="A59" s="628"/>
      <c r="B59" s="630"/>
      <c r="C59" s="630"/>
      <c r="D59" s="229"/>
      <c r="E59" s="220"/>
      <c r="F59" s="220"/>
      <c r="G59" s="220"/>
      <c r="H59" s="221"/>
      <c r="I59" s="220"/>
      <c r="J59" s="220"/>
      <c r="K59" s="220"/>
      <c r="L59" s="220"/>
      <c r="M59" s="218"/>
    </row>
    <row r="60" spans="1:15" ht="24.95" customHeight="1">
      <c r="A60" s="628"/>
      <c r="B60" s="630"/>
      <c r="C60" s="637" t="s">
        <v>500</v>
      </c>
      <c r="D60" s="638"/>
      <c r="E60" s="220"/>
      <c r="F60" s="220"/>
      <c r="G60" s="220"/>
      <c r="H60" s="221"/>
      <c r="I60" s="220">
        <f>+I59+I58</f>
        <v>96</v>
      </c>
      <c r="J60" s="220">
        <f>+J59+J58</f>
        <v>192</v>
      </c>
      <c r="K60" s="220">
        <f>+K59+K58</f>
        <v>291</v>
      </c>
      <c r="L60" s="220">
        <f>+L59+L58</f>
        <v>390</v>
      </c>
      <c r="M60" s="218"/>
    </row>
    <row r="61" spans="1:15" ht="24.95" customHeight="1">
      <c r="A61" s="628"/>
      <c r="B61" s="630"/>
      <c r="C61" s="631" t="s">
        <v>507</v>
      </c>
      <c r="D61" s="226">
        <v>923000</v>
      </c>
      <c r="E61" s="220"/>
      <c r="F61" s="220"/>
      <c r="G61" s="220"/>
      <c r="H61" s="221"/>
      <c r="I61" s="221"/>
      <c r="J61" s="236">
        <v>0.3</v>
      </c>
      <c r="K61" s="236">
        <v>0.6</v>
      </c>
      <c r="L61" s="236">
        <v>1</v>
      </c>
      <c r="M61" s="218"/>
    </row>
    <row r="62" spans="1:15" ht="24.95" customHeight="1">
      <c r="A62" s="628"/>
      <c r="B62" s="630"/>
      <c r="C62" s="630"/>
      <c r="D62" s="229">
        <v>1.8</v>
      </c>
      <c r="E62" s="220"/>
      <c r="F62" s="220"/>
      <c r="G62" s="220"/>
      <c r="H62" s="221"/>
      <c r="I62" s="221"/>
      <c r="J62" s="220">
        <f>+ROUND($D$61*$D$62/1000*J61,0)</f>
        <v>498</v>
      </c>
      <c r="K62" s="220">
        <f>+ROUND($D$61*$D$62/1000*K61,0)</f>
        <v>997</v>
      </c>
      <c r="L62" s="220">
        <f>+ROUND($D$61*$D$62/1000*L61,0)</f>
        <v>1661</v>
      </c>
      <c r="M62" s="218" t="s">
        <v>506</v>
      </c>
    </row>
    <row r="63" spans="1:15" ht="24.95" customHeight="1">
      <c r="A63" s="628"/>
      <c r="B63" s="630"/>
      <c r="C63" s="630"/>
      <c r="D63" s="229"/>
      <c r="E63" s="220"/>
      <c r="F63" s="220"/>
      <c r="G63" s="220"/>
      <c r="H63" s="221"/>
      <c r="I63" s="221">
        <f>ROUND(I62*$N63*$O63,0)</f>
        <v>0</v>
      </c>
      <c r="J63" s="221">
        <f>ROUND(J62*$N63*$O63,0)</f>
        <v>208</v>
      </c>
      <c r="K63" s="221">
        <f>ROUND(K62*$N63*$O63,0)</f>
        <v>417</v>
      </c>
      <c r="L63" s="221">
        <f>ROUND(L62*$N63*$O63,0)</f>
        <v>695</v>
      </c>
      <c r="M63" s="218" t="s">
        <v>533</v>
      </c>
      <c r="N63" s="214">
        <v>0.9</v>
      </c>
      <c r="O63" s="214">
        <v>0.46500000000000002</v>
      </c>
    </row>
    <row r="64" spans="1:15" ht="24.95" customHeight="1">
      <c r="A64" s="628"/>
      <c r="B64" s="630"/>
      <c r="C64" s="630"/>
      <c r="D64" s="229"/>
      <c r="E64" s="220"/>
      <c r="F64" s="220"/>
      <c r="G64" s="220"/>
      <c r="H64" s="221"/>
      <c r="I64" s="221">
        <f t="shared" ref="I64:L65" si="7">ROUND(I63*$N64,0)</f>
        <v>0</v>
      </c>
      <c r="J64" s="221">
        <f t="shared" si="7"/>
        <v>166</v>
      </c>
      <c r="K64" s="221">
        <f t="shared" si="7"/>
        <v>334</v>
      </c>
      <c r="L64" s="221">
        <f t="shared" si="7"/>
        <v>556</v>
      </c>
      <c r="M64" s="218" t="s">
        <v>498</v>
      </c>
      <c r="N64" s="214">
        <v>0.8</v>
      </c>
    </row>
    <row r="65" spans="1:15" ht="24.95" customHeight="1">
      <c r="A65" s="628"/>
      <c r="B65" s="630"/>
      <c r="C65" s="630"/>
      <c r="D65" s="230"/>
      <c r="E65" s="220"/>
      <c r="F65" s="220"/>
      <c r="G65" s="220"/>
      <c r="H65" s="221"/>
      <c r="I65" s="221">
        <f t="shared" si="7"/>
        <v>0</v>
      </c>
      <c r="J65" s="221">
        <f t="shared" si="7"/>
        <v>432</v>
      </c>
      <c r="K65" s="221">
        <f t="shared" si="7"/>
        <v>868</v>
      </c>
      <c r="L65" s="221">
        <f t="shared" si="7"/>
        <v>1446</v>
      </c>
      <c r="M65" s="218" t="s">
        <v>499</v>
      </c>
      <c r="N65" s="214">
        <v>2.6</v>
      </c>
    </row>
    <row r="66" spans="1:15" ht="24.95" customHeight="1">
      <c r="A66" s="628"/>
      <c r="B66" s="630"/>
      <c r="C66" s="630"/>
      <c r="D66" s="229"/>
      <c r="E66" s="220"/>
      <c r="F66" s="220"/>
      <c r="G66" s="220"/>
      <c r="H66" s="221"/>
      <c r="I66" s="221"/>
      <c r="J66" s="220"/>
      <c r="K66" s="220"/>
      <c r="L66" s="220"/>
      <c r="M66" s="218"/>
    </row>
    <row r="67" spans="1:15" ht="24.95" customHeight="1">
      <c r="A67" s="628"/>
      <c r="B67" s="630"/>
      <c r="C67" s="637" t="s">
        <v>500</v>
      </c>
      <c r="D67" s="638"/>
      <c r="E67" s="220"/>
      <c r="F67" s="220"/>
      <c r="G67" s="220"/>
      <c r="H67" s="221"/>
      <c r="I67" s="220">
        <f>+I66+I65</f>
        <v>0</v>
      </c>
      <c r="J67" s="220">
        <f>+J66+J65</f>
        <v>432</v>
      </c>
      <c r="K67" s="220">
        <f>+K66+K65</f>
        <v>868</v>
      </c>
      <c r="L67" s="220">
        <f>+L66+L65</f>
        <v>1446</v>
      </c>
      <c r="M67" s="218"/>
    </row>
    <row r="68" spans="1:15" ht="24.95" customHeight="1">
      <c r="A68" s="628"/>
      <c r="B68" s="630"/>
      <c r="C68" s="639" t="s">
        <v>508</v>
      </c>
      <c r="D68" s="226">
        <f>101438+364000+391000</f>
        <v>856438</v>
      </c>
      <c r="E68" s="220"/>
      <c r="F68" s="220"/>
      <c r="G68" s="220"/>
      <c r="H68" s="221"/>
      <c r="I68" s="221"/>
      <c r="J68" s="236">
        <v>0.3</v>
      </c>
      <c r="K68" s="236">
        <v>0.6</v>
      </c>
      <c r="L68" s="236">
        <v>1</v>
      </c>
      <c r="M68" s="218"/>
    </row>
    <row r="69" spans="1:15" ht="24.95" customHeight="1">
      <c r="A69" s="628"/>
      <c r="B69" s="630"/>
      <c r="C69" s="640"/>
      <c r="D69" s="229">
        <v>1.8</v>
      </c>
      <c r="E69" s="220"/>
      <c r="F69" s="220"/>
      <c r="G69" s="220"/>
      <c r="H69" s="221"/>
      <c r="I69" s="221"/>
      <c r="J69" s="220">
        <f>+ROUND($D$68*$D$69/1000*J68,0)</f>
        <v>462</v>
      </c>
      <c r="K69" s="220">
        <f>+ROUND($D$68*$D$69/1000*K68,0)</f>
        <v>925</v>
      </c>
      <c r="L69" s="220">
        <f>+ROUND($D$68*$D$69/1000*L68,0)</f>
        <v>1542</v>
      </c>
      <c r="M69" s="218" t="s">
        <v>506</v>
      </c>
    </row>
    <row r="70" spans="1:15" ht="24.95" customHeight="1">
      <c r="A70" s="628"/>
      <c r="B70" s="630"/>
      <c r="C70" s="640"/>
      <c r="D70" s="229"/>
      <c r="E70" s="220"/>
      <c r="F70" s="220"/>
      <c r="G70" s="220"/>
      <c r="H70" s="221"/>
      <c r="I70" s="221">
        <f>ROUND(I69*$N70*$O70,0)</f>
        <v>0</v>
      </c>
      <c r="J70" s="221">
        <f>ROUND(J69*$N70*$O70,0)</f>
        <v>193</v>
      </c>
      <c r="K70" s="221">
        <f>ROUND(K69*$N70*$O70,0)</f>
        <v>387</v>
      </c>
      <c r="L70" s="221">
        <f>ROUND(L69*$N70*$O70,0)</f>
        <v>645</v>
      </c>
      <c r="M70" s="218" t="s">
        <v>533</v>
      </c>
      <c r="N70" s="214">
        <v>0.9</v>
      </c>
      <c r="O70" s="214">
        <v>0.46500000000000002</v>
      </c>
    </row>
    <row r="71" spans="1:15" ht="24.95" customHeight="1">
      <c r="A71" s="628"/>
      <c r="B71" s="630"/>
      <c r="C71" s="640"/>
      <c r="D71" s="229"/>
      <c r="E71" s="220"/>
      <c r="F71" s="220"/>
      <c r="G71" s="220"/>
      <c r="H71" s="221"/>
      <c r="I71" s="221">
        <f t="shared" ref="I71:L72" si="8">ROUND(I70*$N71,0)</f>
        <v>0</v>
      </c>
      <c r="J71" s="221">
        <f t="shared" si="8"/>
        <v>154</v>
      </c>
      <c r="K71" s="221">
        <f t="shared" si="8"/>
        <v>310</v>
      </c>
      <c r="L71" s="221">
        <f t="shared" si="8"/>
        <v>516</v>
      </c>
      <c r="M71" s="218" t="s">
        <v>498</v>
      </c>
      <c r="N71" s="214">
        <v>0.8</v>
      </c>
    </row>
    <row r="72" spans="1:15" ht="24.95" customHeight="1">
      <c r="A72" s="628"/>
      <c r="B72" s="630"/>
      <c r="C72" s="641"/>
      <c r="D72" s="230"/>
      <c r="E72" s="220"/>
      <c r="F72" s="220"/>
      <c r="G72" s="220"/>
      <c r="H72" s="221"/>
      <c r="I72" s="221">
        <f t="shared" si="8"/>
        <v>0</v>
      </c>
      <c r="J72" s="221">
        <f t="shared" si="8"/>
        <v>400</v>
      </c>
      <c r="K72" s="221">
        <f t="shared" si="8"/>
        <v>806</v>
      </c>
      <c r="L72" s="221">
        <f t="shared" si="8"/>
        <v>1342</v>
      </c>
      <c r="M72" s="218" t="s">
        <v>499</v>
      </c>
      <c r="N72" s="214">
        <v>2.6</v>
      </c>
    </row>
    <row r="73" spans="1:15" ht="24.95" customHeight="1">
      <c r="A73" s="628"/>
      <c r="B73" s="630"/>
      <c r="C73" s="235"/>
      <c r="D73" s="230"/>
      <c r="E73" s="220"/>
      <c r="F73" s="220"/>
      <c r="G73" s="220"/>
      <c r="H73" s="221"/>
      <c r="I73" s="221"/>
      <c r="J73" s="220"/>
      <c r="K73" s="220"/>
      <c r="L73" s="220"/>
      <c r="M73" s="218"/>
    </row>
    <row r="74" spans="1:15" ht="24.95" customHeight="1">
      <c r="A74" s="628"/>
      <c r="B74" s="634"/>
      <c r="C74" s="637" t="s">
        <v>500</v>
      </c>
      <c r="D74" s="638"/>
      <c r="E74" s="220"/>
      <c r="F74" s="220"/>
      <c r="G74" s="220"/>
      <c r="H74" s="221"/>
      <c r="I74" s="221"/>
      <c r="J74" s="220">
        <f>+J73+J72</f>
        <v>400</v>
      </c>
      <c r="K74" s="220">
        <f>+K73+K72</f>
        <v>806</v>
      </c>
      <c r="L74" s="220">
        <f>+L73+L72</f>
        <v>1342</v>
      </c>
      <c r="M74" s="218"/>
    </row>
    <row r="75" spans="1:15" ht="24.95" customHeight="1">
      <c r="A75" s="628"/>
      <c r="B75" s="625" t="s">
        <v>510</v>
      </c>
      <c r="C75" s="625"/>
      <c r="D75" s="625"/>
      <c r="E75" s="215"/>
      <c r="F75" s="215"/>
      <c r="G75" s="215" t="s">
        <v>473</v>
      </c>
      <c r="H75" s="222">
        <f>+H46+H53+H60+H67+H74</f>
        <v>0</v>
      </c>
      <c r="I75" s="222">
        <f>+I46+I53+I60+I67+I74</f>
        <v>2974</v>
      </c>
      <c r="J75" s="222">
        <f>+J46+J53+J60+J67+J74</f>
        <v>14144</v>
      </c>
      <c r="K75" s="222">
        <f>+K46+K53+K60+K67+K74</f>
        <v>15085</v>
      </c>
      <c r="L75" s="222">
        <f>+L46+L53+L60+L67+L74</f>
        <v>16298</v>
      </c>
      <c r="M75" s="220"/>
    </row>
    <row r="76" spans="1:15" ht="24.95" customHeight="1">
      <c r="A76" s="628"/>
      <c r="B76" s="215"/>
      <c r="C76" s="642" t="s">
        <v>511</v>
      </c>
      <c r="D76" s="215"/>
      <c r="E76" s="215"/>
      <c r="F76" s="215"/>
      <c r="G76" s="215"/>
      <c r="H76" s="222"/>
      <c r="I76" s="222"/>
      <c r="J76" s="222">
        <v>7000</v>
      </c>
      <c r="K76" s="222">
        <f>+J76</f>
        <v>7000</v>
      </c>
      <c r="L76" s="222">
        <f>+K76</f>
        <v>7000</v>
      </c>
      <c r="M76" s="631" t="s">
        <v>512</v>
      </c>
      <c r="N76" s="214">
        <v>0.46500000000000002</v>
      </c>
    </row>
    <row r="77" spans="1:15" ht="24.95" customHeight="1">
      <c r="A77" s="628"/>
      <c r="B77" s="215"/>
      <c r="C77" s="643"/>
      <c r="D77" s="400">
        <v>0.46500000000000002</v>
      </c>
      <c r="E77" s="215"/>
      <c r="F77" s="215"/>
      <c r="G77" s="215"/>
      <c r="H77" s="222"/>
      <c r="I77" s="222">
        <f>+ROUND(I76*$D$77,0)</f>
        <v>0</v>
      </c>
      <c r="J77" s="222">
        <f>+ROUND(J76*$D$77,0)</f>
        <v>3255</v>
      </c>
      <c r="K77" s="222">
        <f>+ROUND(K76*$D$77,0)</f>
        <v>3255</v>
      </c>
      <c r="L77" s="222">
        <f>+ROUND(L76*$D$77,0)</f>
        <v>3255</v>
      </c>
      <c r="M77" s="634"/>
      <c r="N77" s="214" t="s">
        <v>513</v>
      </c>
    </row>
    <row r="78" spans="1:15" ht="24.95" customHeight="1">
      <c r="A78" s="628"/>
      <c r="B78" s="215"/>
      <c r="C78" s="215" t="s">
        <v>528</v>
      </c>
      <c r="D78" s="215" t="s">
        <v>529</v>
      </c>
      <c r="E78" s="215"/>
      <c r="F78" s="215"/>
      <c r="G78" s="215"/>
      <c r="H78" s="222"/>
      <c r="I78" s="222">
        <v>100</v>
      </c>
      <c r="J78" s="222">
        <f>+I78</f>
        <v>100</v>
      </c>
      <c r="K78" s="222">
        <f>+J78</f>
        <v>100</v>
      </c>
      <c r="L78" s="222">
        <f>+K78</f>
        <v>100</v>
      </c>
      <c r="M78" s="220"/>
    </row>
    <row r="79" spans="1:15" ht="24.95" customHeight="1">
      <c r="A79" s="628"/>
      <c r="B79" s="215"/>
      <c r="C79" s="215" t="s">
        <v>530</v>
      </c>
      <c r="D79" s="215" t="s">
        <v>531</v>
      </c>
      <c r="E79" s="215"/>
      <c r="F79" s="215"/>
      <c r="G79" s="215"/>
      <c r="H79" s="222"/>
      <c r="I79" s="222"/>
      <c r="J79" s="222"/>
      <c r="K79" s="222"/>
      <c r="L79" s="222"/>
      <c r="M79" s="220" t="s">
        <v>532</v>
      </c>
    </row>
    <row r="80" spans="1:15" ht="24.95" customHeight="1">
      <c r="A80" s="626" t="s">
        <v>514</v>
      </c>
      <c r="B80" s="626"/>
      <c r="C80" s="626"/>
      <c r="D80" s="626"/>
      <c r="E80" s="215"/>
      <c r="F80" s="215"/>
      <c r="G80" s="215" t="s">
        <v>151</v>
      </c>
      <c r="H80" s="222">
        <f>+H78+H77+H40+H75</f>
        <v>0</v>
      </c>
      <c r="I80" s="222">
        <f>+I78+I77+I40+I75</f>
        <v>7947</v>
      </c>
      <c r="J80" s="222">
        <f>+J78+J77+J40+J75</f>
        <v>26904</v>
      </c>
      <c r="K80" s="222">
        <f>+K78+K77+K40+K75</f>
        <v>27845</v>
      </c>
      <c r="L80" s="222">
        <f>+L78+L77+L40+L75</f>
        <v>29058</v>
      </c>
      <c r="M80" s="228" t="s">
        <v>515</v>
      </c>
    </row>
    <row r="81" spans="1:15" ht="24.95" hidden="1" customHeight="1">
      <c r="B81" s="220" t="s">
        <v>516</v>
      </c>
      <c r="C81" s="220" t="s">
        <v>517</v>
      </c>
      <c r="D81" s="220">
        <v>9650000</v>
      </c>
    </row>
    <row r="82" spans="1:15" ht="24.95" hidden="1" customHeight="1">
      <c r="B82" s="220" t="s">
        <v>518</v>
      </c>
      <c r="C82" s="220" t="s">
        <v>517</v>
      </c>
      <c r="D82" s="220">
        <v>3670000</v>
      </c>
      <c r="H82" s="223"/>
      <c r="I82" s="223"/>
      <c r="J82" s="223"/>
      <c r="K82" s="223"/>
      <c r="L82" s="223"/>
    </row>
    <row r="83" spans="1:15" s="5" customFormat="1" ht="24.95" hidden="1" customHeight="1">
      <c r="B83" s="218" t="s">
        <v>519</v>
      </c>
      <c r="C83" s="220" t="s">
        <v>520</v>
      </c>
      <c r="D83" s="220">
        <v>1288000</v>
      </c>
    </row>
    <row r="84" spans="1:15" s="5" customFormat="1" ht="30" hidden="1" customHeight="1">
      <c r="A84" s="220"/>
      <c r="B84" s="220"/>
      <c r="C84" s="220"/>
      <c r="D84" s="220" t="s">
        <v>521</v>
      </c>
      <c r="E84" s="220" t="s">
        <v>522</v>
      </c>
      <c r="F84" s="220"/>
      <c r="G84" s="220"/>
      <c r="H84" s="220"/>
      <c r="I84" s="220">
        <v>2010</v>
      </c>
      <c r="J84" s="220">
        <v>2015</v>
      </c>
      <c r="K84" s="220">
        <v>2020</v>
      </c>
      <c r="L84" s="220">
        <v>2025</v>
      </c>
      <c r="M84" s="220"/>
      <c r="N84" s="234"/>
      <c r="O84" s="239"/>
    </row>
    <row r="85" spans="1:15" s="5" customFormat="1" ht="30" hidden="1" customHeight="1">
      <c r="A85" s="220" t="s">
        <v>523</v>
      </c>
      <c r="B85" s="629" t="s">
        <v>524</v>
      </c>
      <c r="C85" s="220" t="s">
        <v>525</v>
      </c>
      <c r="D85" s="220">
        <v>1400000</v>
      </c>
      <c r="E85" s="220">
        <v>1.8</v>
      </c>
      <c r="F85" s="220"/>
      <c r="G85" s="220"/>
      <c r="H85" s="220"/>
      <c r="I85" s="220"/>
      <c r="J85" s="236">
        <v>0.3</v>
      </c>
      <c r="K85" s="236">
        <v>0.3</v>
      </c>
      <c r="L85" s="236">
        <v>0.4</v>
      </c>
      <c r="M85" s="220"/>
      <c r="N85" s="234"/>
      <c r="O85" s="239">
        <f>ROUNDUP(D85*E85/1000,0)</f>
        <v>2520</v>
      </c>
    </row>
    <row r="86" spans="1:15" s="5" customFormat="1" ht="30" hidden="1" customHeight="1">
      <c r="A86" s="220"/>
      <c r="B86" s="630"/>
      <c r="C86" s="220"/>
      <c r="D86" s="220"/>
      <c r="E86" s="220"/>
      <c r="F86" s="220"/>
      <c r="G86" s="220"/>
      <c r="H86" s="220"/>
      <c r="I86" s="220">
        <f>ROUND($O$90*I85*0.9,0)</f>
        <v>0</v>
      </c>
      <c r="J86" s="220">
        <f>ROUND($O$85*J85*0.9,0)</f>
        <v>680</v>
      </c>
      <c r="K86" s="220">
        <f>ROUND($O$85*K85*0.9,0)</f>
        <v>680</v>
      </c>
      <c r="L86" s="220">
        <f>ROUND($O$85*L85*0.9,0)</f>
        <v>907</v>
      </c>
      <c r="M86" s="218" t="s">
        <v>509</v>
      </c>
      <c r="N86" s="234"/>
      <c r="O86" s="239"/>
    </row>
    <row r="87" spans="1:15" s="5" customFormat="1" ht="30" hidden="1" customHeight="1">
      <c r="A87" s="220"/>
      <c r="B87" s="630"/>
      <c r="C87" s="220"/>
      <c r="D87" s="220"/>
      <c r="E87" s="220"/>
      <c r="F87" s="220"/>
      <c r="G87" s="220"/>
      <c r="H87" s="220"/>
      <c r="I87" s="220">
        <f>+ROUND(I86*0.8,0)</f>
        <v>0</v>
      </c>
      <c r="J87" s="220">
        <f>+ROUND(J86*0.8,0)</f>
        <v>544</v>
      </c>
      <c r="K87" s="220">
        <f>+ROUND(K86*0.8,0)</f>
        <v>544</v>
      </c>
      <c r="L87" s="220">
        <f>+ROUND(L86*0.8,0)</f>
        <v>726</v>
      </c>
      <c r="M87" s="218" t="s">
        <v>498</v>
      </c>
      <c r="N87" s="234"/>
      <c r="O87" s="239"/>
    </row>
    <row r="88" spans="1:15" s="5" customFormat="1" ht="30" hidden="1" customHeight="1">
      <c r="A88" s="220"/>
      <c r="B88" s="630"/>
      <c r="C88" s="220"/>
      <c r="D88" s="220"/>
      <c r="E88" s="220"/>
      <c r="F88" s="220"/>
      <c r="G88" s="220"/>
      <c r="H88" s="220"/>
      <c r="I88" s="220">
        <f>+ROUNDUP(I87*2.6,0)</f>
        <v>0</v>
      </c>
      <c r="J88" s="220">
        <f>+ROUNDUP(J87*2.6,0)</f>
        <v>1415</v>
      </c>
      <c r="K88" s="220">
        <f>+ROUNDUP(K87*2.6,0)</f>
        <v>1415</v>
      </c>
      <c r="L88" s="220">
        <f>+ROUNDUP(L87*2.6,0)</f>
        <v>1888</v>
      </c>
      <c r="M88" s="218" t="s">
        <v>499</v>
      </c>
      <c r="N88" s="234"/>
      <c r="O88" s="239"/>
    </row>
    <row r="89" spans="1:15" s="5" customFormat="1" ht="30" hidden="1" customHeight="1">
      <c r="A89" s="220"/>
      <c r="B89" s="634"/>
      <c r="C89" s="220"/>
      <c r="D89" s="220"/>
      <c r="E89" s="220"/>
      <c r="F89" s="220"/>
      <c r="G89" s="220"/>
      <c r="H89" s="220"/>
      <c r="I89" s="236">
        <v>0.25</v>
      </c>
      <c r="J89" s="236">
        <v>0.5</v>
      </c>
      <c r="K89" s="236">
        <v>0.75</v>
      </c>
      <c r="L89" s="236">
        <v>1</v>
      </c>
      <c r="M89" s="220"/>
      <c r="N89" s="234"/>
      <c r="O89" s="239"/>
    </row>
    <row r="90" spans="1:15" s="5" customFormat="1" ht="30" hidden="1" customHeight="1">
      <c r="A90" s="220"/>
      <c r="B90" s="629" t="s">
        <v>505</v>
      </c>
      <c r="C90" s="220" t="s">
        <v>526</v>
      </c>
      <c r="D90" s="220">
        <v>247734</v>
      </c>
      <c r="E90" s="220">
        <v>1.8</v>
      </c>
      <c r="F90" s="220">
        <v>2009</v>
      </c>
      <c r="G90" s="220"/>
      <c r="H90" s="220"/>
      <c r="I90" s="220">
        <f>ROUND($O$90*I89*0.9,0)</f>
        <v>100</v>
      </c>
      <c r="J90" s="220">
        <f>ROUND($O$90*J89*0.9,0)</f>
        <v>201</v>
      </c>
      <c r="K90" s="220">
        <f>ROUND($O$90*K89*0.9,0)</f>
        <v>301</v>
      </c>
      <c r="L90" s="220">
        <f>ROUND($O$90*L89*0.9,0)</f>
        <v>401</v>
      </c>
      <c r="M90" s="218" t="s">
        <v>509</v>
      </c>
      <c r="N90" s="234"/>
      <c r="O90" s="239">
        <f>ROUNDUP(D90*E90/1000,0)</f>
        <v>446</v>
      </c>
    </row>
    <row r="91" spans="1:15" s="5" customFormat="1" ht="30" hidden="1" customHeight="1">
      <c r="A91" s="220"/>
      <c r="B91" s="630"/>
      <c r="C91" s="220"/>
      <c r="D91" s="220"/>
      <c r="E91" s="220"/>
      <c r="F91" s="220"/>
      <c r="G91" s="220"/>
      <c r="H91" s="220"/>
      <c r="I91" s="220">
        <f>+ROUND(I90*0.8,0)</f>
        <v>80</v>
      </c>
      <c r="J91" s="220">
        <f>+ROUND(J90*0.8,0)</f>
        <v>161</v>
      </c>
      <c r="K91" s="220">
        <f>+ROUND(K90*0.8,0)</f>
        <v>241</v>
      </c>
      <c r="L91" s="220">
        <f>+ROUND(L90*0.8,0)</f>
        <v>321</v>
      </c>
      <c r="M91" s="218" t="s">
        <v>498</v>
      </c>
      <c r="N91" s="234"/>
      <c r="O91" s="239"/>
    </row>
    <row r="92" spans="1:15" s="5" customFormat="1" ht="30" hidden="1" customHeight="1">
      <c r="A92" s="220"/>
      <c r="B92" s="630"/>
      <c r="C92" s="220"/>
      <c r="D92" s="220"/>
      <c r="E92" s="220"/>
      <c r="F92" s="220"/>
      <c r="G92" s="220"/>
      <c r="H92" s="220"/>
      <c r="I92" s="220">
        <f>+ROUNDUP(I91*2.6,0)</f>
        <v>208</v>
      </c>
      <c r="J92" s="220">
        <f>+ROUNDUP(J91*2.6,0)</f>
        <v>419</v>
      </c>
      <c r="K92" s="220">
        <f>+ROUNDUP(K91*2.6,0)</f>
        <v>627</v>
      </c>
      <c r="L92" s="220">
        <f>+ROUNDUP(L91*2.6,0)</f>
        <v>835</v>
      </c>
      <c r="M92" s="218" t="s">
        <v>499</v>
      </c>
      <c r="N92" s="234"/>
      <c r="O92" s="239"/>
    </row>
    <row r="93" spans="1:15" s="5" customFormat="1" ht="30" hidden="1" customHeight="1">
      <c r="A93" s="220"/>
      <c r="B93" s="634"/>
      <c r="C93" s="220"/>
      <c r="D93" s="220"/>
      <c r="E93" s="220"/>
      <c r="F93" s="220"/>
      <c r="G93" s="220"/>
      <c r="H93" s="220"/>
      <c r="I93" s="220"/>
      <c r="J93" s="220"/>
      <c r="K93" s="220"/>
      <c r="L93" s="220"/>
      <c r="M93" s="220"/>
      <c r="N93" s="234"/>
      <c r="O93" s="239"/>
    </row>
    <row r="94" spans="1:15" s="5" customFormat="1" ht="30" hidden="1" customHeight="1">
      <c r="A94" s="220"/>
      <c r="B94" s="220" t="s">
        <v>527</v>
      </c>
      <c r="C94" s="220" t="s">
        <v>526</v>
      </c>
      <c r="D94" s="220">
        <v>923000</v>
      </c>
      <c r="E94" s="220">
        <v>1.8</v>
      </c>
      <c r="F94" s="220">
        <v>2012</v>
      </c>
      <c r="G94" s="220"/>
      <c r="H94" s="220"/>
      <c r="I94" s="236"/>
      <c r="J94" s="236">
        <v>0.3</v>
      </c>
      <c r="K94" s="236">
        <v>0.3</v>
      </c>
      <c r="L94" s="236">
        <v>1</v>
      </c>
      <c r="M94" s="220"/>
      <c r="N94" s="234"/>
      <c r="O94" s="239">
        <f>ROUNDUP(D94*E94/1000,0)</f>
        <v>1662</v>
      </c>
    </row>
    <row r="95" spans="1:15" s="5" customFormat="1" ht="30" hidden="1" customHeight="1">
      <c r="A95" s="220"/>
      <c r="B95" s="220"/>
      <c r="C95" s="220"/>
      <c r="D95" s="220"/>
      <c r="E95" s="220"/>
      <c r="F95" s="220"/>
      <c r="G95" s="220"/>
      <c r="H95" s="220"/>
      <c r="I95" s="220">
        <f>ROUND($O$94*I94*0.9,0)</f>
        <v>0</v>
      </c>
      <c r="J95" s="220">
        <f>ROUND($O$94*J94*0.9,0)</f>
        <v>449</v>
      </c>
      <c r="K95" s="220">
        <f>ROUND($O$94*K94*0.9,0)</f>
        <v>449</v>
      </c>
      <c r="L95" s="220">
        <f>ROUND($O$94*L94*0.9,0)</f>
        <v>1496</v>
      </c>
      <c r="M95" s="218" t="s">
        <v>509</v>
      </c>
      <c r="N95" s="234"/>
      <c r="O95" s="239"/>
    </row>
    <row r="96" spans="1:15" s="5" customFormat="1" ht="30" hidden="1" customHeight="1">
      <c r="A96" s="220"/>
      <c r="B96" s="220"/>
      <c r="C96" s="220"/>
      <c r="D96" s="220"/>
      <c r="E96" s="220"/>
      <c r="F96" s="220"/>
      <c r="G96" s="220"/>
      <c r="H96" s="220"/>
      <c r="I96" s="220">
        <f>+ROUND(I95*0.8,0)</f>
        <v>0</v>
      </c>
      <c r="J96" s="220">
        <f>+ROUND(J95*0.8,0)</f>
        <v>359</v>
      </c>
      <c r="K96" s="220">
        <f>+ROUND(K95*0.8,0)</f>
        <v>359</v>
      </c>
      <c r="L96" s="220">
        <f>+ROUND(L95*0.8,0)</f>
        <v>1197</v>
      </c>
      <c r="M96" s="218" t="s">
        <v>498</v>
      </c>
      <c r="N96" s="234"/>
      <c r="O96" s="239"/>
    </row>
    <row r="97" spans="1:15" s="5" customFormat="1" ht="30" hidden="1" customHeight="1">
      <c r="A97" s="220"/>
      <c r="B97" s="220"/>
      <c r="C97" s="220"/>
      <c r="D97" s="220"/>
      <c r="E97" s="220"/>
      <c r="F97" s="220"/>
      <c r="G97" s="220"/>
      <c r="H97" s="220"/>
      <c r="I97" s="220">
        <f>+ROUNDUP(I96*2.6,0)</f>
        <v>0</v>
      </c>
      <c r="J97" s="220">
        <f>+ROUNDUP(J96*2.6,0)</f>
        <v>934</v>
      </c>
      <c r="K97" s="220">
        <f>+ROUNDUP(K96*2.6,0)</f>
        <v>934</v>
      </c>
      <c r="L97" s="220">
        <f>+ROUNDUP(L96*2.6,0)</f>
        <v>3113</v>
      </c>
      <c r="M97" s="218" t="s">
        <v>499</v>
      </c>
      <c r="N97" s="234"/>
      <c r="O97" s="239"/>
    </row>
    <row r="98" spans="1:15" s="5" customFormat="1" ht="30" hidden="1" customHeight="1">
      <c r="A98" s="220"/>
      <c r="B98" s="220" t="s">
        <v>516</v>
      </c>
      <c r="C98" s="220" t="s">
        <v>517</v>
      </c>
      <c r="D98" s="220">
        <v>9650000</v>
      </c>
      <c r="E98" s="220">
        <v>1.8</v>
      </c>
      <c r="F98" s="220"/>
      <c r="G98" s="220"/>
      <c r="H98" s="220"/>
      <c r="I98" s="220"/>
      <c r="J98" s="220"/>
      <c r="K98" s="220"/>
      <c r="L98" s="220"/>
      <c r="M98" s="220"/>
      <c r="N98" s="234"/>
      <c r="O98" s="239">
        <f>ROUNDUP(D98*E98/1000,0)</f>
        <v>17370</v>
      </c>
    </row>
    <row r="99" spans="1:15" s="5" customFormat="1" ht="30" hidden="1" customHeight="1">
      <c r="A99" s="220"/>
      <c r="B99" s="220" t="s">
        <v>518</v>
      </c>
      <c r="C99" s="220" t="s">
        <v>517</v>
      </c>
      <c r="D99" s="220">
        <v>3670000</v>
      </c>
      <c r="E99" s="220">
        <v>1.8</v>
      </c>
      <c r="F99" s="220"/>
      <c r="G99" s="220"/>
      <c r="H99" s="220"/>
      <c r="I99" s="220"/>
      <c r="J99" s="220"/>
      <c r="K99" s="220"/>
      <c r="L99" s="220"/>
      <c r="M99" s="220"/>
      <c r="N99" s="234"/>
      <c r="O99" s="239">
        <f>ROUNDUP(D99*E99/1000,0)</f>
        <v>6606</v>
      </c>
    </row>
    <row r="100" spans="1:15" s="5" customFormat="1" ht="30" hidden="1" customHeight="1">
      <c r="A100" s="220"/>
      <c r="B100" s="218" t="s">
        <v>519</v>
      </c>
      <c r="C100" s="220" t="s">
        <v>520</v>
      </c>
      <c r="D100" s="220">
        <v>1288000</v>
      </c>
      <c r="E100" s="220">
        <v>1.8</v>
      </c>
      <c r="F100" s="220"/>
      <c r="G100" s="220"/>
      <c r="H100" s="220"/>
      <c r="I100" s="220"/>
      <c r="J100" s="220"/>
      <c r="K100" s="220"/>
      <c r="L100" s="220"/>
      <c r="M100" s="220"/>
      <c r="N100" s="234"/>
      <c r="O100" s="239">
        <f>ROUNDUP(D100*E100/1000,0)</f>
        <v>2319</v>
      </c>
    </row>
    <row r="101" spans="1:15" s="5" customFormat="1" ht="30" hidden="1" customHeight="1">
      <c r="I101" s="236"/>
      <c r="J101" s="236"/>
      <c r="K101" s="236"/>
      <c r="L101" s="236"/>
      <c r="M101" s="220"/>
    </row>
    <row r="102" spans="1:15" s="5" customFormat="1" ht="30" hidden="1" customHeight="1">
      <c r="I102" s="220"/>
      <c r="J102" s="220"/>
      <c r="K102" s="220"/>
      <c r="L102" s="220"/>
      <c r="M102" s="218"/>
    </row>
    <row r="103" spans="1:15" s="5" customFormat="1" ht="30" hidden="1" customHeight="1">
      <c r="I103" s="220"/>
      <c r="J103" s="220"/>
      <c r="K103" s="220"/>
      <c r="L103" s="220"/>
      <c r="M103" s="218"/>
    </row>
    <row r="104" spans="1:15" s="5" customFormat="1" ht="30" hidden="1" customHeight="1">
      <c r="I104" s="220"/>
      <c r="J104" s="220"/>
      <c r="K104" s="220"/>
      <c r="L104" s="220"/>
      <c r="M104" s="218"/>
    </row>
    <row r="105" spans="1:15" s="5" customFormat="1" ht="30" customHeight="1"/>
    <row r="106" spans="1:15" s="5" customFormat="1" ht="30" customHeight="1">
      <c r="M106" s="237" t="e">
        <f>+L80+#REF!</f>
        <v>#REF!</v>
      </c>
    </row>
    <row r="107" spans="1:15" s="5" customFormat="1" ht="30" customHeight="1">
      <c r="L107" s="237"/>
    </row>
    <row r="108" spans="1:15" s="5" customFormat="1" ht="30" customHeight="1"/>
    <row r="109" spans="1:15" s="5" customFormat="1" ht="30" customHeight="1"/>
    <row r="110" spans="1:15" s="5" customFormat="1" ht="30" customHeight="1"/>
    <row r="111" spans="1:15" ht="30" customHeight="1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</row>
    <row r="112" spans="1:15" ht="30" customHeight="1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</row>
    <row r="113" spans="1:14" ht="30" customHeight="1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</row>
    <row r="114" spans="1:14" ht="30" customHeight="1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</row>
    <row r="115" spans="1:14" ht="30" customHeight="1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</row>
    <row r="116" spans="1:14" ht="30" customHeight="1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</row>
    <row r="117" spans="1:14" ht="30" customHeight="1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</row>
    <row r="118" spans="1:14" ht="30" customHeight="1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</row>
    <row r="119" spans="1:14" ht="30" customHeight="1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</row>
    <row r="120" spans="1:14" ht="30" customHeight="1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</row>
    <row r="121" spans="1:14" ht="24.95" customHeight="1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</row>
    <row r="122" spans="1:14" ht="24.95" customHeight="1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</row>
    <row r="123" spans="1:14" ht="24.95" customHeight="1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</row>
    <row r="124" spans="1:14" ht="24.95" customHeight="1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</row>
    <row r="125" spans="1:14" ht="24.95" customHeight="1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</row>
    <row r="126" spans="1:14" ht="24.95" customHeight="1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</row>
    <row r="127" spans="1:14" ht="24.95" customHeight="1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</row>
    <row r="128" spans="1:14" ht="24.95" customHeight="1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</row>
    <row r="129" spans="1:14" ht="24.95" customHeight="1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</row>
    <row r="130" spans="1:14" ht="24.95" customHeight="1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</row>
    <row r="131" spans="1:14" ht="24.95" customHeight="1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</row>
    <row r="132" spans="1:14" ht="24.95" customHeight="1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</row>
    <row r="133" spans="1:14" ht="24.95" customHeight="1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</row>
    <row r="134" spans="1:14" ht="24.95" customHeight="1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</row>
    <row r="135" spans="1:14" ht="24.95" customHeight="1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</row>
    <row r="136" spans="1:14" ht="24.95" customHeight="1"/>
    <row r="137" spans="1:14" ht="24.95" customHeight="1"/>
    <row r="138" spans="1:14" ht="24.95" customHeight="1"/>
    <row r="139" spans="1:14" ht="24.95" customHeight="1"/>
    <row r="140" spans="1:14" ht="24.95" customHeight="1"/>
    <row r="141" spans="1:14" ht="24.95" customHeight="1"/>
    <row r="142" spans="1:14" ht="24.95" customHeight="1"/>
    <row r="143" spans="1:14" ht="24.95" customHeight="1"/>
    <row r="144" spans="1:14" ht="24.95" customHeight="1"/>
    <row r="145" ht="24.95" customHeight="1"/>
    <row r="146" ht="24.95" customHeight="1"/>
    <row r="147" ht="24.95" customHeight="1"/>
    <row r="148" ht="24.95" customHeight="1"/>
    <row r="149" ht="24.95" customHeight="1"/>
    <row r="150" ht="24.95" customHeight="1"/>
    <row r="151" ht="24.95" customHeight="1"/>
    <row r="152" ht="24.95" customHeight="1"/>
    <row r="153" ht="24.95" customHeight="1"/>
    <row r="154" ht="24.95" customHeight="1"/>
    <row r="155" ht="24.95" customHeight="1"/>
    <row r="156" ht="24.95" customHeight="1"/>
    <row r="157" ht="24.95" customHeight="1"/>
    <row r="158" ht="24.95" customHeight="1"/>
    <row r="159" ht="24.95" customHeight="1"/>
    <row r="160" ht="24.95" customHeight="1"/>
    <row r="161" ht="24.95" customHeight="1"/>
    <row r="162" ht="24.95" customHeight="1"/>
    <row r="163" ht="24.95" customHeight="1"/>
    <row r="164" ht="24.95" customHeight="1"/>
    <row r="165" ht="24.95" customHeight="1"/>
    <row r="166" ht="24.95" customHeight="1"/>
    <row r="167" ht="24.95" customHeight="1"/>
    <row r="168" ht="24.95" customHeight="1"/>
    <row r="169" ht="24.95" customHeight="1"/>
    <row r="170" ht="24.95" customHeight="1"/>
    <row r="171" ht="24.95" customHeight="1"/>
    <row r="172" ht="24.95" customHeight="1"/>
    <row r="173" ht="24.95" customHeight="1"/>
    <row r="174" ht="24.95" customHeight="1"/>
    <row r="175" ht="24.95" customHeight="1"/>
    <row r="176" ht="24.95" customHeight="1"/>
    <row r="177" ht="24.95" customHeight="1"/>
    <row r="178" ht="24.95" customHeight="1"/>
    <row r="179" ht="24.95" customHeight="1"/>
    <row r="180" ht="24.95" customHeight="1"/>
    <row r="181" ht="24.95" customHeight="1"/>
    <row r="182" ht="24.95" customHeight="1"/>
    <row r="183" ht="24.95" customHeight="1"/>
    <row r="184" ht="24.95" customHeight="1"/>
    <row r="185" ht="24.95" customHeight="1"/>
    <row r="186" ht="24.95" customHeight="1"/>
    <row r="187" ht="24.95" customHeight="1"/>
    <row r="188" ht="24.95" customHeight="1"/>
    <row r="189" ht="24.95" customHeight="1"/>
    <row r="190" ht="24.95" customHeight="1"/>
    <row r="191" ht="24.95" customHeight="1"/>
    <row r="192" ht="24.95" customHeight="1"/>
    <row r="193" ht="24.95" customHeight="1"/>
    <row r="194" ht="24.95" customHeight="1"/>
    <row r="195" ht="24.95" customHeight="1"/>
    <row r="196" ht="24.95" customHeight="1"/>
    <row r="197" ht="24.95" customHeight="1"/>
    <row r="198" ht="24.95" customHeight="1"/>
    <row r="199" ht="24.95" customHeight="1"/>
    <row r="200" ht="24.95" customHeight="1"/>
    <row r="201" ht="24.95" customHeight="1"/>
    <row r="202" ht="24.95" customHeight="1"/>
    <row r="203" ht="24.95" customHeight="1"/>
    <row r="204" ht="24.95" customHeight="1"/>
    <row r="205" ht="24.95" customHeight="1"/>
    <row r="206" ht="24.95" customHeight="1"/>
    <row r="207" ht="24.95" customHeight="1"/>
    <row r="208" ht="24.95" customHeight="1"/>
    <row r="209" ht="24.95" customHeight="1"/>
    <row r="210" ht="24.95" customHeight="1"/>
    <row r="211" ht="24.95" customHeight="1"/>
    <row r="212" ht="24.95" customHeight="1"/>
    <row r="213" ht="24.95" customHeight="1"/>
    <row r="214" ht="24.95" customHeight="1"/>
    <row r="215" ht="24.95" customHeight="1"/>
    <row r="216" ht="24.95" customHeight="1"/>
    <row r="217" ht="24.95" customHeight="1"/>
    <row r="218" ht="24.95" customHeight="1"/>
    <row r="219" ht="24.95" customHeight="1"/>
    <row r="220" ht="24.95" customHeight="1"/>
    <row r="221" ht="24.95" customHeight="1"/>
    <row r="222" ht="24.95" customHeight="1"/>
    <row r="223" ht="24.95" customHeight="1"/>
    <row r="224" ht="24.95" customHeight="1"/>
    <row r="225" ht="24.95" customHeight="1"/>
    <row r="226" ht="24.95" customHeight="1"/>
    <row r="227" ht="24.95" customHeight="1"/>
    <row r="228" ht="24.95" customHeight="1"/>
    <row r="229" ht="24.95" customHeight="1"/>
    <row r="230" ht="24.95" customHeight="1"/>
    <row r="231" ht="24.95" customHeight="1"/>
    <row r="232" ht="24.95" customHeight="1"/>
    <row r="233" ht="24.95" customHeight="1"/>
    <row r="234" ht="24.95" customHeight="1"/>
    <row r="235" ht="24.95" customHeight="1"/>
    <row r="236" ht="24.95" customHeight="1"/>
    <row r="237" ht="24.95" customHeight="1"/>
    <row r="238" ht="24.95" customHeight="1"/>
    <row r="239" ht="24.95" customHeight="1"/>
    <row r="240" ht="24.95" customHeight="1"/>
    <row r="241" ht="24.95" customHeight="1"/>
    <row r="242" ht="24.95" customHeight="1"/>
    <row r="243" ht="24.95" customHeight="1"/>
    <row r="244" ht="24.95" customHeight="1"/>
    <row r="245" ht="24.95" customHeight="1"/>
    <row r="246" ht="24.95" customHeight="1"/>
    <row r="247" ht="24.95" customHeight="1"/>
    <row r="248" ht="24.95" customHeight="1"/>
    <row r="249" ht="24.95" customHeight="1"/>
    <row r="250" ht="24.95" customHeight="1"/>
    <row r="251" ht="24.95" customHeight="1"/>
    <row r="252" ht="24.95" customHeight="1"/>
    <row r="253" ht="24.95" customHeight="1"/>
    <row r="254" ht="24.95" customHeight="1"/>
    <row r="255" ht="24.95" customHeight="1"/>
    <row r="256" ht="24.95" customHeight="1"/>
    <row r="257" ht="24.95" customHeight="1"/>
    <row r="258" ht="24.95" customHeight="1"/>
    <row r="259" ht="24.95" customHeight="1"/>
    <row r="260" ht="24.95" customHeight="1"/>
    <row r="261" ht="24.95" customHeight="1"/>
    <row r="262" ht="24.95" customHeight="1"/>
    <row r="263" ht="24.95" customHeight="1"/>
    <row r="264" ht="24.95" customHeight="1"/>
    <row r="265" ht="24.95" customHeight="1"/>
    <row r="266" ht="24.95" customHeight="1"/>
    <row r="267" ht="24.95" customHeight="1"/>
    <row r="268" ht="24.95" customHeight="1"/>
    <row r="269" ht="24.95" customHeight="1"/>
    <row r="270" ht="24.95" customHeight="1"/>
    <row r="271" ht="24.95" customHeight="1"/>
    <row r="272" ht="24.95" customHeight="1"/>
    <row r="273" ht="24.95" customHeight="1"/>
    <row r="274" ht="24.95" customHeight="1"/>
    <row r="275" ht="24.95" customHeight="1"/>
    <row r="276" ht="24.95" customHeight="1"/>
    <row r="277" ht="24.95" customHeight="1"/>
    <row r="278" ht="24.95" customHeight="1"/>
    <row r="279" ht="24.95" customHeight="1"/>
    <row r="280" ht="24.95" customHeight="1"/>
    <row r="281" ht="24.95" customHeight="1"/>
    <row r="282" ht="24.95" customHeight="1"/>
    <row r="283" ht="24.95" customHeight="1"/>
    <row r="284" ht="24.95" customHeight="1"/>
    <row r="285" ht="24.95" customHeight="1"/>
    <row r="286" ht="24.95" customHeight="1"/>
    <row r="287" ht="24.95" customHeight="1"/>
    <row r="288" ht="24.95" customHeight="1"/>
    <row r="289" ht="24.95" customHeight="1"/>
    <row r="290" ht="24.95" customHeight="1"/>
    <row r="291" ht="24.95" customHeight="1"/>
    <row r="292" ht="24.95" customHeight="1"/>
    <row r="293" ht="24.95" customHeight="1"/>
    <row r="294" ht="24.95" customHeight="1"/>
    <row r="295" ht="24.95" customHeight="1"/>
    <row r="296" ht="24.95" customHeight="1"/>
  </sheetData>
  <mergeCells count="49">
    <mergeCell ref="C46:D46"/>
    <mergeCell ref="A23:A40"/>
    <mergeCell ref="B23:B40"/>
    <mergeCell ref="C23:C31"/>
    <mergeCell ref="C32:C35"/>
    <mergeCell ref="C36:C37"/>
    <mergeCell ref="C40:D40"/>
    <mergeCell ref="B90:B93"/>
    <mergeCell ref="B75:D75"/>
    <mergeCell ref="A80:D80"/>
    <mergeCell ref="B85:B89"/>
    <mergeCell ref="A41:A79"/>
    <mergeCell ref="C61:C66"/>
    <mergeCell ref="C67:D67"/>
    <mergeCell ref="C68:C72"/>
    <mergeCell ref="C74:D74"/>
    <mergeCell ref="C76:C77"/>
    <mergeCell ref="B41:B74"/>
    <mergeCell ref="C53:D53"/>
    <mergeCell ref="C54:C59"/>
    <mergeCell ref="C60:D60"/>
    <mergeCell ref="C41:D45"/>
    <mergeCell ref="C47:D52"/>
    <mergeCell ref="M2:M4"/>
    <mergeCell ref="I3:I4"/>
    <mergeCell ref="J3:J4"/>
    <mergeCell ref="K3:K4"/>
    <mergeCell ref="M76:M77"/>
    <mergeCell ref="M20:M21"/>
    <mergeCell ref="M47:M48"/>
    <mergeCell ref="M23:M26"/>
    <mergeCell ref="M5:M8"/>
    <mergeCell ref="M9:M19"/>
    <mergeCell ref="L3:L4"/>
    <mergeCell ref="M38:M39"/>
    <mergeCell ref="M27:M31"/>
    <mergeCell ref="M32:M35"/>
    <mergeCell ref="M36:M37"/>
    <mergeCell ref="A5:A22"/>
    <mergeCell ref="B5:B22"/>
    <mergeCell ref="C5:C13"/>
    <mergeCell ref="C18:C19"/>
    <mergeCell ref="C14:C17"/>
    <mergeCell ref="C22:D22"/>
    <mergeCell ref="A2:D4"/>
    <mergeCell ref="E2:E4"/>
    <mergeCell ref="F2:F4"/>
    <mergeCell ref="G2:G4"/>
    <mergeCell ref="H2:L2"/>
  </mergeCells>
  <phoneticPr fontId="10" type="noConversion"/>
  <pageMargins left="0.75" right="0.75" top="1" bottom="1" header="0.5" footer="0.5"/>
  <pageSetup paperSize="9" scale="88" orientation="landscape" horizontalDpi="300" verticalDpi="3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>
  <sheetPr codeName="Sheet47">
    <tabColor indexed="43"/>
  </sheetPr>
  <dimension ref="A1:AX248"/>
  <sheetViews>
    <sheetView workbookViewId="0"/>
  </sheetViews>
  <sheetFormatPr defaultRowHeight="15" customHeight="1"/>
  <cols>
    <col min="1" max="1" width="8.88671875" style="55"/>
    <col min="2" max="2" width="9.21875" style="55" customWidth="1"/>
    <col min="3" max="3" width="9.5546875" style="55" customWidth="1"/>
    <col min="4" max="4" width="9" style="55" customWidth="1"/>
    <col min="5" max="5" width="11.33203125" style="55" customWidth="1"/>
    <col min="6" max="6" width="9.44140625" style="55" customWidth="1"/>
    <col min="7" max="7" width="15.109375" style="55" bestFit="1" customWidth="1"/>
    <col min="8" max="8" width="12.88671875" style="55" bestFit="1" customWidth="1"/>
    <col min="9" max="9" width="11.5546875" style="55" bestFit="1" customWidth="1"/>
    <col min="10" max="16384" width="8.88671875" style="55"/>
  </cols>
  <sheetData>
    <row r="1" spans="1:12" ht="15" customHeight="1">
      <c r="A1" s="54" t="s">
        <v>109</v>
      </c>
    </row>
    <row r="2" spans="1:12" ht="15" customHeight="1">
      <c r="A2" s="54"/>
    </row>
    <row r="3" spans="1:12" ht="15" customHeight="1">
      <c r="A3" s="56" t="s">
        <v>74</v>
      </c>
      <c r="B3" s="57"/>
    </row>
    <row r="4" spans="1:12" ht="15" customHeight="1">
      <c r="A4" s="58" t="s">
        <v>32</v>
      </c>
      <c r="B4" s="59" t="s">
        <v>40</v>
      </c>
      <c r="C4" s="59" t="s">
        <v>33</v>
      </c>
      <c r="D4" s="60"/>
      <c r="E4" s="60"/>
      <c r="F4" s="61"/>
      <c r="G4" s="62"/>
      <c r="H4" s="63" t="s">
        <v>104</v>
      </c>
      <c r="I4" s="64">
        <f>RSQ(I5:I24,B5:B24)</f>
        <v>0.92477186251460719</v>
      </c>
    </row>
    <row r="5" spans="1:12" ht="15" customHeight="1">
      <c r="A5" s="65">
        <f>과거인구현황!A6</f>
        <v>1988</v>
      </c>
      <c r="B5" s="66">
        <f>+VLOOKUP(A5,과거인구현황!$A$6:$W$26,6,FALSE)</f>
        <v>9467</v>
      </c>
      <c r="C5" s="67">
        <v>0</v>
      </c>
      <c r="D5" s="53" t="s">
        <v>75</v>
      </c>
      <c r="E5" s="68">
        <f>(B24-B5)/C24</f>
        <v>-225.47368421052633</v>
      </c>
      <c r="F5" s="69"/>
      <c r="G5" s="53"/>
      <c r="H5" s="69"/>
      <c r="I5" s="70">
        <f t="shared" ref="I5:I42" si="0">$E$5*C5+$E$6</f>
        <v>9467</v>
      </c>
      <c r="J5" s="71">
        <v>570570</v>
      </c>
      <c r="K5" s="55">
        <v>570570</v>
      </c>
      <c r="L5" s="55">
        <v>766</v>
      </c>
    </row>
    <row r="6" spans="1:12" ht="15" customHeight="1">
      <c r="A6" s="65">
        <f>과거인구현황!A7</f>
        <v>1989</v>
      </c>
      <c r="B6" s="66">
        <f>+VLOOKUP(A6,과거인구현황!$A$6:$W$26,6,FALSE)</f>
        <v>10116</v>
      </c>
      <c r="C6" s="67">
        <f t="shared" ref="C6:C42" si="1">C5+1</f>
        <v>1</v>
      </c>
      <c r="D6" s="53" t="s">
        <v>76</v>
      </c>
      <c r="E6" s="72">
        <f>B5</f>
        <v>9467</v>
      </c>
      <c r="F6" s="69"/>
      <c r="G6" s="53"/>
      <c r="H6" s="69"/>
      <c r="I6" s="70">
        <f t="shared" si="0"/>
        <v>9241.5263157894733</v>
      </c>
      <c r="J6" s="71">
        <v>583230</v>
      </c>
      <c r="K6" s="55">
        <v>583230</v>
      </c>
      <c r="L6" s="55">
        <v>1094</v>
      </c>
    </row>
    <row r="7" spans="1:12" ht="15" customHeight="1">
      <c r="A7" s="65">
        <f>과거인구현황!A8</f>
        <v>1990</v>
      </c>
      <c r="B7" s="66">
        <f>+VLOOKUP(A7,과거인구현황!$A$6:$W$26,6,FALSE)</f>
        <v>8540</v>
      </c>
      <c r="C7" s="67">
        <f t="shared" si="1"/>
        <v>2</v>
      </c>
      <c r="D7" s="53" t="s">
        <v>77</v>
      </c>
      <c r="E7" s="73">
        <f>I4</f>
        <v>0.92477186251460719</v>
      </c>
      <c r="F7" s="69"/>
      <c r="G7" s="53"/>
      <c r="H7" s="69"/>
      <c r="I7" s="70">
        <f t="shared" si="0"/>
        <v>9016.0526315789466</v>
      </c>
      <c r="J7" s="71">
        <v>590162</v>
      </c>
      <c r="K7" s="55">
        <v>590162</v>
      </c>
      <c r="L7" s="55">
        <v>1277</v>
      </c>
    </row>
    <row r="8" spans="1:12" ht="15" customHeight="1">
      <c r="A8" s="65">
        <f>과거인구현황!A9</f>
        <v>1991</v>
      </c>
      <c r="B8" s="66">
        <f>+VLOOKUP(A8,과거인구현황!$A$6:$W$26,6,FALSE)</f>
        <v>8362</v>
      </c>
      <c r="C8" s="67">
        <f t="shared" si="1"/>
        <v>3</v>
      </c>
      <c r="D8" s="53"/>
      <c r="E8" s="53"/>
      <c r="F8" s="69"/>
      <c r="G8" s="53"/>
      <c r="H8" s="69"/>
      <c r="I8" s="70">
        <f t="shared" si="0"/>
        <v>8790.5789473684217</v>
      </c>
      <c r="J8" s="71">
        <v>600343</v>
      </c>
      <c r="K8" s="55">
        <v>600343</v>
      </c>
      <c r="L8" s="55">
        <v>1147</v>
      </c>
    </row>
    <row r="9" spans="1:12" ht="15" customHeight="1">
      <c r="A9" s="65">
        <f>과거인구현황!A10</f>
        <v>1992</v>
      </c>
      <c r="B9" s="66">
        <f>+VLOOKUP(A9,과거인구현황!$A$6:$W$26,6,FALSE)</f>
        <v>7873</v>
      </c>
      <c r="C9" s="67">
        <f t="shared" si="1"/>
        <v>4</v>
      </c>
      <c r="D9" s="53"/>
      <c r="E9" s="53"/>
      <c r="F9" s="69"/>
      <c r="G9" s="53"/>
      <c r="H9" s="69"/>
      <c r="I9" s="70">
        <f t="shared" si="0"/>
        <v>8565.105263157895</v>
      </c>
      <c r="J9" s="71">
        <v>611921</v>
      </c>
      <c r="K9" s="55">
        <v>611921</v>
      </c>
      <c r="L9" s="55">
        <v>1355</v>
      </c>
    </row>
    <row r="10" spans="1:12" ht="15" customHeight="1">
      <c r="A10" s="65">
        <f>과거인구현황!A11</f>
        <v>1993</v>
      </c>
      <c r="B10" s="66">
        <f>+VLOOKUP(A10,과거인구현황!$A$6:$W$26,6,FALSE)</f>
        <v>7706</v>
      </c>
      <c r="C10" s="67">
        <f t="shared" si="1"/>
        <v>5</v>
      </c>
      <c r="D10" s="53"/>
      <c r="E10" s="53"/>
      <c r="F10" s="69"/>
      <c r="G10" s="53"/>
      <c r="H10" s="69"/>
      <c r="I10" s="70">
        <f t="shared" si="0"/>
        <v>8339.6315789473683</v>
      </c>
      <c r="J10" s="74">
        <v>622238</v>
      </c>
      <c r="K10" s="55">
        <v>622238</v>
      </c>
      <c r="L10" s="55">
        <v>1717</v>
      </c>
    </row>
    <row r="11" spans="1:12" ht="15" customHeight="1">
      <c r="A11" s="65">
        <f>과거인구현황!A12</f>
        <v>1994</v>
      </c>
      <c r="B11" s="66">
        <f>+VLOOKUP(A11,과거인구현황!$A$6:$W$26,6,FALSE)</f>
        <v>7428</v>
      </c>
      <c r="C11" s="67">
        <f t="shared" si="1"/>
        <v>6</v>
      </c>
      <c r="D11" s="53" t="s">
        <v>73</v>
      </c>
      <c r="E11" s="53"/>
      <c r="F11" s="69"/>
      <c r="G11" s="53"/>
      <c r="H11" s="69"/>
      <c r="I11" s="70">
        <f t="shared" si="0"/>
        <v>8114.1578947368416</v>
      </c>
      <c r="J11" s="74">
        <v>623897</v>
      </c>
      <c r="K11" s="55">
        <v>623897</v>
      </c>
      <c r="L11" s="55">
        <v>1614</v>
      </c>
    </row>
    <row r="12" spans="1:12" ht="15" customHeight="1">
      <c r="A12" s="65">
        <f>과거인구현황!A13</f>
        <v>1995</v>
      </c>
      <c r="B12" s="66">
        <f>+VLOOKUP(A12,과거인구현황!$A$6:$W$26,6,FALSE)</f>
        <v>7107</v>
      </c>
      <c r="C12" s="67">
        <f t="shared" si="1"/>
        <v>7</v>
      </c>
      <c r="D12" s="53"/>
      <c r="E12" s="53"/>
      <c r="F12" s="69"/>
      <c r="G12" s="53"/>
      <c r="H12" s="69"/>
      <c r="I12" s="70">
        <f t="shared" si="0"/>
        <v>7888.6842105263158</v>
      </c>
      <c r="J12" s="74">
        <v>626069</v>
      </c>
      <c r="K12" s="55">
        <v>626069</v>
      </c>
      <c r="L12" s="55">
        <v>1584</v>
      </c>
    </row>
    <row r="13" spans="1:12" ht="15" customHeight="1">
      <c r="A13" s="65">
        <f>과거인구현황!A14</f>
        <v>1996</v>
      </c>
      <c r="B13" s="66">
        <f>+VLOOKUP(A13,과거인구현황!$A$6:$W$26,6,FALSE)</f>
        <v>7208</v>
      </c>
      <c r="C13" s="67">
        <f t="shared" si="1"/>
        <v>8</v>
      </c>
      <c r="D13" s="53"/>
      <c r="E13" s="53"/>
      <c r="F13" s="69"/>
      <c r="G13" s="53"/>
      <c r="H13" s="69"/>
      <c r="I13" s="70">
        <f t="shared" si="0"/>
        <v>7663.2105263157891</v>
      </c>
      <c r="J13" s="74">
        <v>618816</v>
      </c>
      <c r="K13" s="55">
        <v>620374</v>
      </c>
      <c r="L13" s="75">
        <v>1555</v>
      </c>
    </row>
    <row r="14" spans="1:12" ht="15" customHeight="1">
      <c r="A14" s="65">
        <f>과거인구현황!A15</f>
        <v>1997</v>
      </c>
      <c r="B14" s="66">
        <f>+VLOOKUP(A14,과거인구현황!$A$6:$W$26,6,FALSE)</f>
        <v>6952</v>
      </c>
      <c r="C14" s="67">
        <f t="shared" si="1"/>
        <v>9</v>
      </c>
      <c r="D14" s="53"/>
      <c r="E14" s="53"/>
      <c r="F14" s="69"/>
      <c r="G14" s="53"/>
      <c r="H14" s="69"/>
      <c r="I14" s="70">
        <f t="shared" si="0"/>
        <v>7437.7368421052633</v>
      </c>
      <c r="J14" s="74">
        <v>622472</v>
      </c>
      <c r="K14" s="55">
        <v>624260</v>
      </c>
      <c r="L14" s="75">
        <v>1788</v>
      </c>
    </row>
    <row r="15" spans="1:12" ht="15" customHeight="1">
      <c r="A15" s="65">
        <f>과거인구현황!A16</f>
        <v>1998</v>
      </c>
      <c r="B15" s="66">
        <f>+VLOOKUP(A15,과거인구현황!$A$6:$W$26,6,FALSE)</f>
        <v>6698</v>
      </c>
      <c r="C15" s="67">
        <f t="shared" si="1"/>
        <v>10</v>
      </c>
      <c r="D15" s="53"/>
      <c r="E15" s="53"/>
      <c r="F15" s="69"/>
      <c r="G15" s="53"/>
      <c r="H15" s="69"/>
      <c r="I15" s="70">
        <f t="shared" si="0"/>
        <v>7212.2631578947367</v>
      </c>
      <c r="K15" s="55">
        <v>623804</v>
      </c>
      <c r="L15" s="75">
        <f>+J15-K15</f>
        <v>-623804</v>
      </c>
    </row>
    <row r="16" spans="1:12" ht="15" customHeight="1">
      <c r="A16" s="65">
        <f>과거인구현황!A17</f>
        <v>1999</v>
      </c>
      <c r="B16" s="66">
        <f>+VLOOKUP(A16,과거인구현황!$A$6:$W$26,6,FALSE)</f>
        <v>6610</v>
      </c>
      <c r="C16" s="67">
        <f t="shared" si="1"/>
        <v>11</v>
      </c>
      <c r="D16" s="53"/>
      <c r="E16" s="53"/>
      <c r="F16" s="69"/>
      <c r="G16" s="53"/>
      <c r="H16" s="69"/>
      <c r="I16" s="70">
        <f t="shared" si="0"/>
        <v>6986.78947368421</v>
      </c>
      <c r="L16" s="75"/>
    </row>
    <row r="17" spans="1:12" ht="15" customHeight="1">
      <c r="A17" s="65">
        <f>과거인구현황!A18</f>
        <v>2000</v>
      </c>
      <c r="B17" s="66">
        <f>+VLOOKUP(A17,과거인구현황!$A$6:$W$26,6,FALSE)</f>
        <v>6347</v>
      </c>
      <c r="C17" s="67">
        <f t="shared" si="1"/>
        <v>12</v>
      </c>
      <c r="D17" s="53"/>
      <c r="E17" s="53"/>
      <c r="F17" s="69"/>
      <c r="G17" s="53"/>
      <c r="H17" s="69"/>
      <c r="I17" s="70">
        <f t="shared" si="0"/>
        <v>6761.3157894736842</v>
      </c>
      <c r="L17" s="75"/>
    </row>
    <row r="18" spans="1:12" ht="15" customHeight="1">
      <c r="A18" s="65">
        <f>과거인구현황!A19</f>
        <v>2001</v>
      </c>
      <c r="B18" s="66">
        <f>+VLOOKUP(A18,과거인구현황!$A$6:$W$26,6,FALSE)</f>
        <v>6154</v>
      </c>
      <c r="C18" s="67">
        <f t="shared" si="1"/>
        <v>13</v>
      </c>
      <c r="D18" s="53"/>
      <c r="E18" s="53"/>
      <c r="F18" s="69"/>
      <c r="G18" s="53"/>
      <c r="H18" s="69"/>
      <c r="I18" s="70">
        <f t="shared" si="0"/>
        <v>6535.8421052631584</v>
      </c>
      <c r="L18" s="75"/>
    </row>
    <row r="19" spans="1:12" ht="15" customHeight="1">
      <c r="A19" s="65">
        <f>과거인구현황!A20</f>
        <v>2002</v>
      </c>
      <c r="B19" s="66">
        <f>+VLOOKUP(A19,과거인구현황!$A$6:$W$26,6,FALSE)</f>
        <v>5940</v>
      </c>
      <c r="C19" s="67">
        <f t="shared" si="1"/>
        <v>14</v>
      </c>
      <c r="D19" s="53"/>
      <c r="E19" s="53"/>
      <c r="F19" s="69"/>
      <c r="G19" s="53"/>
      <c r="H19" s="69"/>
      <c r="I19" s="70">
        <f t="shared" si="0"/>
        <v>6310.3684210526317</v>
      </c>
      <c r="L19" s="75"/>
    </row>
    <row r="20" spans="1:12" ht="15" customHeight="1">
      <c r="A20" s="65">
        <f>과거인구현황!A21</f>
        <v>2003</v>
      </c>
      <c r="B20" s="66">
        <f>+VLOOKUP(A20,과거인구현황!$A$6:$W$26,6,FALSE)</f>
        <v>5740</v>
      </c>
      <c r="C20" s="67">
        <f t="shared" si="1"/>
        <v>15</v>
      </c>
      <c r="D20" s="53"/>
      <c r="E20" s="53"/>
      <c r="F20" s="69"/>
      <c r="G20" s="53"/>
      <c r="H20" s="69"/>
      <c r="I20" s="70">
        <f t="shared" si="0"/>
        <v>6084.894736842105</v>
      </c>
      <c r="L20" s="75"/>
    </row>
    <row r="21" spans="1:12" ht="15" customHeight="1">
      <c r="A21" s="65">
        <f>과거인구현황!A22</f>
        <v>2004</v>
      </c>
      <c r="B21" s="66">
        <f>+VLOOKUP(A21,과거인구현황!$A$6:$W$26,6,FALSE)</f>
        <v>5718</v>
      </c>
      <c r="C21" s="67">
        <f t="shared" si="1"/>
        <v>16</v>
      </c>
      <c r="D21" s="53"/>
      <c r="E21" s="53"/>
      <c r="F21" s="69"/>
      <c r="G21" s="53"/>
      <c r="H21" s="69"/>
      <c r="I21" s="70">
        <f t="shared" si="0"/>
        <v>5859.4210526315783</v>
      </c>
      <c r="L21" s="75"/>
    </row>
    <row r="22" spans="1:12" ht="15" customHeight="1">
      <c r="A22" s="65">
        <f>과거인구현황!A23</f>
        <v>2005</v>
      </c>
      <c r="B22" s="66">
        <f>+VLOOKUP(A22,과거인구현황!$A$6:$W$26,6,FALSE)</f>
        <v>5709</v>
      </c>
      <c r="C22" s="67">
        <f t="shared" si="1"/>
        <v>17</v>
      </c>
      <c r="D22" s="53"/>
      <c r="E22" s="53"/>
      <c r="F22" s="69"/>
      <c r="G22" s="53"/>
      <c r="H22" s="69"/>
      <c r="I22" s="70">
        <f t="shared" si="0"/>
        <v>5633.9473684210525</v>
      </c>
      <c r="L22" s="75"/>
    </row>
    <row r="23" spans="1:12" ht="15" customHeight="1">
      <c r="A23" s="65">
        <f>과거인구현황!A24</f>
        <v>2006</v>
      </c>
      <c r="B23" s="66">
        <f>+VLOOKUP(A23,과거인구현황!$A$6:$W$26,6,FALSE)</f>
        <v>5399</v>
      </c>
      <c r="C23" s="67">
        <f t="shared" si="1"/>
        <v>18</v>
      </c>
      <c r="D23" s="53"/>
      <c r="E23" s="53"/>
      <c r="F23" s="69"/>
      <c r="G23" s="53"/>
      <c r="H23" s="69"/>
      <c r="I23" s="70">
        <f t="shared" si="0"/>
        <v>5408.4736842105267</v>
      </c>
      <c r="L23" s="75"/>
    </row>
    <row r="24" spans="1:12" ht="15" customHeight="1" thickBot="1">
      <c r="A24" s="97">
        <f>과거인구현황!A25</f>
        <v>2007</v>
      </c>
      <c r="B24" s="185">
        <f>+VLOOKUP(A24,과거인구현황!$A$6:$W$26,6,FALSE)</f>
        <v>5183</v>
      </c>
      <c r="C24" s="99">
        <f t="shared" si="1"/>
        <v>19</v>
      </c>
      <c r="D24" s="101"/>
      <c r="E24" s="101"/>
      <c r="F24" s="100"/>
      <c r="G24" s="101"/>
      <c r="H24" s="100"/>
      <c r="I24" s="102">
        <f t="shared" si="0"/>
        <v>5183</v>
      </c>
      <c r="L24" s="75"/>
    </row>
    <row r="25" spans="1:12" ht="15" customHeight="1" thickTop="1">
      <c r="A25" s="255">
        <v>2008</v>
      </c>
      <c r="B25" s="81">
        <f t="shared" ref="B25:B42" si="2">ROUND($E$5*C25+$E$6,0)</f>
        <v>4958</v>
      </c>
      <c r="C25" s="77">
        <f t="shared" si="1"/>
        <v>20</v>
      </c>
      <c r="D25" s="256"/>
      <c r="E25" s="256"/>
      <c r="F25" s="78"/>
      <c r="G25" s="256"/>
      <c r="H25" s="78"/>
      <c r="I25" s="79">
        <f t="shared" si="0"/>
        <v>4957.5263157894733</v>
      </c>
      <c r="L25" s="75"/>
    </row>
    <row r="26" spans="1:12" ht="15" customHeight="1">
      <c r="A26" s="80">
        <v>2009</v>
      </c>
      <c r="B26" s="81">
        <f t="shared" si="2"/>
        <v>4732</v>
      </c>
      <c r="C26" s="67">
        <f>C25+1</f>
        <v>21</v>
      </c>
      <c r="D26" s="69"/>
      <c r="E26" s="69"/>
      <c r="F26" s="69"/>
      <c r="G26" s="69"/>
      <c r="H26" s="69"/>
      <c r="I26" s="70">
        <f t="shared" si="0"/>
        <v>4732.0526315789475</v>
      </c>
    </row>
    <row r="27" spans="1:12" ht="15" customHeight="1">
      <c r="A27" s="80">
        <v>2010</v>
      </c>
      <c r="B27" s="81">
        <f t="shared" si="2"/>
        <v>4507</v>
      </c>
      <c r="C27" s="82">
        <f t="shared" si="1"/>
        <v>22</v>
      </c>
      <c r="D27" s="69"/>
      <c r="E27" s="69"/>
      <c r="F27" s="69"/>
      <c r="G27" s="69"/>
      <c r="H27" s="69"/>
      <c r="I27" s="70">
        <f t="shared" si="0"/>
        <v>4506.5789473684208</v>
      </c>
    </row>
    <row r="28" spans="1:12" ht="15" customHeight="1">
      <c r="A28" s="80">
        <v>2011</v>
      </c>
      <c r="B28" s="81">
        <f t="shared" si="2"/>
        <v>4281</v>
      </c>
      <c r="C28" s="82">
        <f t="shared" si="1"/>
        <v>23</v>
      </c>
      <c r="D28" s="69"/>
      <c r="E28" s="69"/>
      <c r="F28" s="69"/>
      <c r="G28" s="69"/>
      <c r="H28" s="69"/>
      <c r="I28" s="70">
        <f t="shared" si="0"/>
        <v>4281.1052631578941</v>
      </c>
    </row>
    <row r="29" spans="1:12" ht="15" customHeight="1">
      <c r="A29" s="80">
        <v>2012</v>
      </c>
      <c r="B29" s="81">
        <f t="shared" si="2"/>
        <v>4056</v>
      </c>
      <c r="C29" s="82">
        <f t="shared" si="1"/>
        <v>24</v>
      </c>
      <c r="D29" s="69"/>
      <c r="E29" s="69"/>
      <c r="F29" s="69"/>
      <c r="G29" s="69"/>
      <c r="H29" s="69"/>
      <c r="I29" s="70">
        <f t="shared" si="0"/>
        <v>4055.6315789473683</v>
      </c>
    </row>
    <row r="30" spans="1:12" ht="15" customHeight="1">
      <c r="A30" s="80">
        <v>2013</v>
      </c>
      <c r="B30" s="81">
        <f t="shared" si="2"/>
        <v>3830</v>
      </c>
      <c r="C30" s="82">
        <f t="shared" si="1"/>
        <v>25</v>
      </c>
      <c r="D30" s="69"/>
      <c r="E30" s="69"/>
      <c r="F30" s="69"/>
      <c r="G30" s="69"/>
      <c r="H30" s="69"/>
      <c r="I30" s="70">
        <f t="shared" si="0"/>
        <v>3830.1578947368416</v>
      </c>
    </row>
    <row r="31" spans="1:12" ht="15" customHeight="1">
      <c r="A31" s="80">
        <v>2014</v>
      </c>
      <c r="B31" s="81">
        <f t="shared" si="2"/>
        <v>3605</v>
      </c>
      <c r="C31" s="82">
        <f t="shared" si="1"/>
        <v>26</v>
      </c>
      <c r="D31" s="69"/>
      <c r="E31" s="69"/>
      <c r="F31" s="69"/>
      <c r="G31" s="69"/>
      <c r="H31" s="69"/>
      <c r="I31" s="70">
        <f t="shared" si="0"/>
        <v>3604.6842105263158</v>
      </c>
    </row>
    <row r="32" spans="1:12" ht="15" customHeight="1">
      <c r="A32" s="80">
        <v>2015</v>
      </c>
      <c r="B32" s="81">
        <f t="shared" si="2"/>
        <v>3379</v>
      </c>
      <c r="C32" s="82">
        <f t="shared" si="1"/>
        <v>27</v>
      </c>
      <c r="D32" s="69"/>
      <c r="E32" s="69"/>
      <c r="F32" s="69"/>
      <c r="G32" s="69"/>
      <c r="H32" s="69"/>
      <c r="I32" s="70">
        <f t="shared" si="0"/>
        <v>3379.2105263157891</v>
      </c>
    </row>
    <row r="33" spans="1:9" ht="15" customHeight="1">
      <c r="A33" s="80">
        <v>2016</v>
      </c>
      <c r="B33" s="81">
        <f t="shared" si="2"/>
        <v>3154</v>
      </c>
      <c r="C33" s="82">
        <f t="shared" si="1"/>
        <v>28</v>
      </c>
      <c r="D33" s="69"/>
      <c r="E33" s="69"/>
      <c r="F33" s="69"/>
      <c r="G33" s="69"/>
      <c r="H33" s="69"/>
      <c r="I33" s="70">
        <f t="shared" si="0"/>
        <v>3153.7368421052624</v>
      </c>
    </row>
    <row r="34" spans="1:9" ht="15" customHeight="1">
      <c r="A34" s="80">
        <v>2017</v>
      </c>
      <c r="B34" s="81">
        <f t="shared" si="2"/>
        <v>2928</v>
      </c>
      <c r="C34" s="82">
        <f t="shared" si="1"/>
        <v>29</v>
      </c>
      <c r="D34" s="69"/>
      <c r="E34" s="69"/>
      <c r="F34" s="69"/>
      <c r="G34" s="69"/>
      <c r="H34" s="69"/>
      <c r="I34" s="70">
        <f t="shared" si="0"/>
        <v>2928.2631578947367</v>
      </c>
    </row>
    <row r="35" spans="1:9" ht="15" customHeight="1">
      <c r="A35" s="80">
        <v>2018</v>
      </c>
      <c r="B35" s="81">
        <f t="shared" si="2"/>
        <v>2703</v>
      </c>
      <c r="C35" s="82">
        <f t="shared" si="1"/>
        <v>30</v>
      </c>
      <c r="D35" s="69"/>
      <c r="E35" s="69"/>
      <c r="F35" s="69"/>
      <c r="G35" s="69"/>
      <c r="H35" s="69"/>
      <c r="I35" s="70">
        <f t="shared" si="0"/>
        <v>2702.78947368421</v>
      </c>
    </row>
    <row r="36" spans="1:9" ht="15" customHeight="1">
      <c r="A36" s="80">
        <v>2019</v>
      </c>
      <c r="B36" s="81">
        <f t="shared" si="2"/>
        <v>2477</v>
      </c>
      <c r="C36" s="82">
        <f t="shared" si="1"/>
        <v>31</v>
      </c>
      <c r="D36" s="69"/>
      <c r="E36" s="69"/>
      <c r="F36" s="69"/>
      <c r="G36" s="69"/>
      <c r="H36" s="69"/>
      <c r="I36" s="70">
        <f t="shared" si="0"/>
        <v>2477.3157894736842</v>
      </c>
    </row>
    <row r="37" spans="1:9" ht="15" customHeight="1">
      <c r="A37" s="80">
        <v>2020</v>
      </c>
      <c r="B37" s="81">
        <f t="shared" si="2"/>
        <v>2252</v>
      </c>
      <c r="C37" s="82">
        <f t="shared" si="1"/>
        <v>32</v>
      </c>
      <c r="D37" s="69"/>
      <c r="E37" s="69"/>
      <c r="F37" s="69"/>
      <c r="G37" s="69"/>
      <c r="H37" s="69"/>
      <c r="I37" s="70">
        <f t="shared" si="0"/>
        <v>2251.8421052631575</v>
      </c>
    </row>
    <row r="38" spans="1:9" ht="15" customHeight="1">
      <c r="A38" s="80">
        <v>2021</v>
      </c>
      <c r="B38" s="81">
        <f t="shared" si="2"/>
        <v>2026</v>
      </c>
      <c r="C38" s="82">
        <f t="shared" si="1"/>
        <v>33</v>
      </c>
      <c r="D38" s="69"/>
      <c r="E38" s="69"/>
      <c r="F38" s="69"/>
      <c r="G38" s="69"/>
      <c r="H38" s="69"/>
      <c r="I38" s="70">
        <f t="shared" si="0"/>
        <v>2026.3684210526308</v>
      </c>
    </row>
    <row r="39" spans="1:9" ht="15" customHeight="1">
      <c r="A39" s="80">
        <v>2022</v>
      </c>
      <c r="B39" s="81">
        <f t="shared" si="2"/>
        <v>1801</v>
      </c>
      <c r="C39" s="82">
        <f t="shared" si="1"/>
        <v>34</v>
      </c>
      <c r="D39" s="69"/>
      <c r="E39" s="69"/>
      <c r="F39" s="69"/>
      <c r="G39" s="69"/>
      <c r="H39" s="69"/>
      <c r="I39" s="70">
        <f t="shared" si="0"/>
        <v>1800.894736842105</v>
      </c>
    </row>
    <row r="40" spans="1:9" ht="15" customHeight="1">
      <c r="A40" s="80">
        <v>2023</v>
      </c>
      <c r="B40" s="81">
        <f t="shared" si="2"/>
        <v>1575</v>
      </c>
      <c r="C40" s="82">
        <f t="shared" si="1"/>
        <v>35</v>
      </c>
      <c r="D40" s="69"/>
      <c r="E40" s="69"/>
      <c r="F40" s="69"/>
      <c r="G40" s="69"/>
      <c r="H40" s="69"/>
      <c r="I40" s="70">
        <f t="shared" si="0"/>
        <v>1575.4210526315783</v>
      </c>
    </row>
    <row r="41" spans="1:9" ht="15" customHeight="1">
      <c r="A41" s="80">
        <v>2024</v>
      </c>
      <c r="B41" s="81">
        <f t="shared" si="2"/>
        <v>1350</v>
      </c>
      <c r="C41" s="67">
        <f t="shared" si="1"/>
        <v>36</v>
      </c>
      <c r="D41" s="83"/>
      <c r="E41" s="69"/>
      <c r="F41" s="69"/>
      <c r="G41" s="69"/>
      <c r="H41" s="84"/>
      <c r="I41" s="70">
        <f t="shared" si="0"/>
        <v>1349.9473684210525</v>
      </c>
    </row>
    <row r="42" spans="1:9" ht="15" customHeight="1">
      <c r="A42" s="85">
        <v>2025</v>
      </c>
      <c r="B42" s="86">
        <f t="shared" si="2"/>
        <v>1124</v>
      </c>
      <c r="C42" s="87">
        <f t="shared" si="1"/>
        <v>37</v>
      </c>
      <c r="D42" s="88"/>
      <c r="E42" s="89"/>
      <c r="F42" s="89"/>
      <c r="G42" s="89"/>
      <c r="H42" s="90"/>
      <c r="I42" s="91">
        <f t="shared" si="0"/>
        <v>1124.4736842105267</v>
      </c>
    </row>
    <row r="43" spans="1:9" ht="15" customHeight="1">
      <c r="A43" s="56" t="s">
        <v>78</v>
      </c>
      <c r="B43" s="92"/>
      <c r="I43" s="89"/>
    </row>
    <row r="44" spans="1:9" ht="15" customHeight="1">
      <c r="A44" s="58" t="s">
        <v>32</v>
      </c>
      <c r="B44" s="59" t="s">
        <v>40</v>
      </c>
      <c r="C44" s="59" t="s">
        <v>33</v>
      </c>
      <c r="D44" s="60"/>
      <c r="E44" s="60"/>
      <c r="F44" s="61"/>
      <c r="G44" s="62"/>
      <c r="H44" s="63" t="s">
        <v>104</v>
      </c>
      <c r="I44" s="64">
        <f>RSQ(I45:I65,B45:B65)</f>
        <v>0.93435890923683917</v>
      </c>
    </row>
    <row r="45" spans="1:9" ht="15" customHeight="1">
      <c r="A45" s="65">
        <f t="shared" ref="A45:B60" si="3">A5</f>
        <v>1988</v>
      </c>
      <c r="B45" s="93">
        <f t="shared" si="3"/>
        <v>9467</v>
      </c>
      <c r="C45" s="67">
        <v>0</v>
      </c>
      <c r="D45" s="53" t="s">
        <v>75</v>
      </c>
      <c r="E45" s="68">
        <f>INDEX(LINEST(B45:B64,C45:C64),1)</f>
        <v>-219.95864661654133</v>
      </c>
      <c r="F45" s="69"/>
      <c r="G45" s="53"/>
      <c r="H45" s="69"/>
      <c r="I45" s="94">
        <f t="shared" ref="I45:I82" si="4">$E$45*C45+$E$46</f>
        <v>9102.4571428571435</v>
      </c>
    </row>
    <row r="46" spans="1:9" ht="15" customHeight="1">
      <c r="A46" s="65">
        <f t="shared" si="3"/>
        <v>1989</v>
      </c>
      <c r="B46" s="93">
        <f t="shared" si="3"/>
        <v>10116</v>
      </c>
      <c r="C46" s="67">
        <f t="shared" ref="C46:C82" si="5">C45+1</f>
        <v>1</v>
      </c>
      <c r="D46" s="53" t="s">
        <v>76</v>
      </c>
      <c r="E46" s="72">
        <f>INDEX(LINEST(B45:B64,C45:C64),2)</f>
        <v>9102.4571428571435</v>
      </c>
      <c r="F46" s="69"/>
      <c r="G46" s="53"/>
      <c r="H46" s="69"/>
      <c r="I46" s="70">
        <f t="shared" si="4"/>
        <v>8882.4984962406015</v>
      </c>
    </row>
    <row r="47" spans="1:9" ht="15" customHeight="1">
      <c r="A47" s="65">
        <f t="shared" si="3"/>
        <v>1990</v>
      </c>
      <c r="B47" s="93">
        <f t="shared" si="3"/>
        <v>8540</v>
      </c>
      <c r="C47" s="67">
        <f t="shared" si="5"/>
        <v>2</v>
      </c>
      <c r="D47" s="53" t="s">
        <v>77</v>
      </c>
      <c r="E47" s="73">
        <f>I44</f>
        <v>0.93435890923683917</v>
      </c>
      <c r="F47" s="69"/>
      <c r="G47" s="53"/>
      <c r="H47" s="69"/>
      <c r="I47" s="70">
        <f t="shared" si="4"/>
        <v>8662.5398496240614</v>
      </c>
    </row>
    <row r="48" spans="1:9" ht="15" customHeight="1">
      <c r="A48" s="65">
        <f t="shared" si="3"/>
        <v>1991</v>
      </c>
      <c r="B48" s="93">
        <f t="shared" si="3"/>
        <v>8362</v>
      </c>
      <c r="C48" s="67">
        <f t="shared" si="5"/>
        <v>3</v>
      </c>
      <c r="D48" s="53"/>
      <c r="E48" s="53"/>
      <c r="F48" s="69"/>
      <c r="G48" s="53"/>
      <c r="H48" s="69"/>
      <c r="I48" s="70">
        <f t="shared" si="4"/>
        <v>8442.5812030075194</v>
      </c>
    </row>
    <row r="49" spans="1:9" ht="15" customHeight="1">
      <c r="A49" s="65">
        <f t="shared" si="3"/>
        <v>1992</v>
      </c>
      <c r="B49" s="93">
        <f t="shared" si="3"/>
        <v>7873</v>
      </c>
      <c r="C49" s="67">
        <f t="shared" si="5"/>
        <v>4</v>
      </c>
      <c r="D49" s="53"/>
      <c r="E49" s="53"/>
      <c r="F49" s="69"/>
      <c r="G49" s="95"/>
      <c r="H49" s="69"/>
      <c r="I49" s="70">
        <f t="shared" si="4"/>
        <v>8222.6225563909775</v>
      </c>
    </row>
    <row r="50" spans="1:9" ht="15" customHeight="1">
      <c r="A50" s="65">
        <f t="shared" si="3"/>
        <v>1993</v>
      </c>
      <c r="B50" s="93">
        <f t="shared" si="3"/>
        <v>7706</v>
      </c>
      <c r="C50" s="67">
        <f t="shared" si="5"/>
        <v>5</v>
      </c>
      <c r="D50" s="53"/>
      <c r="E50" s="53"/>
      <c r="F50" s="69"/>
      <c r="G50" s="53"/>
      <c r="H50" s="69"/>
      <c r="I50" s="70">
        <f t="shared" si="4"/>
        <v>8002.6639097744373</v>
      </c>
    </row>
    <row r="51" spans="1:9" ht="15" customHeight="1">
      <c r="A51" s="65">
        <f t="shared" si="3"/>
        <v>1994</v>
      </c>
      <c r="B51" s="93">
        <f t="shared" si="3"/>
        <v>7428</v>
      </c>
      <c r="C51" s="67">
        <f t="shared" si="5"/>
        <v>6</v>
      </c>
      <c r="D51" s="53" t="s">
        <v>73</v>
      </c>
      <c r="E51" s="53"/>
      <c r="F51" s="69"/>
      <c r="G51" s="53"/>
      <c r="H51" s="69"/>
      <c r="I51" s="70">
        <f t="shared" si="4"/>
        <v>7782.7052631578954</v>
      </c>
    </row>
    <row r="52" spans="1:9" ht="15" customHeight="1">
      <c r="A52" s="65">
        <f t="shared" si="3"/>
        <v>1995</v>
      </c>
      <c r="B52" s="93">
        <f t="shared" si="3"/>
        <v>7107</v>
      </c>
      <c r="C52" s="67">
        <f t="shared" si="5"/>
        <v>7</v>
      </c>
      <c r="D52" s="53"/>
      <c r="E52" s="53"/>
      <c r="F52" s="69"/>
      <c r="G52" s="53"/>
      <c r="H52" s="69"/>
      <c r="I52" s="70">
        <f t="shared" si="4"/>
        <v>7562.7466165413543</v>
      </c>
    </row>
    <row r="53" spans="1:9" ht="15" customHeight="1">
      <c r="A53" s="65">
        <f t="shared" si="3"/>
        <v>1996</v>
      </c>
      <c r="B53" s="93">
        <f t="shared" si="3"/>
        <v>7208</v>
      </c>
      <c r="C53" s="67">
        <f t="shared" si="5"/>
        <v>8</v>
      </c>
      <c r="D53" s="53"/>
      <c r="E53" s="53"/>
      <c r="F53" s="69"/>
      <c r="G53" s="53"/>
      <c r="H53" s="69"/>
      <c r="I53" s="70">
        <f t="shared" si="4"/>
        <v>7342.7879699248133</v>
      </c>
    </row>
    <row r="54" spans="1:9" ht="15" customHeight="1">
      <c r="A54" s="65">
        <f t="shared" si="3"/>
        <v>1997</v>
      </c>
      <c r="B54" s="93">
        <f t="shared" si="3"/>
        <v>6952</v>
      </c>
      <c r="C54" s="67">
        <f t="shared" si="5"/>
        <v>9</v>
      </c>
      <c r="D54" s="69"/>
      <c r="E54" s="69"/>
      <c r="F54" s="69"/>
      <c r="G54" s="53"/>
      <c r="H54" s="53"/>
      <c r="I54" s="70">
        <f t="shared" si="4"/>
        <v>7122.8293233082713</v>
      </c>
    </row>
    <row r="55" spans="1:9" ht="15" customHeight="1">
      <c r="A55" s="65">
        <f t="shared" si="3"/>
        <v>1998</v>
      </c>
      <c r="B55" s="93">
        <f t="shared" si="3"/>
        <v>6698</v>
      </c>
      <c r="C55" s="67">
        <f t="shared" si="5"/>
        <v>10</v>
      </c>
      <c r="D55" s="69"/>
      <c r="E55" s="69"/>
      <c r="F55" s="69"/>
      <c r="G55" s="53"/>
      <c r="H55" s="53"/>
      <c r="I55" s="70">
        <f t="shared" si="4"/>
        <v>6902.8706766917303</v>
      </c>
    </row>
    <row r="56" spans="1:9" ht="15" customHeight="1">
      <c r="A56" s="65">
        <f t="shared" si="3"/>
        <v>1999</v>
      </c>
      <c r="B56" s="93">
        <f t="shared" si="3"/>
        <v>6610</v>
      </c>
      <c r="C56" s="67">
        <f t="shared" si="5"/>
        <v>11</v>
      </c>
      <c r="D56" s="69"/>
      <c r="E56" s="69"/>
      <c r="F56" s="69"/>
      <c r="G56" s="53"/>
      <c r="H56" s="53"/>
      <c r="I56" s="70">
        <f t="shared" si="4"/>
        <v>6682.9120300751893</v>
      </c>
    </row>
    <row r="57" spans="1:9" ht="15" customHeight="1">
      <c r="A57" s="65">
        <f t="shared" si="3"/>
        <v>2000</v>
      </c>
      <c r="B57" s="93">
        <f t="shared" si="3"/>
        <v>6347</v>
      </c>
      <c r="C57" s="67">
        <f t="shared" si="5"/>
        <v>12</v>
      </c>
      <c r="D57" s="69"/>
      <c r="E57" s="69"/>
      <c r="F57" s="69"/>
      <c r="G57" s="53"/>
      <c r="H57" s="53"/>
      <c r="I57" s="70">
        <f t="shared" si="4"/>
        <v>6462.9533834586473</v>
      </c>
    </row>
    <row r="58" spans="1:9" ht="15" customHeight="1">
      <c r="A58" s="65">
        <f t="shared" si="3"/>
        <v>2001</v>
      </c>
      <c r="B58" s="93">
        <f t="shared" si="3"/>
        <v>6154</v>
      </c>
      <c r="C58" s="67">
        <f t="shared" si="5"/>
        <v>13</v>
      </c>
      <c r="D58" s="69"/>
      <c r="E58" s="96"/>
      <c r="F58" s="69"/>
      <c r="G58" s="53"/>
      <c r="H58" s="53"/>
      <c r="I58" s="70">
        <f t="shared" si="4"/>
        <v>6242.9947368421062</v>
      </c>
    </row>
    <row r="59" spans="1:9" ht="15" customHeight="1">
      <c r="A59" s="65">
        <f t="shared" si="3"/>
        <v>2002</v>
      </c>
      <c r="B59" s="93">
        <f t="shared" si="3"/>
        <v>5940</v>
      </c>
      <c r="C59" s="67">
        <f t="shared" si="5"/>
        <v>14</v>
      </c>
      <c r="D59" s="69"/>
      <c r="E59" s="69"/>
      <c r="F59" s="69"/>
      <c r="G59" s="53"/>
      <c r="H59" s="53"/>
      <c r="I59" s="70">
        <f t="shared" si="4"/>
        <v>6023.0360902255652</v>
      </c>
    </row>
    <row r="60" spans="1:9" ht="15" customHeight="1">
      <c r="A60" s="65">
        <f t="shared" si="3"/>
        <v>2003</v>
      </c>
      <c r="B60" s="93">
        <f t="shared" si="3"/>
        <v>5740</v>
      </c>
      <c r="C60" s="67">
        <f t="shared" si="5"/>
        <v>15</v>
      </c>
      <c r="D60" s="69"/>
      <c r="E60" s="69"/>
      <c r="F60" s="69"/>
      <c r="G60" s="53"/>
      <c r="H60" s="53"/>
      <c r="I60" s="70">
        <f t="shared" si="4"/>
        <v>5803.0774436090232</v>
      </c>
    </row>
    <row r="61" spans="1:9" ht="15" customHeight="1">
      <c r="A61" s="65">
        <f t="shared" ref="A61:B65" si="6">A21</f>
        <v>2004</v>
      </c>
      <c r="B61" s="93">
        <f t="shared" si="6"/>
        <v>5718</v>
      </c>
      <c r="C61" s="67">
        <f t="shared" si="5"/>
        <v>16</v>
      </c>
      <c r="D61" s="69"/>
      <c r="E61" s="69"/>
      <c r="F61" s="69"/>
      <c r="G61" s="53"/>
      <c r="H61" s="53"/>
      <c r="I61" s="70">
        <f t="shared" si="4"/>
        <v>5583.1187969924822</v>
      </c>
    </row>
    <row r="62" spans="1:9" ht="15" customHeight="1">
      <c r="A62" s="65">
        <f t="shared" si="6"/>
        <v>2005</v>
      </c>
      <c r="B62" s="93">
        <f t="shared" si="6"/>
        <v>5709</v>
      </c>
      <c r="C62" s="67">
        <f t="shared" si="5"/>
        <v>17</v>
      </c>
      <c r="D62" s="69"/>
      <c r="E62" s="69"/>
      <c r="F62" s="69"/>
      <c r="G62" s="53"/>
      <c r="H62" s="53"/>
      <c r="I62" s="70">
        <f t="shared" si="4"/>
        <v>5363.1601503759412</v>
      </c>
    </row>
    <row r="63" spans="1:9" ht="15" customHeight="1">
      <c r="A63" s="65">
        <f t="shared" si="6"/>
        <v>2006</v>
      </c>
      <c r="B63" s="93">
        <f t="shared" si="6"/>
        <v>5399</v>
      </c>
      <c r="C63" s="67">
        <f t="shared" si="5"/>
        <v>18</v>
      </c>
      <c r="D63" s="69"/>
      <c r="E63" s="69"/>
      <c r="F63" s="69"/>
      <c r="G63" s="53"/>
      <c r="H63" s="53"/>
      <c r="I63" s="70">
        <f t="shared" si="4"/>
        <v>5143.2015037593992</v>
      </c>
    </row>
    <row r="64" spans="1:9" ht="15" customHeight="1" thickBot="1">
      <c r="A64" s="97">
        <f t="shared" si="6"/>
        <v>2007</v>
      </c>
      <c r="B64" s="98">
        <f t="shared" si="6"/>
        <v>5183</v>
      </c>
      <c r="C64" s="99">
        <f t="shared" si="5"/>
        <v>19</v>
      </c>
      <c r="D64" s="100"/>
      <c r="E64" s="100"/>
      <c r="F64" s="100"/>
      <c r="G64" s="101"/>
      <c r="H64" s="101"/>
      <c r="I64" s="102">
        <f t="shared" si="4"/>
        <v>4923.2428571428582</v>
      </c>
    </row>
    <row r="65" spans="1:9" ht="15" customHeight="1" thickTop="1">
      <c r="A65" s="255">
        <f t="shared" si="6"/>
        <v>2008</v>
      </c>
      <c r="B65" s="81">
        <f t="shared" ref="B65:B82" si="7">ROUND(E$45*C65+E$46,0)</f>
        <v>4703</v>
      </c>
      <c r="C65" s="77">
        <f t="shared" si="5"/>
        <v>20</v>
      </c>
      <c r="D65" s="78"/>
      <c r="E65" s="78"/>
      <c r="F65" s="78"/>
      <c r="G65" s="256"/>
      <c r="H65" s="256"/>
      <c r="I65" s="79">
        <f t="shared" si="4"/>
        <v>4703.2842105263171</v>
      </c>
    </row>
    <row r="66" spans="1:9" ht="15" customHeight="1">
      <c r="A66" s="80">
        <v>2009</v>
      </c>
      <c r="B66" s="81">
        <f t="shared" si="7"/>
        <v>4483</v>
      </c>
      <c r="C66" s="82">
        <f t="shared" si="5"/>
        <v>21</v>
      </c>
      <c r="D66" s="69"/>
      <c r="E66" s="69"/>
      <c r="F66" s="69"/>
      <c r="G66" s="69"/>
      <c r="H66" s="69"/>
      <c r="I66" s="70">
        <f t="shared" si="4"/>
        <v>4483.3255639097752</v>
      </c>
    </row>
    <row r="67" spans="1:9" ht="15" customHeight="1">
      <c r="A67" s="80">
        <v>2010</v>
      </c>
      <c r="B67" s="81">
        <f t="shared" si="7"/>
        <v>4263</v>
      </c>
      <c r="C67" s="82">
        <f t="shared" si="5"/>
        <v>22</v>
      </c>
      <c r="D67" s="69"/>
      <c r="E67" s="69"/>
      <c r="F67" s="69"/>
      <c r="G67" s="69"/>
      <c r="H67" s="69"/>
      <c r="I67" s="70">
        <f t="shared" si="4"/>
        <v>4263.3669172932341</v>
      </c>
    </row>
    <row r="68" spans="1:9" ht="15" customHeight="1">
      <c r="A68" s="80">
        <v>2011</v>
      </c>
      <c r="B68" s="81">
        <f t="shared" si="7"/>
        <v>4043</v>
      </c>
      <c r="C68" s="82">
        <f t="shared" si="5"/>
        <v>23</v>
      </c>
      <c r="D68" s="69"/>
      <c r="E68" s="69"/>
      <c r="F68" s="69"/>
      <c r="G68" s="69"/>
      <c r="H68" s="69"/>
      <c r="I68" s="70">
        <f t="shared" si="4"/>
        <v>4043.4082706766931</v>
      </c>
    </row>
    <row r="69" spans="1:9" ht="15" customHeight="1">
      <c r="A69" s="80">
        <v>2012</v>
      </c>
      <c r="B69" s="81">
        <f t="shared" si="7"/>
        <v>3823</v>
      </c>
      <c r="C69" s="82">
        <f t="shared" si="5"/>
        <v>24</v>
      </c>
      <c r="D69" s="69"/>
      <c r="E69" s="69"/>
      <c r="F69" s="69"/>
      <c r="G69" s="69"/>
      <c r="H69" s="69"/>
      <c r="I69" s="70">
        <f t="shared" si="4"/>
        <v>3823.4496240601511</v>
      </c>
    </row>
    <row r="70" spans="1:9" ht="15" customHeight="1">
      <c r="A70" s="80">
        <v>2013</v>
      </c>
      <c r="B70" s="81">
        <f t="shared" si="7"/>
        <v>3603</v>
      </c>
      <c r="C70" s="82">
        <f t="shared" si="5"/>
        <v>25</v>
      </c>
      <c r="D70" s="69"/>
      <c r="E70" s="69"/>
      <c r="F70" s="69"/>
      <c r="G70" s="69"/>
      <c r="H70" s="69"/>
      <c r="I70" s="70">
        <f t="shared" si="4"/>
        <v>3603.4909774436101</v>
      </c>
    </row>
    <row r="71" spans="1:9" ht="15" customHeight="1">
      <c r="A71" s="80">
        <v>2014</v>
      </c>
      <c r="B71" s="81">
        <f t="shared" si="7"/>
        <v>3384</v>
      </c>
      <c r="C71" s="82">
        <f t="shared" si="5"/>
        <v>26</v>
      </c>
      <c r="D71" s="69"/>
      <c r="E71" s="69"/>
      <c r="F71" s="69"/>
      <c r="G71" s="69"/>
      <c r="H71" s="69"/>
      <c r="I71" s="70">
        <f t="shared" si="4"/>
        <v>3383.532330827069</v>
      </c>
    </row>
    <row r="72" spans="1:9" ht="15" customHeight="1">
      <c r="A72" s="80">
        <v>2015</v>
      </c>
      <c r="B72" s="81">
        <f t="shared" si="7"/>
        <v>3164</v>
      </c>
      <c r="C72" s="82">
        <f t="shared" si="5"/>
        <v>27</v>
      </c>
      <c r="D72" s="69"/>
      <c r="E72" s="69"/>
      <c r="F72" s="69"/>
      <c r="G72" s="69"/>
      <c r="H72" s="69"/>
      <c r="I72" s="70">
        <f t="shared" si="4"/>
        <v>3163.573684210528</v>
      </c>
    </row>
    <row r="73" spans="1:9" ht="15" customHeight="1">
      <c r="A73" s="80">
        <v>2016</v>
      </c>
      <c r="B73" s="81">
        <f t="shared" si="7"/>
        <v>2944</v>
      </c>
      <c r="C73" s="82">
        <f t="shared" si="5"/>
        <v>28</v>
      </c>
      <c r="D73" s="69"/>
      <c r="E73" s="69"/>
      <c r="F73" s="69"/>
      <c r="G73" s="69"/>
      <c r="H73" s="69"/>
      <c r="I73" s="70">
        <f t="shared" si="4"/>
        <v>2943.615037593986</v>
      </c>
    </row>
    <row r="74" spans="1:9" ht="15" customHeight="1">
      <c r="A74" s="80">
        <v>2017</v>
      </c>
      <c r="B74" s="81">
        <f t="shared" si="7"/>
        <v>2724</v>
      </c>
      <c r="C74" s="82">
        <f t="shared" si="5"/>
        <v>29</v>
      </c>
      <c r="D74" s="69"/>
      <c r="E74" s="69"/>
      <c r="F74" s="69"/>
      <c r="G74" s="69"/>
      <c r="H74" s="69"/>
      <c r="I74" s="70">
        <f t="shared" si="4"/>
        <v>2723.656390977445</v>
      </c>
    </row>
    <row r="75" spans="1:9" ht="15" customHeight="1">
      <c r="A75" s="80">
        <v>2018</v>
      </c>
      <c r="B75" s="81">
        <f t="shared" si="7"/>
        <v>2504</v>
      </c>
      <c r="C75" s="82">
        <f t="shared" si="5"/>
        <v>30</v>
      </c>
      <c r="D75" s="69"/>
      <c r="E75" s="69"/>
      <c r="F75" s="69"/>
      <c r="G75" s="69"/>
      <c r="H75" s="69"/>
      <c r="I75" s="70">
        <f t="shared" si="4"/>
        <v>2503.6977443609039</v>
      </c>
    </row>
    <row r="76" spans="1:9" ht="15" customHeight="1">
      <c r="A76" s="80">
        <v>2019</v>
      </c>
      <c r="B76" s="81">
        <f t="shared" si="7"/>
        <v>2284</v>
      </c>
      <c r="C76" s="82">
        <f t="shared" si="5"/>
        <v>31</v>
      </c>
      <c r="D76" s="69"/>
      <c r="E76" s="69"/>
      <c r="F76" s="69"/>
      <c r="G76" s="69"/>
      <c r="H76" s="69"/>
      <c r="I76" s="70">
        <f t="shared" si="4"/>
        <v>2283.739097744362</v>
      </c>
    </row>
    <row r="77" spans="1:9" ht="15" customHeight="1">
      <c r="A77" s="80">
        <v>2020</v>
      </c>
      <c r="B77" s="81">
        <f t="shared" si="7"/>
        <v>2064</v>
      </c>
      <c r="C77" s="82">
        <f t="shared" si="5"/>
        <v>32</v>
      </c>
      <c r="D77" s="69"/>
      <c r="E77" s="69"/>
      <c r="F77" s="69"/>
      <c r="G77" s="69"/>
      <c r="H77" s="69"/>
      <c r="I77" s="70">
        <f t="shared" si="4"/>
        <v>2063.7804511278209</v>
      </c>
    </row>
    <row r="78" spans="1:9" ht="15" customHeight="1">
      <c r="A78" s="80">
        <v>2021</v>
      </c>
      <c r="B78" s="81">
        <f t="shared" si="7"/>
        <v>1844</v>
      </c>
      <c r="C78" s="82">
        <f t="shared" si="5"/>
        <v>33</v>
      </c>
      <c r="D78" s="69"/>
      <c r="E78" s="69"/>
      <c r="F78" s="69"/>
      <c r="G78" s="69"/>
      <c r="H78" s="69"/>
      <c r="I78" s="70">
        <f t="shared" si="4"/>
        <v>1843.8218045112799</v>
      </c>
    </row>
    <row r="79" spans="1:9" ht="15" customHeight="1">
      <c r="A79" s="80">
        <v>2022</v>
      </c>
      <c r="B79" s="81">
        <f t="shared" si="7"/>
        <v>1624</v>
      </c>
      <c r="C79" s="82">
        <f t="shared" si="5"/>
        <v>34</v>
      </c>
      <c r="D79" s="69"/>
      <c r="E79" s="69"/>
      <c r="F79" s="69"/>
      <c r="G79" s="69"/>
      <c r="H79" s="69"/>
      <c r="I79" s="70">
        <f t="shared" si="4"/>
        <v>1623.8631578947379</v>
      </c>
    </row>
    <row r="80" spans="1:9" ht="15" customHeight="1">
      <c r="A80" s="80">
        <v>2023</v>
      </c>
      <c r="B80" s="81">
        <f t="shared" si="7"/>
        <v>1404</v>
      </c>
      <c r="C80" s="82">
        <f t="shared" si="5"/>
        <v>35</v>
      </c>
      <c r="D80" s="69"/>
      <c r="E80" s="69"/>
      <c r="F80" s="69"/>
      <c r="G80" s="69"/>
      <c r="H80" s="69"/>
      <c r="I80" s="70">
        <f t="shared" si="4"/>
        <v>1403.9045112781969</v>
      </c>
    </row>
    <row r="81" spans="1:11" ht="15" customHeight="1">
      <c r="A81" s="80">
        <v>2024</v>
      </c>
      <c r="B81" s="81">
        <f t="shared" si="7"/>
        <v>1184</v>
      </c>
      <c r="C81" s="67">
        <f t="shared" si="5"/>
        <v>36</v>
      </c>
      <c r="D81" s="69"/>
      <c r="E81" s="69"/>
      <c r="F81" s="69"/>
      <c r="G81" s="69"/>
      <c r="H81" s="69"/>
      <c r="I81" s="70">
        <f t="shared" si="4"/>
        <v>1183.9458646616558</v>
      </c>
    </row>
    <row r="82" spans="1:11" ht="15" customHeight="1">
      <c r="A82" s="85">
        <v>2025</v>
      </c>
      <c r="B82" s="86">
        <f t="shared" si="7"/>
        <v>964</v>
      </c>
      <c r="C82" s="87">
        <f t="shared" si="5"/>
        <v>37</v>
      </c>
      <c r="D82" s="89"/>
      <c r="E82" s="89"/>
      <c r="F82" s="89"/>
      <c r="G82" s="89"/>
      <c r="H82" s="89"/>
      <c r="I82" s="91">
        <f t="shared" si="4"/>
        <v>963.98721804511388</v>
      </c>
    </row>
    <row r="83" spans="1:11" ht="15" customHeight="1">
      <c r="A83" s="56" t="s">
        <v>79</v>
      </c>
      <c r="B83" s="57"/>
    </row>
    <row r="84" spans="1:11" ht="15" customHeight="1">
      <c r="A84" s="58" t="s">
        <v>32</v>
      </c>
      <c r="B84" s="59" t="s">
        <v>40</v>
      </c>
      <c r="C84" s="59" t="s">
        <v>34</v>
      </c>
      <c r="D84" s="59" t="s">
        <v>33</v>
      </c>
      <c r="E84" s="103"/>
      <c r="F84" s="60"/>
      <c r="G84" s="61"/>
      <c r="H84" s="63" t="s">
        <v>104</v>
      </c>
      <c r="I84" s="64">
        <f>RSQ(I85:I105,B85:B105)</f>
        <v>0.9540767110189291</v>
      </c>
    </row>
    <row r="85" spans="1:11" ht="15" customHeight="1">
      <c r="A85" s="65">
        <f t="shared" ref="A85:B100" si="8">A5</f>
        <v>1988</v>
      </c>
      <c r="B85" s="104">
        <f t="shared" si="8"/>
        <v>9467</v>
      </c>
      <c r="C85" s="105">
        <f t="shared" ref="C85:C122" si="9">LN(B85)</f>
        <v>9.1555673461288904</v>
      </c>
      <c r="D85" s="67">
        <v>0</v>
      </c>
      <c r="E85" s="106" t="s">
        <v>37</v>
      </c>
      <c r="F85" s="73">
        <f>ROUND((B104/B85)^(1/D104)-1,5)</f>
        <v>-3.1210000000000002E-2</v>
      </c>
      <c r="G85" s="107"/>
      <c r="H85" s="108"/>
      <c r="I85" s="109">
        <f t="shared" ref="I85:I122" si="10">ROUND($F$86*(1+$F$85)^(D85),1)</f>
        <v>9467</v>
      </c>
    </row>
    <row r="86" spans="1:11" ht="15" customHeight="1">
      <c r="A86" s="65">
        <f t="shared" si="8"/>
        <v>1989</v>
      </c>
      <c r="B86" s="104">
        <f t="shared" si="8"/>
        <v>10116</v>
      </c>
      <c r="C86" s="105">
        <f t="shared" si="9"/>
        <v>9.2218736077898562</v>
      </c>
      <c r="D86" s="67">
        <f t="shared" ref="D86:D122" si="11">D85+1</f>
        <v>1</v>
      </c>
      <c r="E86" s="106" t="s">
        <v>80</v>
      </c>
      <c r="F86" s="110">
        <f>B85</f>
        <v>9467</v>
      </c>
      <c r="G86" s="107"/>
      <c r="H86" s="108"/>
      <c r="I86" s="109">
        <f t="shared" si="10"/>
        <v>9171.5</v>
      </c>
      <c r="K86" s="111"/>
    </row>
    <row r="87" spans="1:11" ht="15" customHeight="1">
      <c r="A87" s="65">
        <f t="shared" si="8"/>
        <v>1990</v>
      </c>
      <c r="B87" s="104">
        <f t="shared" si="8"/>
        <v>8540</v>
      </c>
      <c r="C87" s="105">
        <f t="shared" si="9"/>
        <v>9.0525162867826161</v>
      </c>
      <c r="D87" s="67">
        <f t="shared" si="11"/>
        <v>2</v>
      </c>
      <c r="E87" s="106" t="s">
        <v>77</v>
      </c>
      <c r="F87" s="73">
        <f>I84</f>
        <v>0.9540767110189291</v>
      </c>
      <c r="G87" s="108"/>
      <c r="H87" s="108"/>
      <c r="I87" s="109">
        <f t="shared" si="10"/>
        <v>8885.2999999999993</v>
      </c>
    </row>
    <row r="88" spans="1:11" ht="15" customHeight="1">
      <c r="A88" s="65">
        <f t="shared" si="8"/>
        <v>1991</v>
      </c>
      <c r="B88" s="104">
        <f t="shared" si="8"/>
        <v>8362</v>
      </c>
      <c r="C88" s="105">
        <f t="shared" si="9"/>
        <v>9.0314529119165101</v>
      </c>
      <c r="D88" s="67">
        <f t="shared" si="11"/>
        <v>3</v>
      </c>
      <c r="E88" s="106"/>
      <c r="F88" s="73"/>
      <c r="G88" s="108"/>
      <c r="H88" s="108"/>
      <c r="I88" s="109">
        <f t="shared" si="10"/>
        <v>8608</v>
      </c>
    </row>
    <row r="89" spans="1:11" ht="15" customHeight="1">
      <c r="A89" s="65">
        <f t="shared" si="8"/>
        <v>1992</v>
      </c>
      <c r="B89" s="104">
        <f t="shared" si="8"/>
        <v>7873</v>
      </c>
      <c r="C89" s="105">
        <f t="shared" si="9"/>
        <v>8.9711944631844673</v>
      </c>
      <c r="D89" s="67">
        <f t="shared" si="11"/>
        <v>4</v>
      </c>
      <c r="E89" s="106" t="s">
        <v>81</v>
      </c>
      <c r="F89" s="72"/>
      <c r="G89" s="108"/>
      <c r="H89" s="108"/>
      <c r="I89" s="109">
        <f t="shared" si="10"/>
        <v>8339.2999999999993</v>
      </c>
    </row>
    <row r="90" spans="1:11" ht="15" customHeight="1">
      <c r="A90" s="65">
        <f t="shared" si="8"/>
        <v>1993</v>
      </c>
      <c r="B90" s="104">
        <f t="shared" si="8"/>
        <v>7706</v>
      </c>
      <c r="C90" s="105">
        <f t="shared" si="9"/>
        <v>8.949754525186103</v>
      </c>
      <c r="D90" s="67">
        <f t="shared" si="11"/>
        <v>5</v>
      </c>
      <c r="E90" s="112"/>
      <c r="F90" s="113"/>
      <c r="G90" s="108"/>
      <c r="H90" s="108"/>
      <c r="I90" s="109">
        <f t="shared" si="10"/>
        <v>8079.1</v>
      </c>
    </row>
    <row r="91" spans="1:11" ht="15" customHeight="1">
      <c r="A91" s="65">
        <f t="shared" si="8"/>
        <v>1994</v>
      </c>
      <c r="B91" s="104">
        <f t="shared" si="8"/>
        <v>7428</v>
      </c>
      <c r="C91" s="105">
        <f t="shared" si="9"/>
        <v>8.913011922472597</v>
      </c>
      <c r="D91" s="67">
        <f t="shared" si="11"/>
        <v>6</v>
      </c>
      <c r="E91" s="114"/>
      <c r="F91" s="113"/>
      <c r="G91" s="108"/>
      <c r="H91" s="108"/>
      <c r="I91" s="109">
        <f t="shared" si="10"/>
        <v>7826.9</v>
      </c>
    </row>
    <row r="92" spans="1:11" ht="15" customHeight="1">
      <c r="A92" s="65">
        <f t="shared" si="8"/>
        <v>1995</v>
      </c>
      <c r="B92" s="104">
        <f t="shared" si="8"/>
        <v>7107</v>
      </c>
      <c r="C92" s="105">
        <f t="shared" si="9"/>
        <v>8.8688354928268947</v>
      </c>
      <c r="D92" s="67">
        <f t="shared" si="11"/>
        <v>7</v>
      </c>
      <c r="E92" s="114"/>
      <c r="F92" s="113"/>
      <c r="G92" s="108"/>
      <c r="H92" s="108"/>
      <c r="I92" s="109">
        <f t="shared" si="10"/>
        <v>7582.6</v>
      </c>
    </row>
    <row r="93" spans="1:11" ht="15" customHeight="1">
      <c r="A93" s="65">
        <f t="shared" si="8"/>
        <v>1996</v>
      </c>
      <c r="B93" s="104">
        <f t="shared" si="8"/>
        <v>7208</v>
      </c>
      <c r="C93" s="105">
        <f t="shared" si="9"/>
        <v>8.8829467992881739</v>
      </c>
      <c r="D93" s="67">
        <f t="shared" si="11"/>
        <v>8</v>
      </c>
      <c r="E93" s="108"/>
      <c r="F93" s="108"/>
      <c r="G93" s="115"/>
      <c r="H93" s="108"/>
      <c r="I93" s="109">
        <f t="shared" si="10"/>
        <v>7346</v>
      </c>
    </row>
    <row r="94" spans="1:11" ht="15" customHeight="1">
      <c r="A94" s="65">
        <f t="shared" si="8"/>
        <v>1997</v>
      </c>
      <c r="B94" s="104">
        <f t="shared" si="8"/>
        <v>6952</v>
      </c>
      <c r="C94" s="105">
        <f t="shared" si="9"/>
        <v>8.8467846669452275</v>
      </c>
      <c r="D94" s="67">
        <f t="shared" si="11"/>
        <v>9</v>
      </c>
      <c r="E94" s="108"/>
      <c r="F94" s="108"/>
      <c r="G94" s="115"/>
      <c r="H94" s="108"/>
      <c r="I94" s="109">
        <f t="shared" si="10"/>
        <v>7116.7</v>
      </c>
    </row>
    <row r="95" spans="1:11" ht="15" customHeight="1">
      <c r="A95" s="65">
        <f t="shared" si="8"/>
        <v>1998</v>
      </c>
      <c r="B95" s="104">
        <f t="shared" si="8"/>
        <v>6698</v>
      </c>
      <c r="C95" s="105">
        <f t="shared" si="9"/>
        <v>8.8095642533541501</v>
      </c>
      <c r="D95" s="67">
        <f t="shared" si="11"/>
        <v>10</v>
      </c>
      <c r="E95" s="108"/>
      <c r="F95" s="108"/>
      <c r="G95" s="115"/>
      <c r="H95" s="108"/>
      <c r="I95" s="109">
        <f t="shared" si="10"/>
        <v>6894.6</v>
      </c>
    </row>
    <row r="96" spans="1:11" ht="15" customHeight="1">
      <c r="A96" s="65">
        <f t="shared" si="8"/>
        <v>1999</v>
      </c>
      <c r="B96" s="104">
        <f t="shared" si="8"/>
        <v>6610</v>
      </c>
      <c r="C96" s="105">
        <f t="shared" si="9"/>
        <v>8.7963389328457318</v>
      </c>
      <c r="D96" s="67">
        <f t="shared" si="11"/>
        <v>11</v>
      </c>
      <c r="E96" s="108"/>
      <c r="F96" s="108"/>
      <c r="G96" s="115"/>
      <c r="H96" s="108"/>
      <c r="I96" s="109">
        <f t="shared" si="10"/>
        <v>6679.4</v>
      </c>
    </row>
    <row r="97" spans="1:9" ht="15" customHeight="1">
      <c r="A97" s="65">
        <f t="shared" si="8"/>
        <v>2000</v>
      </c>
      <c r="B97" s="104">
        <f t="shared" si="8"/>
        <v>6347</v>
      </c>
      <c r="C97" s="105">
        <f t="shared" si="9"/>
        <v>8.7557375393064696</v>
      </c>
      <c r="D97" s="67">
        <f t="shared" si="11"/>
        <v>12</v>
      </c>
      <c r="E97" s="108"/>
      <c r="F97" s="108"/>
      <c r="G97" s="115"/>
      <c r="H97" s="108"/>
      <c r="I97" s="109">
        <f t="shared" si="10"/>
        <v>6471</v>
      </c>
    </row>
    <row r="98" spans="1:9" ht="15" customHeight="1">
      <c r="A98" s="65">
        <f t="shared" si="8"/>
        <v>2001</v>
      </c>
      <c r="B98" s="104">
        <f t="shared" si="8"/>
        <v>6154</v>
      </c>
      <c r="C98" s="105">
        <f t="shared" si="9"/>
        <v>8.7248575558819876</v>
      </c>
      <c r="D98" s="67">
        <f t="shared" si="11"/>
        <v>13</v>
      </c>
      <c r="E98" s="108"/>
      <c r="F98" s="108"/>
      <c r="G98" s="115"/>
      <c r="H98" s="108"/>
      <c r="I98" s="109">
        <f t="shared" si="10"/>
        <v>6269</v>
      </c>
    </row>
    <row r="99" spans="1:9" ht="15" customHeight="1">
      <c r="A99" s="65">
        <f t="shared" si="8"/>
        <v>2002</v>
      </c>
      <c r="B99" s="104">
        <f t="shared" si="8"/>
        <v>5940</v>
      </c>
      <c r="C99" s="105">
        <f t="shared" si="9"/>
        <v>8.6894644123566902</v>
      </c>
      <c r="D99" s="67">
        <f t="shared" si="11"/>
        <v>14</v>
      </c>
      <c r="E99" s="108"/>
      <c r="F99" s="108"/>
      <c r="G99" s="115"/>
      <c r="H99" s="108"/>
      <c r="I99" s="109">
        <f t="shared" si="10"/>
        <v>6073.3</v>
      </c>
    </row>
    <row r="100" spans="1:9" ht="15" customHeight="1">
      <c r="A100" s="65">
        <f t="shared" si="8"/>
        <v>2003</v>
      </c>
      <c r="B100" s="104">
        <f t="shared" si="8"/>
        <v>5740</v>
      </c>
      <c r="C100" s="105">
        <f t="shared" si="9"/>
        <v>8.6552144893136127</v>
      </c>
      <c r="D100" s="67">
        <f t="shared" si="11"/>
        <v>15</v>
      </c>
      <c r="E100" s="108"/>
      <c r="F100" s="108"/>
      <c r="G100" s="115"/>
      <c r="H100" s="108"/>
      <c r="I100" s="109">
        <f t="shared" si="10"/>
        <v>5883.8</v>
      </c>
    </row>
    <row r="101" spans="1:9" ht="15" customHeight="1">
      <c r="A101" s="65">
        <f t="shared" ref="A101:B105" si="12">A21</f>
        <v>2004</v>
      </c>
      <c r="B101" s="104">
        <f t="shared" si="12"/>
        <v>5718</v>
      </c>
      <c r="C101" s="105">
        <f t="shared" si="9"/>
        <v>8.6513743728822572</v>
      </c>
      <c r="D101" s="67">
        <f t="shared" si="11"/>
        <v>16</v>
      </c>
      <c r="E101" s="108"/>
      <c r="F101" s="108"/>
      <c r="G101" s="115"/>
      <c r="H101" s="108"/>
      <c r="I101" s="109">
        <f t="shared" si="10"/>
        <v>5700.2</v>
      </c>
    </row>
    <row r="102" spans="1:9" ht="15" customHeight="1">
      <c r="A102" s="65">
        <f t="shared" si="12"/>
        <v>2005</v>
      </c>
      <c r="B102" s="104">
        <f t="shared" si="12"/>
        <v>5709</v>
      </c>
      <c r="C102" s="105">
        <f t="shared" si="9"/>
        <v>8.64979915596426</v>
      </c>
      <c r="D102" s="67">
        <f t="shared" si="11"/>
        <v>17</v>
      </c>
      <c r="E102" s="108"/>
      <c r="F102" s="108"/>
      <c r="G102" s="115"/>
      <c r="H102" s="108"/>
      <c r="I102" s="109">
        <f t="shared" si="10"/>
        <v>5522.3</v>
      </c>
    </row>
    <row r="103" spans="1:9" ht="15" customHeight="1">
      <c r="A103" s="65">
        <f t="shared" si="12"/>
        <v>2006</v>
      </c>
      <c r="B103" s="104">
        <f t="shared" si="12"/>
        <v>5399</v>
      </c>
      <c r="C103" s="105">
        <f t="shared" si="9"/>
        <v>8.5939690302182878</v>
      </c>
      <c r="D103" s="67">
        <f t="shared" si="11"/>
        <v>18</v>
      </c>
      <c r="E103" s="108"/>
      <c r="F103" s="108"/>
      <c r="G103" s="115"/>
      <c r="H103" s="108"/>
      <c r="I103" s="109">
        <f t="shared" si="10"/>
        <v>5349.9</v>
      </c>
    </row>
    <row r="104" spans="1:9" ht="15" customHeight="1" thickBot="1">
      <c r="A104" s="65">
        <f t="shared" si="12"/>
        <v>2007</v>
      </c>
      <c r="B104" s="104">
        <f t="shared" si="12"/>
        <v>5183</v>
      </c>
      <c r="C104" s="105">
        <f t="shared" si="9"/>
        <v>8.5531393181897073</v>
      </c>
      <c r="D104" s="67">
        <f t="shared" si="11"/>
        <v>19</v>
      </c>
      <c r="E104" s="108"/>
      <c r="F104" s="108"/>
      <c r="G104" s="115"/>
      <c r="H104" s="108"/>
      <c r="I104" s="109">
        <f t="shared" si="10"/>
        <v>5182.8999999999996</v>
      </c>
    </row>
    <row r="105" spans="1:9" ht="15" customHeight="1" thickTop="1">
      <c r="A105" s="255">
        <f t="shared" si="12"/>
        <v>2008</v>
      </c>
      <c r="B105" s="76">
        <f t="shared" ref="B105:B122" si="13">ROUND(F$86*(1+F$85)^D105,0)</f>
        <v>5021</v>
      </c>
      <c r="C105" s="121">
        <f t="shared" si="9"/>
        <v>8.5213843960347049</v>
      </c>
      <c r="D105" s="77">
        <f t="shared" si="11"/>
        <v>20</v>
      </c>
      <c r="E105" s="259"/>
      <c r="F105" s="259"/>
      <c r="G105" s="260"/>
      <c r="H105" s="259"/>
      <c r="I105" s="123">
        <f t="shared" si="10"/>
        <v>5021.2</v>
      </c>
    </row>
    <row r="106" spans="1:9" ht="15" customHeight="1">
      <c r="A106" s="80">
        <v>2009</v>
      </c>
      <c r="B106" s="81">
        <f t="shared" si="13"/>
        <v>4864</v>
      </c>
      <c r="C106" s="105">
        <f t="shared" si="9"/>
        <v>8.4896164236460034</v>
      </c>
      <c r="D106" s="67">
        <f t="shared" si="11"/>
        <v>21</v>
      </c>
      <c r="E106" s="83"/>
      <c r="F106" s="69"/>
      <c r="G106" s="69"/>
      <c r="H106" s="69"/>
      <c r="I106" s="109">
        <f t="shared" si="10"/>
        <v>4864.5</v>
      </c>
    </row>
    <row r="107" spans="1:9" ht="15" customHeight="1">
      <c r="A107" s="80">
        <v>2010</v>
      </c>
      <c r="B107" s="81">
        <f t="shared" si="13"/>
        <v>4713</v>
      </c>
      <c r="C107" s="105">
        <f t="shared" si="9"/>
        <v>8.4580799269237303</v>
      </c>
      <c r="D107" s="67">
        <f t="shared" si="11"/>
        <v>22</v>
      </c>
      <c r="E107" s="83"/>
      <c r="F107" s="69"/>
      <c r="G107" s="69"/>
      <c r="H107" s="69"/>
      <c r="I107" s="109">
        <f t="shared" si="10"/>
        <v>4712.6000000000004</v>
      </c>
    </row>
    <row r="108" spans="1:9" ht="15" customHeight="1">
      <c r="A108" s="80">
        <v>2011</v>
      </c>
      <c r="B108" s="81">
        <f t="shared" si="13"/>
        <v>4566</v>
      </c>
      <c r="C108" s="105">
        <f t="shared" si="9"/>
        <v>8.4263928270897406</v>
      </c>
      <c r="D108" s="67">
        <f t="shared" si="11"/>
        <v>23</v>
      </c>
      <c r="E108" s="83"/>
      <c r="F108" s="69"/>
      <c r="G108" s="69"/>
      <c r="H108" s="69"/>
      <c r="I108" s="109">
        <f t="shared" si="10"/>
        <v>4565.6000000000004</v>
      </c>
    </row>
    <row r="109" spans="1:9" ht="15" customHeight="1">
      <c r="A109" s="80">
        <v>2012</v>
      </c>
      <c r="B109" s="81">
        <f t="shared" si="13"/>
        <v>4423</v>
      </c>
      <c r="C109" s="105">
        <f t="shared" si="9"/>
        <v>8.3945734778683274</v>
      </c>
      <c r="D109" s="67">
        <f t="shared" si="11"/>
        <v>24</v>
      </c>
      <c r="E109" s="83"/>
      <c r="F109" s="69"/>
      <c r="G109" s="69"/>
      <c r="H109" s="69"/>
      <c r="I109" s="109">
        <f t="shared" si="10"/>
        <v>4423.1000000000004</v>
      </c>
    </row>
    <row r="110" spans="1:9" ht="15" customHeight="1">
      <c r="A110" s="80">
        <v>2013</v>
      </c>
      <c r="B110" s="81">
        <f t="shared" si="13"/>
        <v>4285</v>
      </c>
      <c r="C110" s="105">
        <f t="shared" si="9"/>
        <v>8.3628758310318805</v>
      </c>
      <c r="D110" s="67">
        <f t="shared" si="11"/>
        <v>25</v>
      </c>
      <c r="E110" s="83"/>
      <c r="F110" s="69"/>
      <c r="G110" s="69"/>
      <c r="H110" s="69"/>
      <c r="I110" s="109">
        <f t="shared" si="10"/>
        <v>4285</v>
      </c>
    </row>
    <row r="111" spans="1:9" ht="15" customHeight="1">
      <c r="A111" s="80">
        <v>2014</v>
      </c>
      <c r="B111" s="81">
        <f t="shared" si="13"/>
        <v>4151</v>
      </c>
      <c r="C111" s="105">
        <f t="shared" si="9"/>
        <v>8.3311045480530392</v>
      </c>
      <c r="D111" s="67">
        <f t="shared" si="11"/>
        <v>26</v>
      </c>
      <c r="E111" s="83"/>
      <c r="F111" s="69"/>
      <c r="G111" s="69"/>
      <c r="H111" s="69"/>
      <c r="I111" s="109">
        <f t="shared" si="10"/>
        <v>4151.3</v>
      </c>
    </row>
    <row r="112" spans="1:9" ht="15" customHeight="1">
      <c r="A112" s="80">
        <v>2015</v>
      </c>
      <c r="B112" s="81">
        <f t="shared" si="13"/>
        <v>4022</v>
      </c>
      <c r="C112" s="105">
        <f t="shared" si="9"/>
        <v>8.2995345703325967</v>
      </c>
      <c r="D112" s="67">
        <f t="shared" si="11"/>
        <v>27</v>
      </c>
      <c r="E112" s="83"/>
      <c r="F112" s="69"/>
      <c r="G112" s="69"/>
      <c r="H112" s="69"/>
      <c r="I112" s="109">
        <f t="shared" si="10"/>
        <v>4021.7</v>
      </c>
    </row>
    <row r="113" spans="1:9" ht="15" customHeight="1">
      <c r="A113" s="80">
        <v>2016</v>
      </c>
      <c r="B113" s="81">
        <f t="shared" si="13"/>
        <v>3896</v>
      </c>
      <c r="C113" s="105">
        <f t="shared" si="9"/>
        <v>8.2677056647624259</v>
      </c>
      <c r="D113" s="67">
        <f t="shared" si="11"/>
        <v>28</v>
      </c>
      <c r="E113" s="83"/>
      <c r="F113" s="69"/>
      <c r="G113" s="69"/>
      <c r="H113" s="69"/>
      <c r="I113" s="109">
        <f t="shared" si="10"/>
        <v>3896.2</v>
      </c>
    </row>
    <row r="114" spans="1:9" ht="15" customHeight="1">
      <c r="A114" s="80">
        <v>2017</v>
      </c>
      <c r="B114" s="81">
        <f t="shared" si="13"/>
        <v>3775</v>
      </c>
      <c r="C114" s="105">
        <f t="shared" si="9"/>
        <v>8.2361556616831244</v>
      </c>
      <c r="D114" s="67">
        <f t="shared" si="11"/>
        <v>29</v>
      </c>
      <c r="E114" s="83"/>
      <c r="F114" s="69"/>
      <c r="G114" s="69"/>
      <c r="H114" s="69"/>
      <c r="I114" s="109">
        <f t="shared" si="10"/>
        <v>3774.6</v>
      </c>
    </row>
    <row r="115" spans="1:9" ht="15" customHeight="1">
      <c r="A115" s="80">
        <v>2018</v>
      </c>
      <c r="B115" s="81">
        <f t="shared" si="13"/>
        <v>3657</v>
      </c>
      <c r="C115" s="105">
        <f t="shared" si="9"/>
        <v>8.2043984181493812</v>
      </c>
      <c r="D115" s="67">
        <f t="shared" si="11"/>
        <v>30</v>
      </c>
      <c r="E115" s="83"/>
      <c r="F115" s="69"/>
      <c r="G115" s="69"/>
      <c r="H115" s="69"/>
      <c r="I115" s="109">
        <f t="shared" si="10"/>
        <v>3656.8</v>
      </c>
    </row>
    <row r="116" spans="1:9" ht="15" customHeight="1">
      <c r="A116" s="80">
        <v>2019</v>
      </c>
      <c r="B116" s="81">
        <f t="shared" si="13"/>
        <v>3543</v>
      </c>
      <c r="C116" s="105">
        <f t="shared" si="9"/>
        <v>8.1727291048654713</v>
      </c>
      <c r="D116" s="67">
        <f t="shared" si="11"/>
        <v>31</v>
      </c>
      <c r="E116" s="83"/>
      <c r="F116" s="69"/>
      <c r="G116" s="69"/>
      <c r="H116" s="69"/>
      <c r="I116" s="109">
        <f t="shared" si="10"/>
        <v>3542.7</v>
      </c>
    </row>
    <row r="117" spans="1:9" ht="15" customHeight="1">
      <c r="A117" s="80">
        <v>2020</v>
      </c>
      <c r="B117" s="81">
        <f t="shared" si="13"/>
        <v>3432</v>
      </c>
      <c r="C117" s="105">
        <f t="shared" si="9"/>
        <v>8.1408984606078523</v>
      </c>
      <c r="D117" s="67">
        <f t="shared" si="11"/>
        <v>32</v>
      </c>
      <c r="E117" s="83"/>
      <c r="F117" s="69"/>
      <c r="G117" s="69"/>
      <c r="H117" s="69"/>
      <c r="I117" s="109">
        <f t="shared" si="10"/>
        <v>3432.1</v>
      </c>
    </row>
    <row r="118" spans="1:9" ht="15" customHeight="1">
      <c r="A118" s="80">
        <v>2021</v>
      </c>
      <c r="B118" s="81">
        <f t="shared" si="13"/>
        <v>3325</v>
      </c>
      <c r="C118" s="105">
        <f t="shared" si="9"/>
        <v>8.1092249530899547</v>
      </c>
      <c r="D118" s="67">
        <f t="shared" si="11"/>
        <v>33</v>
      </c>
      <c r="E118" s="83"/>
      <c r="F118" s="69"/>
      <c r="G118" s="69"/>
      <c r="H118" s="69"/>
      <c r="I118" s="109">
        <f t="shared" si="10"/>
        <v>3325</v>
      </c>
    </row>
    <row r="119" spans="1:9" ht="15" customHeight="1">
      <c r="A119" s="80">
        <v>2022</v>
      </c>
      <c r="B119" s="81">
        <f t="shared" si="13"/>
        <v>3221</v>
      </c>
      <c r="C119" s="105">
        <f t="shared" si="9"/>
        <v>8.0774471493311992</v>
      </c>
      <c r="D119" s="67">
        <f t="shared" si="11"/>
        <v>34</v>
      </c>
      <c r="E119" s="83"/>
      <c r="F119" s="69"/>
      <c r="G119" s="69"/>
      <c r="H119" s="69"/>
      <c r="I119" s="109">
        <f t="shared" si="10"/>
        <v>3221.2</v>
      </c>
    </row>
    <row r="120" spans="1:9" ht="15" customHeight="1">
      <c r="A120" s="80">
        <v>2023</v>
      </c>
      <c r="B120" s="81">
        <f t="shared" si="13"/>
        <v>3121</v>
      </c>
      <c r="C120" s="105">
        <f t="shared" si="9"/>
        <v>8.0459087422707789</v>
      </c>
      <c r="D120" s="67">
        <f t="shared" si="11"/>
        <v>35</v>
      </c>
      <c r="E120" s="83"/>
      <c r="F120" s="69"/>
      <c r="G120" s="69"/>
      <c r="H120" s="69"/>
      <c r="I120" s="109">
        <f t="shared" si="10"/>
        <v>3120.7</v>
      </c>
    </row>
    <row r="121" spans="1:9" ht="15" customHeight="1">
      <c r="A121" s="80">
        <v>2024</v>
      </c>
      <c r="B121" s="81">
        <f t="shared" si="13"/>
        <v>3023</v>
      </c>
      <c r="C121" s="105">
        <f t="shared" si="9"/>
        <v>8.0140049947794587</v>
      </c>
      <c r="D121" s="67">
        <f t="shared" si="11"/>
        <v>36</v>
      </c>
      <c r="E121" s="69"/>
      <c r="F121" s="69"/>
      <c r="G121" s="69"/>
      <c r="H121" s="69"/>
      <c r="I121" s="109">
        <f t="shared" si="10"/>
        <v>3023.3</v>
      </c>
    </row>
    <row r="122" spans="1:9" ht="15" customHeight="1">
      <c r="A122" s="85">
        <v>2025</v>
      </c>
      <c r="B122" s="86">
        <f t="shared" si="13"/>
        <v>2929</v>
      </c>
      <c r="C122" s="124">
        <f t="shared" si="9"/>
        <v>7.9824163468277334</v>
      </c>
      <c r="D122" s="87">
        <f t="shared" si="11"/>
        <v>37</v>
      </c>
      <c r="E122" s="89"/>
      <c r="F122" s="89"/>
      <c r="G122" s="89"/>
      <c r="H122" s="89"/>
      <c r="I122" s="125">
        <f t="shared" si="10"/>
        <v>2928.9</v>
      </c>
    </row>
    <row r="123" spans="1:9" ht="15" customHeight="1">
      <c r="A123" s="56" t="s">
        <v>82</v>
      </c>
      <c r="B123" s="57"/>
    </row>
    <row r="124" spans="1:9" ht="15" customHeight="1">
      <c r="A124" s="58" t="s">
        <v>32</v>
      </c>
      <c r="B124" s="59" t="s">
        <v>40</v>
      </c>
      <c r="C124" s="59" t="s">
        <v>83</v>
      </c>
      <c r="D124" s="59" t="s">
        <v>33</v>
      </c>
      <c r="E124" s="59" t="s">
        <v>35</v>
      </c>
      <c r="F124" s="103"/>
      <c r="G124" s="60"/>
      <c r="H124" s="63" t="s">
        <v>104</v>
      </c>
      <c r="I124" s="64" t="e">
        <f>RSQ(I125:I144,B125:B144)</f>
        <v>#VALUE!</v>
      </c>
    </row>
    <row r="125" spans="1:9" ht="15" customHeight="1">
      <c r="A125" s="65">
        <f t="shared" ref="A125:B140" si="14">A5</f>
        <v>1988</v>
      </c>
      <c r="B125" s="104">
        <f t="shared" si="14"/>
        <v>9467</v>
      </c>
      <c r="C125" s="126"/>
      <c r="D125" s="67">
        <v>0</v>
      </c>
      <c r="E125" s="67"/>
      <c r="F125" s="106" t="s">
        <v>75</v>
      </c>
      <c r="G125" s="73" t="e">
        <f>INDEX(LINEST(C126:C144,E126:E144),1)</f>
        <v>#VALUE!</v>
      </c>
      <c r="H125" s="127"/>
      <c r="I125" s="128" t="e">
        <f t="shared" ref="I125:I162" si="15">$B$125+$G$129*D125^$G$125</f>
        <v>#VALUE!</v>
      </c>
    </row>
    <row r="126" spans="1:9" ht="15" customHeight="1">
      <c r="A126" s="65">
        <f t="shared" si="14"/>
        <v>1989</v>
      </c>
      <c r="B126" s="104">
        <f t="shared" si="14"/>
        <v>10116</v>
      </c>
      <c r="C126" s="126">
        <f t="shared" ref="C126:C144" si="16">LN(-B$125+B126)</f>
        <v>6.4754327167040904</v>
      </c>
      <c r="D126" s="67">
        <f t="shared" ref="D126:D162" si="17">D125+1</f>
        <v>1</v>
      </c>
      <c r="E126" s="67">
        <f t="shared" ref="E126:E145" si="18">LN(D126)</f>
        <v>0</v>
      </c>
      <c r="F126" s="106" t="s">
        <v>76</v>
      </c>
      <c r="G126" s="73" t="e">
        <f>INDEX(LINEST(C126:C144,E126:E144),2)</f>
        <v>#VALUE!</v>
      </c>
      <c r="H126" s="129" t="s">
        <v>84</v>
      </c>
      <c r="I126" s="128" t="e">
        <f t="shared" si="15"/>
        <v>#VALUE!</v>
      </c>
    </row>
    <row r="127" spans="1:9" ht="15" customHeight="1">
      <c r="A127" s="65">
        <f t="shared" si="14"/>
        <v>1990</v>
      </c>
      <c r="B127" s="104">
        <f t="shared" si="14"/>
        <v>8540</v>
      </c>
      <c r="C127" s="126" t="e">
        <f t="shared" si="16"/>
        <v>#NUM!</v>
      </c>
      <c r="D127" s="67">
        <f t="shared" si="17"/>
        <v>2</v>
      </c>
      <c r="E127" s="67">
        <f t="shared" si="18"/>
        <v>0.69314718055994529</v>
      </c>
      <c r="F127" s="69"/>
      <c r="G127" s="130"/>
      <c r="H127" s="127"/>
      <c r="I127" s="128" t="e">
        <f t="shared" si="15"/>
        <v>#VALUE!</v>
      </c>
    </row>
    <row r="128" spans="1:9" ht="15" customHeight="1">
      <c r="A128" s="65">
        <f t="shared" si="14"/>
        <v>1991</v>
      </c>
      <c r="B128" s="104">
        <f t="shared" si="14"/>
        <v>8362</v>
      </c>
      <c r="C128" s="126" t="e">
        <f t="shared" si="16"/>
        <v>#NUM!</v>
      </c>
      <c r="D128" s="67">
        <f t="shared" si="17"/>
        <v>3</v>
      </c>
      <c r="E128" s="67">
        <f t="shared" si="18"/>
        <v>1.0986122886681098</v>
      </c>
      <c r="F128" s="106" t="s">
        <v>77</v>
      </c>
      <c r="G128" s="73" t="e">
        <f>I124</f>
        <v>#VALUE!</v>
      </c>
      <c r="H128" s="127"/>
      <c r="I128" s="128" t="e">
        <f t="shared" si="15"/>
        <v>#VALUE!</v>
      </c>
    </row>
    <row r="129" spans="1:9" ht="15" customHeight="1">
      <c r="A129" s="65">
        <f t="shared" si="14"/>
        <v>1992</v>
      </c>
      <c r="B129" s="104">
        <f t="shared" si="14"/>
        <v>7873</v>
      </c>
      <c r="C129" s="126" t="e">
        <f t="shared" si="16"/>
        <v>#NUM!</v>
      </c>
      <c r="D129" s="67">
        <f t="shared" si="17"/>
        <v>4</v>
      </c>
      <c r="E129" s="67">
        <f t="shared" si="18"/>
        <v>1.3862943611198906</v>
      </c>
      <c r="F129" s="106" t="s">
        <v>38</v>
      </c>
      <c r="G129" s="131" t="e">
        <f>EXP(G126)</f>
        <v>#VALUE!</v>
      </c>
      <c r="H129" s="127"/>
      <c r="I129" s="128" t="e">
        <f t="shared" si="15"/>
        <v>#VALUE!</v>
      </c>
    </row>
    <row r="130" spans="1:9" ht="15" customHeight="1">
      <c r="A130" s="65">
        <f t="shared" si="14"/>
        <v>1993</v>
      </c>
      <c r="B130" s="104">
        <f t="shared" si="14"/>
        <v>7706</v>
      </c>
      <c r="C130" s="126" t="e">
        <f t="shared" si="16"/>
        <v>#NUM!</v>
      </c>
      <c r="D130" s="67">
        <f t="shared" si="17"/>
        <v>5</v>
      </c>
      <c r="E130" s="67">
        <f t="shared" si="18"/>
        <v>1.6094379124341003</v>
      </c>
      <c r="F130" s="106"/>
      <c r="G130" s="53"/>
      <c r="H130" s="127"/>
      <c r="I130" s="128" t="e">
        <f t="shared" si="15"/>
        <v>#VALUE!</v>
      </c>
    </row>
    <row r="131" spans="1:9" ht="15" customHeight="1">
      <c r="A131" s="65">
        <f t="shared" si="14"/>
        <v>1994</v>
      </c>
      <c r="B131" s="104">
        <f t="shared" si="14"/>
        <v>7428</v>
      </c>
      <c r="C131" s="126" t="e">
        <f t="shared" si="16"/>
        <v>#NUM!</v>
      </c>
      <c r="D131" s="67">
        <f t="shared" si="17"/>
        <v>6</v>
      </c>
      <c r="E131" s="67">
        <f t="shared" si="18"/>
        <v>1.791759469228055</v>
      </c>
      <c r="F131" s="106"/>
      <c r="G131" s="53"/>
      <c r="H131" s="127"/>
      <c r="I131" s="128" t="e">
        <f t="shared" si="15"/>
        <v>#VALUE!</v>
      </c>
    </row>
    <row r="132" spans="1:9" ht="15" customHeight="1">
      <c r="A132" s="65">
        <f t="shared" si="14"/>
        <v>1995</v>
      </c>
      <c r="B132" s="104">
        <f t="shared" si="14"/>
        <v>7107</v>
      </c>
      <c r="C132" s="126" t="e">
        <f t="shared" si="16"/>
        <v>#NUM!</v>
      </c>
      <c r="D132" s="67">
        <f t="shared" si="17"/>
        <v>7</v>
      </c>
      <c r="E132" s="67">
        <f t="shared" si="18"/>
        <v>1.9459101490553132</v>
      </c>
      <c r="F132" s="132" t="s">
        <v>85</v>
      </c>
      <c r="G132" s="53"/>
      <c r="H132" s="127"/>
      <c r="I132" s="128" t="e">
        <f t="shared" si="15"/>
        <v>#VALUE!</v>
      </c>
    </row>
    <row r="133" spans="1:9" ht="15" customHeight="1">
      <c r="A133" s="65">
        <f t="shared" si="14"/>
        <v>1996</v>
      </c>
      <c r="B133" s="104">
        <f t="shared" si="14"/>
        <v>7208</v>
      </c>
      <c r="C133" s="126" t="e">
        <f t="shared" si="16"/>
        <v>#NUM!</v>
      </c>
      <c r="D133" s="67">
        <f t="shared" si="17"/>
        <v>8</v>
      </c>
      <c r="E133" s="67">
        <f t="shared" si="18"/>
        <v>2.0794415416798357</v>
      </c>
      <c r="F133" s="132" t="s">
        <v>86</v>
      </c>
      <c r="G133" s="53"/>
      <c r="H133" s="127"/>
      <c r="I133" s="128" t="e">
        <f t="shared" si="15"/>
        <v>#VALUE!</v>
      </c>
    </row>
    <row r="134" spans="1:9" ht="15" customHeight="1">
      <c r="A134" s="65">
        <f t="shared" si="14"/>
        <v>1997</v>
      </c>
      <c r="B134" s="104">
        <f t="shared" si="14"/>
        <v>6952</v>
      </c>
      <c r="C134" s="126" t="e">
        <f t="shared" si="16"/>
        <v>#NUM!</v>
      </c>
      <c r="D134" s="67">
        <f t="shared" si="17"/>
        <v>9</v>
      </c>
      <c r="E134" s="67">
        <f t="shared" si="18"/>
        <v>2.1972245773362196</v>
      </c>
      <c r="F134" s="132"/>
      <c r="G134" s="53"/>
      <c r="H134" s="127"/>
      <c r="I134" s="128" t="e">
        <f t="shared" si="15"/>
        <v>#VALUE!</v>
      </c>
    </row>
    <row r="135" spans="1:9" ht="15" customHeight="1">
      <c r="A135" s="65">
        <f t="shared" si="14"/>
        <v>1998</v>
      </c>
      <c r="B135" s="104">
        <f t="shared" si="14"/>
        <v>6698</v>
      </c>
      <c r="C135" s="126" t="e">
        <f t="shared" si="16"/>
        <v>#NUM!</v>
      </c>
      <c r="D135" s="67">
        <f t="shared" si="17"/>
        <v>10</v>
      </c>
      <c r="E135" s="67">
        <f t="shared" si="18"/>
        <v>2.3025850929940459</v>
      </c>
      <c r="F135" s="132"/>
      <c r="G135" s="53"/>
      <c r="H135" s="127"/>
      <c r="I135" s="128" t="e">
        <f t="shared" si="15"/>
        <v>#VALUE!</v>
      </c>
    </row>
    <row r="136" spans="1:9" ht="15" customHeight="1">
      <c r="A136" s="65">
        <f t="shared" si="14"/>
        <v>1999</v>
      </c>
      <c r="B136" s="104">
        <f t="shared" si="14"/>
        <v>6610</v>
      </c>
      <c r="C136" s="126" t="e">
        <f t="shared" si="16"/>
        <v>#NUM!</v>
      </c>
      <c r="D136" s="67">
        <f t="shared" si="17"/>
        <v>11</v>
      </c>
      <c r="E136" s="67">
        <f t="shared" si="18"/>
        <v>2.3978952727983707</v>
      </c>
      <c r="F136" s="132"/>
      <c r="G136" s="53"/>
      <c r="H136" s="127"/>
      <c r="I136" s="128" t="e">
        <f t="shared" si="15"/>
        <v>#VALUE!</v>
      </c>
    </row>
    <row r="137" spans="1:9" ht="15" customHeight="1">
      <c r="A137" s="65">
        <f t="shared" si="14"/>
        <v>2000</v>
      </c>
      <c r="B137" s="104">
        <f t="shared" si="14"/>
        <v>6347</v>
      </c>
      <c r="C137" s="126" t="e">
        <f t="shared" si="16"/>
        <v>#NUM!</v>
      </c>
      <c r="D137" s="67">
        <f t="shared" si="17"/>
        <v>12</v>
      </c>
      <c r="E137" s="67">
        <f t="shared" si="18"/>
        <v>2.4849066497880004</v>
      </c>
      <c r="F137" s="132"/>
      <c r="G137" s="53"/>
      <c r="H137" s="127"/>
      <c r="I137" s="128" t="e">
        <f t="shared" si="15"/>
        <v>#VALUE!</v>
      </c>
    </row>
    <row r="138" spans="1:9" ht="15" customHeight="1">
      <c r="A138" s="65">
        <f t="shared" si="14"/>
        <v>2001</v>
      </c>
      <c r="B138" s="104">
        <f t="shared" si="14"/>
        <v>6154</v>
      </c>
      <c r="C138" s="126" t="e">
        <f t="shared" si="16"/>
        <v>#NUM!</v>
      </c>
      <c r="D138" s="67">
        <f t="shared" si="17"/>
        <v>13</v>
      </c>
      <c r="E138" s="67">
        <f t="shared" si="18"/>
        <v>2.5649493574615367</v>
      </c>
      <c r="F138" s="132"/>
      <c r="G138" s="53"/>
      <c r="H138" s="127"/>
      <c r="I138" s="128" t="e">
        <f t="shared" si="15"/>
        <v>#VALUE!</v>
      </c>
    </row>
    <row r="139" spans="1:9" ht="15" customHeight="1">
      <c r="A139" s="65">
        <f t="shared" si="14"/>
        <v>2002</v>
      </c>
      <c r="B139" s="104">
        <f t="shared" si="14"/>
        <v>5940</v>
      </c>
      <c r="C139" s="126" t="e">
        <f t="shared" si="16"/>
        <v>#NUM!</v>
      </c>
      <c r="D139" s="67">
        <f t="shared" si="17"/>
        <v>14</v>
      </c>
      <c r="E139" s="67">
        <f t="shared" si="18"/>
        <v>2.6390573296152584</v>
      </c>
      <c r="F139" s="132"/>
      <c r="G139" s="53"/>
      <c r="H139" s="127"/>
      <c r="I139" s="128" t="e">
        <f t="shared" si="15"/>
        <v>#VALUE!</v>
      </c>
    </row>
    <row r="140" spans="1:9" ht="15" customHeight="1">
      <c r="A140" s="65">
        <f t="shared" si="14"/>
        <v>2003</v>
      </c>
      <c r="B140" s="104">
        <f t="shared" si="14"/>
        <v>5740</v>
      </c>
      <c r="C140" s="126" t="e">
        <f t="shared" si="16"/>
        <v>#NUM!</v>
      </c>
      <c r="D140" s="67">
        <f t="shared" si="17"/>
        <v>15</v>
      </c>
      <c r="E140" s="67">
        <f t="shared" si="18"/>
        <v>2.7080502011022101</v>
      </c>
      <c r="F140" s="132"/>
      <c r="G140" s="53"/>
      <c r="H140" s="127"/>
      <c r="I140" s="128" t="e">
        <f t="shared" si="15"/>
        <v>#VALUE!</v>
      </c>
    </row>
    <row r="141" spans="1:9" ht="15" customHeight="1">
      <c r="A141" s="65">
        <f t="shared" ref="A141:B145" si="19">A21</f>
        <v>2004</v>
      </c>
      <c r="B141" s="104">
        <f t="shared" si="19"/>
        <v>5718</v>
      </c>
      <c r="C141" s="126" t="e">
        <f t="shared" si="16"/>
        <v>#NUM!</v>
      </c>
      <c r="D141" s="67">
        <f t="shared" si="17"/>
        <v>16</v>
      </c>
      <c r="E141" s="67">
        <f t="shared" si="18"/>
        <v>2.7725887222397811</v>
      </c>
      <c r="F141" s="132"/>
      <c r="G141" s="53"/>
      <c r="H141" s="127"/>
      <c r="I141" s="128" t="e">
        <f t="shared" si="15"/>
        <v>#VALUE!</v>
      </c>
    </row>
    <row r="142" spans="1:9" ht="15" customHeight="1">
      <c r="A142" s="65">
        <f t="shared" si="19"/>
        <v>2005</v>
      </c>
      <c r="B142" s="104">
        <f t="shared" si="19"/>
        <v>5709</v>
      </c>
      <c r="C142" s="126" t="e">
        <f t="shared" si="16"/>
        <v>#NUM!</v>
      </c>
      <c r="D142" s="67">
        <f t="shared" si="17"/>
        <v>17</v>
      </c>
      <c r="E142" s="67">
        <f t="shared" si="18"/>
        <v>2.8332133440562162</v>
      </c>
      <c r="F142" s="132"/>
      <c r="G142" s="53"/>
      <c r="H142" s="127"/>
      <c r="I142" s="128" t="e">
        <f t="shared" si="15"/>
        <v>#VALUE!</v>
      </c>
    </row>
    <row r="143" spans="1:9" ht="15" customHeight="1">
      <c r="A143" s="65">
        <f t="shared" si="19"/>
        <v>2006</v>
      </c>
      <c r="B143" s="104">
        <f t="shared" si="19"/>
        <v>5399</v>
      </c>
      <c r="C143" s="126" t="e">
        <f t="shared" si="16"/>
        <v>#NUM!</v>
      </c>
      <c r="D143" s="67">
        <f t="shared" si="17"/>
        <v>18</v>
      </c>
      <c r="E143" s="67">
        <f t="shared" si="18"/>
        <v>2.8903717578961645</v>
      </c>
      <c r="F143" s="132"/>
      <c r="G143" s="53"/>
      <c r="H143" s="127"/>
      <c r="I143" s="128" t="e">
        <f t="shared" si="15"/>
        <v>#VALUE!</v>
      </c>
    </row>
    <row r="144" spans="1:9" ht="15" customHeight="1" thickBot="1">
      <c r="A144" s="97">
        <f t="shared" si="19"/>
        <v>2007</v>
      </c>
      <c r="B144" s="116">
        <f t="shared" si="19"/>
        <v>5183</v>
      </c>
      <c r="C144" s="141" t="e">
        <f t="shared" si="16"/>
        <v>#NUM!</v>
      </c>
      <c r="D144" s="99">
        <f t="shared" si="17"/>
        <v>19</v>
      </c>
      <c r="E144" s="99">
        <f t="shared" si="18"/>
        <v>2.9444389791664403</v>
      </c>
      <c r="F144" s="182"/>
      <c r="G144" s="101"/>
      <c r="H144" s="143"/>
      <c r="I144" s="144" t="e">
        <f t="shared" si="15"/>
        <v>#VALUE!</v>
      </c>
    </row>
    <row r="145" spans="1:9" ht="15" customHeight="1" thickTop="1">
      <c r="A145" s="255">
        <f t="shared" si="19"/>
        <v>2008</v>
      </c>
      <c r="B145" s="81" t="e">
        <f>ROUND(LOOKUP(0,D$125:D$144,B$125:B$144)+G$129*D144^G$125,0)</f>
        <v>#VALUE!</v>
      </c>
      <c r="C145" s="257"/>
      <c r="D145" s="77">
        <f t="shared" si="17"/>
        <v>20</v>
      </c>
      <c r="E145" s="77">
        <f t="shared" si="18"/>
        <v>2.9957322735539909</v>
      </c>
      <c r="F145" s="122"/>
      <c r="G145" s="78"/>
      <c r="H145" s="258"/>
      <c r="I145" s="133" t="e">
        <f t="shared" si="15"/>
        <v>#VALUE!</v>
      </c>
    </row>
    <row r="146" spans="1:9" ht="15" customHeight="1">
      <c r="A146" s="80">
        <v>2009</v>
      </c>
      <c r="B146" s="81" t="e">
        <f>ROUND(LOOKUP(0,D$125:D$144,B$125:B$144)+G$129*D145^G$125,0)</f>
        <v>#VALUE!</v>
      </c>
      <c r="C146" s="134"/>
      <c r="D146" s="67">
        <f t="shared" si="17"/>
        <v>21</v>
      </c>
      <c r="E146" s="67"/>
      <c r="F146" s="83"/>
      <c r="G146" s="69"/>
      <c r="H146" s="84"/>
      <c r="I146" s="128" t="e">
        <f t="shared" si="15"/>
        <v>#VALUE!</v>
      </c>
    </row>
    <row r="147" spans="1:9" ht="15" customHeight="1">
      <c r="A147" s="80">
        <v>2010</v>
      </c>
      <c r="B147" s="81" t="e">
        <f t="shared" ref="B147:B162" si="20">ROUND(LOOKUP(0,D$125:D$144,B$125:B$144)+G$129*D146^G$125,0)</f>
        <v>#VALUE!</v>
      </c>
      <c r="C147" s="134"/>
      <c r="D147" s="67">
        <f t="shared" si="17"/>
        <v>22</v>
      </c>
      <c r="E147" s="67"/>
      <c r="F147" s="83"/>
      <c r="G147" s="69"/>
      <c r="H147" s="84"/>
      <c r="I147" s="128" t="e">
        <f t="shared" si="15"/>
        <v>#VALUE!</v>
      </c>
    </row>
    <row r="148" spans="1:9" ht="15" customHeight="1">
      <c r="A148" s="80">
        <v>2011</v>
      </c>
      <c r="B148" s="81" t="e">
        <f t="shared" si="20"/>
        <v>#VALUE!</v>
      </c>
      <c r="C148" s="134"/>
      <c r="D148" s="67">
        <f t="shared" si="17"/>
        <v>23</v>
      </c>
      <c r="E148" s="67"/>
      <c r="F148" s="83"/>
      <c r="G148" s="69"/>
      <c r="H148" s="84"/>
      <c r="I148" s="128" t="e">
        <f t="shared" si="15"/>
        <v>#VALUE!</v>
      </c>
    </row>
    <row r="149" spans="1:9" ht="15" customHeight="1">
      <c r="A149" s="80">
        <v>2012</v>
      </c>
      <c r="B149" s="81" t="e">
        <f t="shared" si="20"/>
        <v>#VALUE!</v>
      </c>
      <c r="C149" s="134"/>
      <c r="D149" s="67">
        <f t="shared" si="17"/>
        <v>24</v>
      </c>
      <c r="E149" s="67"/>
      <c r="F149" s="83"/>
      <c r="G149" s="69"/>
      <c r="H149" s="84"/>
      <c r="I149" s="128" t="e">
        <f t="shared" si="15"/>
        <v>#VALUE!</v>
      </c>
    </row>
    <row r="150" spans="1:9" ht="15" customHeight="1">
      <c r="A150" s="80">
        <v>2013</v>
      </c>
      <c r="B150" s="81" t="e">
        <f t="shared" si="20"/>
        <v>#VALUE!</v>
      </c>
      <c r="C150" s="134"/>
      <c r="D150" s="67">
        <f t="shared" si="17"/>
        <v>25</v>
      </c>
      <c r="E150" s="67"/>
      <c r="F150" s="83"/>
      <c r="G150" s="69"/>
      <c r="H150" s="84"/>
      <c r="I150" s="128" t="e">
        <f t="shared" si="15"/>
        <v>#VALUE!</v>
      </c>
    </row>
    <row r="151" spans="1:9" ht="15" customHeight="1">
      <c r="A151" s="80">
        <v>2014</v>
      </c>
      <c r="B151" s="81" t="e">
        <f t="shared" si="20"/>
        <v>#VALUE!</v>
      </c>
      <c r="C151" s="134"/>
      <c r="D151" s="67">
        <f t="shared" si="17"/>
        <v>26</v>
      </c>
      <c r="E151" s="67"/>
      <c r="F151" s="83"/>
      <c r="G151" s="69"/>
      <c r="H151" s="84"/>
      <c r="I151" s="128" t="e">
        <f t="shared" si="15"/>
        <v>#VALUE!</v>
      </c>
    </row>
    <row r="152" spans="1:9" ht="15" customHeight="1">
      <c r="A152" s="80">
        <v>2015</v>
      </c>
      <c r="B152" s="81" t="e">
        <f t="shared" si="20"/>
        <v>#VALUE!</v>
      </c>
      <c r="C152" s="134"/>
      <c r="D152" s="67">
        <f t="shared" si="17"/>
        <v>27</v>
      </c>
      <c r="E152" s="67"/>
      <c r="F152" s="83"/>
      <c r="G152" s="69"/>
      <c r="H152" s="84"/>
      <c r="I152" s="128" t="e">
        <f t="shared" si="15"/>
        <v>#VALUE!</v>
      </c>
    </row>
    <row r="153" spans="1:9" ht="15" customHeight="1">
      <c r="A153" s="80">
        <v>2016</v>
      </c>
      <c r="B153" s="81" t="e">
        <f t="shared" si="20"/>
        <v>#VALUE!</v>
      </c>
      <c r="C153" s="134"/>
      <c r="D153" s="67">
        <f t="shared" si="17"/>
        <v>28</v>
      </c>
      <c r="E153" s="67"/>
      <c r="F153" s="83"/>
      <c r="G153" s="69"/>
      <c r="H153" s="84"/>
      <c r="I153" s="128" t="e">
        <f t="shared" si="15"/>
        <v>#VALUE!</v>
      </c>
    </row>
    <row r="154" spans="1:9" ht="15" customHeight="1">
      <c r="A154" s="80">
        <v>2017</v>
      </c>
      <c r="B154" s="81" t="e">
        <f t="shared" si="20"/>
        <v>#VALUE!</v>
      </c>
      <c r="C154" s="134"/>
      <c r="D154" s="67">
        <f t="shared" si="17"/>
        <v>29</v>
      </c>
      <c r="E154" s="67"/>
      <c r="F154" s="83"/>
      <c r="G154" s="69"/>
      <c r="H154" s="84"/>
      <c r="I154" s="128" t="e">
        <f t="shared" si="15"/>
        <v>#VALUE!</v>
      </c>
    </row>
    <row r="155" spans="1:9" ht="15" customHeight="1">
      <c r="A155" s="80">
        <v>2018</v>
      </c>
      <c r="B155" s="81" t="e">
        <f t="shared" si="20"/>
        <v>#VALUE!</v>
      </c>
      <c r="C155" s="134"/>
      <c r="D155" s="67">
        <f t="shared" si="17"/>
        <v>30</v>
      </c>
      <c r="E155" s="67"/>
      <c r="F155" s="83"/>
      <c r="G155" s="69"/>
      <c r="H155" s="84"/>
      <c r="I155" s="128" t="e">
        <f t="shared" si="15"/>
        <v>#VALUE!</v>
      </c>
    </row>
    <row r="156" spans="1:9" ht="15" customHeight="1">
      <c r="A156" s="80">
        <v>2019</v>
      </c>
      <c r="B156" s="81" t="e">
        <f t="shared" si="20"/>
        <v>#VALUE!</v>
      </c>
      <c r="C156" s="134"/>
      <c r="D156" s="67">
        <f t="shared" si="17"/>
        <v>31</v>
      </c>
      <c r="E156" s="67"/>
      <c r="F156" s="83"/>
      <c r="G156" s="69"/>
      <c r="H156" s="84"/>
      <c r="I156" s="128" t="e">
        <f t="shared" si="15"/>
        <v>#VALUE!</v>
      </c>
    </row>
    <row r="157" spans="1:9" ht="15" customHeight="1">
      <c r="A157" s="80">
        <v>2020</v>
      </c>
      <c r="B157" s="81" t="e">
        <f t="shared" si="20"/>
        <v>#VALUE!</v>
      </c>
      <c r="C157" s="134"/>
      <c r="D157" s="67">
        <f t="shared" si="17"/>
        <v>32</v>
      </c>
      <c r="E157" s="67"/>
      <c r="F157" s="83"/>
      <c r="G157" s="69"/>
      <c r="H157" s="84"/>
      <c r="I157" s="128" t="e">
        <f t="shared" si="15"/>
        <v>#VALUE!</v>
      </c>
    </row>
    <row r="158" spans="1:9" ht="15" customHeight="1">
      <c r="A158" s="80">
        <v>2021</v>
      </c>
      <c r="B158" s="81" t="e">
        <f t="shared" si="20"/>
        <v>#VALUE!</v>
      </c>
      <c r="C158" s="134"/>
      <c r="D158" s="67">
        <f t="shared" si="17"/>
        <v>33</v>
      </c>
      <c r="E158" s="67"/>
      <c r="F158" s="83"/>
      <c r="G158" s="69"/>
      <c r="H158" s="84"/>
      <c r="I158" s="128" t="e">
        <f t="shared" si="15"/>
        <v>#VALUE!</v>
      </c>
    </row>
    <row r="159" spans="1:9" ht="15" customHeight="1">
      <c r="A159" s="80">
        <v>2022</v>
      </c>
      <c r="B159" s="81" t="e">
        <f t="shared" si="20"/>
        <v>#VALUE!</v>
      </c>
      <c r="C159" s="134"/>
      <c r="D159" s="67">
        <f t="shared" si="17"/>
        <v>34</v>
      </c>
      <c r="E159" s="67"/>
      <c r="F159" s="83"/>
      <c r="G159" s="69"/>
      <c r="H159" s="84"/>
      <c r="I159" s="128" t="e">
        <f t="shared" si="15"/>
        <v>#VALUE!</v>
      </c>
    </row>
    <row r="160" spans="1:9" ht="15" customHeight="1">
      <c r="A160" s="80">
        <v>2023</v>
      </c>
      <c r="B160" s="81" t="e">
        <f t="shared" si="20"/>
        <v>#VALUE!</v>
      </c>
      <c r="C160" s="134"/>
      <c r="D160" s="67">
        <f t="shared" si="17"/>
        <v>35</v>
      </c>
      <c r="E160" s="67"/>
      <c r="F160" s="83"/>
      <c r="G160" s="69"/>
      <c r="H160" s="84"/>
      <c r="I160" s="128" t="e">
        <f t="shared" si="15"/>
        <v>#VALUE!</v>
      </c>
    </row>
    <row r="161" spans="1:9" ht="15" customHeight="1">
      <c r="A161" s="80">
        <v>2024</v>
      </c>
      <c r="B161" s="81" t="e">
        <f t="shared" si="20"/>
        <v>#VALUE!</v>
      </c>
      <c r="C161" s="135"/>
      <c r="D161" s="67">
        <f t="shared" si="17"/>
        <v>36</v>
      </c>
      <c r="E161" s="67"/>
      <c r="F161" s="69"/>
      <c r="G161" s="69"/>
      <c r="H161" s="69"/>
      <c r="I161" s="136" t="e">
        <f t="shared" si="15"/>
        <v>#VALUE!</v>
      </c>
    </row>
    <row r="162" spans="1:9" ht="15" customHeight="1">
      <c r="A162" s="85">
        <v>2025</v>
      </c>
      <c r="B162" s="81" t="e">
        <f t="shared" si="20"/>
        <v>#VALUE!</v>
      </c>
      <c r="C162" s="137"/>
      <c r="D162" s="87">
        <f t="shared" si="17"/>
        <v>37</v>
      </c>
      <c r="E162" s="87"/>
      <c r="F162" s="89"/>
      <c r="G162" s="89"/>
      <c r="H162" s="89"/>
      <c r="I162" s="138" t="e">
        <f t="shared" si="15"/>
        <v>#VALUE!</v>
      </c>
    </row>
    <row r="163" spans="1:9" ht="15" customHeight="1">
      <c r="A163" s="56" t="s">
        <v>87</v>
      </c>
      <c r="B163" s="57"/>
    </row>
    <row r="164" spans="1:9" ht="15" customHeight="1">
      <c r="A164" s="58" t="s">
        <v>32</v>
      </c>
      <c r="B164" s="59" t="s">
        <v>40</v>
      </c>
      <c r="C164" s="59" t="s">
        <v>36</v>
      </c>
      <c r="D164" s="59" t="s">
        <v>33</v>
      </c>
      <c r="E164" s="103"/>
      <c r="F164" s="60"/>
      <c r="G164" s="61"/>
      <c r="H164" s="63" t="s">
        <v>104</v>
      </c>
      <c r="I164" s="64">
        <f>RSQ(I165:I185,B165:B185)</f>
        <v>0.94376212515287139</v>
      </c>
    </row>
    <row r="165" spans="1:9" ht="15" customHeight="1">
      <c r="A165" s="65">
        <f t="shared" ref="A165:A185" si="21">A5</f>
        <v>1988</v>
      </c>
      <c r="B165" s="104">
        <f t="shared" ref="B165:B184" si="22">+B5</f>
        <v>9467</v>
      </c>
      <c r="C165" s="126">
        <f t="shared" ref="C165:C184" si="23">LN(F$168/B165-1)</f>
        <v>0.12848806366957219</v>
      </c>
      <c r="D165" s="67">
        <v>0</v>
      </c>
      <c r="E165" s="106" t="s">
        <v>75</v>
      </c>
      <c r="F165" s="139">
        <f>INDEX(LINEST(C165:C184,D165:D184),1)</f>
        <v>4.8027209318886814E-2</v>
      </c>
      <c r="G165" s="140" t="s">
        <v>88</v>
      </c>
      <c r="H165" s="127"/>
      <c r="I165" s="128">
        <f t="shared" ref="I165:I202" si="24">$F$168/(1+EXP($F$166+$F$165*D165))</f>
        <v>9161.8658519623514</v>
      </c>
    </row>
    <row r="166" spans="1:9" ht="15" customHeight="1">
      <c r="A166" s="65">
        <f t="shared" si="21"/>
        <v>1989</v>
      </c>
      <c r="B166" s="104">
        <f t="shared" si="22"/>
        <v>10116</v>
      </c>
      <c r="C166" s="126">
        <f t="shared" si="23"/>
        <v>0</v>
      </c>
      <c r="D166" s="67">
        <f t="shared" ref="D166:D202" si="25">D165+1</f>
        <v>1</v>
      </c>
      <c r="E166" s="106" t="s">
        <v>76</v>
      </c>
      <c r="F166" s="139">
        <f>INDEX(LINEST(C165:C184,D165:D184),2)</f>
        <v>0.18920101123572497</v>
      </c>
      <c r="G166" s="69"/>
      <c r="H166" s="127"/>
      <c r="I166" s="128">
        <f t="shared" si="24"/>
        <v>8921.6954266004195</v>
      </c>
    </row>
    <row r="167" spans="1:9" ht="15" customHeight="1">
      <c r="A167" s="65">
        <f t="shared" si="21"/>
        <v>1990</v>
      </c>
      <c r="B167" s="104">
        <f t="shared" si="22"/>
        <v>8540</v>
      </c>
      <c r="C167" s="126">
        <f t="shared" si="23"/>
        <v>0.31414383944852087</v>
      </c>
      <c r="D167" s="67">
        <f t="shared" si="25"/>
        <v>2</v>
      </c>
      <c r="E167" s="106" t="s">
        <v>77</v>
      </c>
      <c r="F167" s="73">
        <f>I164</f>
        <v>0.94376212515287139</v>
      </c>
      <c r="G167" s="69"/>
      <c r="H167" s="127"/>
      <c r="I167" s="128">
        <f t="shared" si="24"/>
        <v>8682.8826905824862</v>
      </c>
    </row>
    <row r="168" spans="1:9" ht="15" customHeight="1">
      <c r="A168" s="65">
        <f t="shared" si="21"/>
        <v>1991</v>
      </c>
      <c r="B168" s="104">
        <f t="shared" si="22"/>
        <v>8362</v>
      </c>
      <c r="C168" s="126">
        <f t="shared" si="23"/>
        <v>0.35031657568720337</v>
      </c>
      <c r="D168" s="67">
        <f t="shared" si="25"/>
        <v>3</v>
      </c>
      <c r="E168" s="106" t="s">
        <v>39</v>
      </c>
      <c r="F168" s="110">
        <f>MAX(B165:B184)*2</f>
        <v>20232</v>
      </c>
      <c r="G168" s="69"/>
      <c r="H168" s="127"/>
      <c r="I168" s="128">
        <f t="shared" si="24"/>
        <v>8445.6890021886338</v>
      </c>
    </row>
    <row r="169" spans="1:9" ht="15" customHeight="1">
      <c r="A169" s="65">
        <f t="shared" si="21"/>
        <v>1992</v>
      </c>
      <c r="B169" s="104">
        <f t="shared" si="22"/>
        <v>7873</v>
      </c>
      <c r="C169" s="126">
        <f t="shared" si="23"/>
        <v>0.45094535840526834</v>
      </c>
      <c r="D169" s="67">
        <f t="shared" si="25"/>
        <v>4</v>
      </c>
      <c r="E169" s="106"/>
      <c r="F169" s="53"/>
      <c r="G169" s="69"/>
      <c r="H169" s="127"/>
      <c r="I169" s="128">
        <f t="shared" si="24"/>
        <v>8210.3684841626109</v>
      </c>
    </row>
    <row r="170" spans="1:9" ht="15" customHeight="1">
      <c r="A170" s="65">
        <f t="shared" si="21"/>
        <v>1993</v>
      </c>
      <c r="B170" s="104">
        <f t="shared" si="22"/>
        <v>7706</v>
      </c>
      <c r="C170" s="126">
        <f t="shared" si="23"/>
        <v>0.48580723789925528</v>
      </c>
      <c r="D170" s="67">
        <f t="shared" si="25"/>
        <v>5</v>
      </c>
      <c r="E170" s="106"/>
      <c r="F170" s="53"/>
      <c r="G170" s="69"/>
      <c r="H170" s="127"/>
      <c r="I170" s="128">
        <f t="shared" si="24"/>
        <v>7977.1669809988825</v>
      </c>
    </row>
    <row r="171" spans="1:9" ht="15" customHeight="1">
      <c r="A171" s="65">
        <f t="shared" si="21"/>
        <v>1994</v>
      </c>
      <c r="B171" s="104">
        <f t="shared" si="22"/>
        <v>7428</v>
      </c>
      <c r="C171" s="126">
        <f t="shared" si="23"/>
        <v>0.54450097861715741</v>
      </c>
      <c r="D171" s="67">
        <f t="shared" si="25"/>
        <v>6</v>
      </c>
      <c r="E171" s="132" t="s">
        <v>89</v>
      </c>
      <c r="F171" s="53"/>
      <c r="G171" s="69"/>
      <c r="H171" s="127"/>
      <c r="I171" s="128">
        <f t="shared" si="24"/>
        <v>7746.3210926865067</v>
      </c>
    </row>
    <row r="172" spans="1:9" ht="15" customHeight="1">
      <c r="A172" s="65">
        <f t="shared" si="21"/>
        <v>1995</v>
      </c>
      <c r="B172" s="104">
        <f t="shared" si="22"/>
        <v>7107</v>
      </c>
      <c r="C172" s="126">
        <f t="shared" si="23"/>
        <v>0.61343859463292938</v>
      </c>
      <c r="D172" s="67">
        <f t="shared" si="25"/>
        <v>7</v>
      </c>
      <c r="E172" s="132" t="s">
        <v>90</v>
      </c>
      <c r="F172" s="53"/>
      <c r="G172" s="69"/>
      <c r="H172" s="127"/>
      <c r="I172" s="128">
        <f t="shared" si="24"/>
        <v>7518.0572923107284</v>
      </c>
    </row>
    <row r="173" spans="1:9" ht="15" customHeight="1">
      <c r="A173" s="65">
        <f t="shared" si="21"/>
        <v>1996</v>
      </c>
      <c r="B173" s="104">
        <f t="shared" si="22"/>
        <v>7208</v>
      </c>
      <c r="C173" s="126">
        <f t="shared" si="23"/>
        <v>0.59160228895414768</v>
      </c>
      <c r="D173" s="67">
        <f t="shared" si="25"/>
        <v>8</v>
      </c>
      <c r="E173" s="132"/>
      <c r="F173" s="53"/>
      <c r="G173" s="69"/>
      <c r="H173" s="127"/>
      <c r="I173" s="128">
        <f t="shared" si="24"/>
        <v>7292.5911336387298</v>
      </c>
    </row>
    <row r="174" spans="1:9" ht="15" customHeight="1">
      <c r="A174" s="65">
        <f t="shared" si="21"/>
        <v>1997</v>
      </c>
      <c r="B174" s="104">
        <f t="shared" si="22"/>
        <v>6952</v>
      </c>
      <c r="C174" s="126">
        <f t="shared" si="23"/>
        <v>0.64722975608519673</v>
      </c>
      <c r="D174" s="67">
        <f t="shared" si="25"/>
        <v>9</v>
      </c>
      <c r="E174" s="132"/>
      <c r="F174" s="53"/>
      <c r="G174" s="69"/>
      <c r="H174" s="127"/>
      <c r="I174" s="128">
        <f t="shared" si="24"/>
        <v>7070.1265534857339</v>
      </c>
    </row>
    <row r="175" spans="1:9" ht="15" customHeight="1">
      <c r="A175" s="65">
        <f t="shared" si="21"/>
        <v>1998</v>
      </c>
      <c r="B175" s="104">
        <f t="shared" si="22"/>
        <v>6698</v>
      </c>
      <c r="C175" s="126">
        <f t="shared" si="23"/>
        <v>0.70339606343802097</v>
      </c>
      <c r="D175" s="67">
        <f t="shared" si="25"/>
        <v>10</v>
      </c>
      <c r="E175" s="132"/>
      <c r="F175" s="53"/>
      <c r="G175" s="69"/>
      <c r="H175" s="127"/>
      <c r="I175" s="128">
        <f t="shared" si="24"/>
        <v>6850.8552723009052</v>
      </c>
    </row>
    <row r="176" spans="1:9" ht="15" customHeight="1">
      <c r="A176" s="65">
        <f t="shared" si="21"/>
        <v>1999</v>
      </c>
      <c r="B176" s="104">
        <f t="shared" si="22"/>
        <v>6610</v>
      </c>
      <c r="C176" s="126">
        <f t="shared" si="23"/>
        <v>0.72310247895553181</v>
      </c>
      <c r="D176" s="67">
        <f t="shared" si="25"/>
        <v>11</v>
      </c>
      <c r="E176" s="132"/>
      <c r="F176" s="53"/>
      <c r="G176" s="69"/>
      <c r="H176" s="127"/>
      <c r="I176" s="128">
        <f t="shared" si="24"/>
        <v>6634.9562950572545</v>
      </c>
    </row>
    <row r="177" spans="1:9" ht="15" customHeight="1">
      <c r="A177" s="65">
        <f t="shared" si="21"/>
        <v>2000</v>
      </c>
      <c r="B177" s="104">
        <f t="shared" si="22"/>
        <v>6347</v>
      </c>
      <c r="C177" s="126">
        <f t="shared" si="23"/>
        <v>0.78282686043442984</v>
      </c>
      <c r="D177" s="67">
        <f t="shared" si="25"/>
        <v>12</v>
      </c>
      <c r="E177" s="132"/>
      <c r="F177" s="53"/>
      <c r="G177" s="69"/>
      <c r="H177" s="127"/>
      <c r="I177" s="128">
        <f t="shared" si="24"/>
        <v>6422.5955132030922</v>
      </c>
    </row>
    <row r="178" spans="1:9" ht="15" customHeight="1">
      <c r="A178" s="65">
        <f t="shared" si="21"/>
        <v>2001</v>
      </c>
      <c r="B178" s="104">
        <f t="shared" si="22"/>
        <v>6154</v>
      </c>
      <c r="C178" s="126">
        <f t="shared" si="23"/>
        <v>0.82751101828608975</v>
      </c>
      <c r="D178" s="67">
        <f t="shared" si="25"/>
        <v>13</v>
      </c>
      <c r="E178" s="132"/>
      <c r="F178" s="53"/>
      <c r="G178" s="69"/>
      <c r="H178" s="127"/>
      <c r="I178" s="128">
        <f t="shared" si="24"/>
        <v>6213.925407159024</v>
      </c>
    </row>
    <row r="179" spans="1:9" ht="15" customHeight="1">
      <c r="A179" s="65">
        <f t="shared" si="21"/>
        <v>2002</v>
      </c>
      <c r="B179" s="104">
        <f t="shared" si="22"/>
        <v>5940</v>
      </c>
      <c r="C179" s="126">
        <f t="shared" si="23"/>
        <v>0.8779908067866099</v>
      </c>
      <c r="D179" s="67">
        <f t="shared" si="25"/>
        <v>14</v>
      </c>
      <c r="E179" s="132"/>
      <c r="F179" s="53"/>
      <c r="G179" s="69"/>
      <c r="H179" s="127"/>
      <c r="I179" s="128">
        <f t="shared" si="24"/>
        <v>6009.0848476459651</v>
      </c>
    </row>
    <row r="180" spans="1:9" ht="15" customHeight="1">
      <c r="A180" s="65">
        <f t="shared" si="21"/>
        <v>2003</v>
      </c>
      <c r="B180" s="104">
        <f t="shared" si="22"/>
        <v>5740</v>
      </c>
      <c r="C180" s="126">
        <f t="shared" si="23"/>
        <v>0.92613756270135583</v>
      </c>
      <c r="D180" s="67">
        <f t="shared" si="25"/>
        <v>15</v>
      </c>
      <c r="E180" s="132"/>
      <c r="F180" s="53"/>
      <c r="G180" s="69"/>
      <c r="H180" s="127"/>
      <c r="I180" s="128">
        <f t="shared" si="24"/>
        <v>5808.1989930249692</v>
      </c>
    </row>
    <row r="181" spans="1:9" ht="15" customHeight="1">
      <c r="A181" s="65">
        <f t="shared" si="21"/>
        <v>2004</v>
      </c>
      <c r="B181" s="104">
        <f t="shared" si="22"/>
        <v>5718</v>
      </c>
      <c r="C181" s="126">
        <f t="shared" si="23"/>
        <v>0.9314946069558252</v>
      </c>
      <c r="D181" s="67">
        <f t="shared" si="25"/>
        <v>16</v>
      </c>
      <c r="E181" s="106"/>
      <c r="F181" s="53"/>
      <c r="G181" s="69"/>
      <c r="H181" s="127"/>
      <c r="I181" s="128">
        <f t="shared" si="24"/>
        <v>5611.3792788340734</v>
      </c>
    </row>
    <row r="182" spans="1:9" ht="15" customHeight="1">
      <c r="A182" s="65">
        <f t="shared" si="21"/>
        <v>2005</v>
      </c>
      <c r="B182" s="104">
        <f t="shared" si="22"/>
        <v>5709</v>
      </c>
      <c r="C182" s="126">
        <f t="shared" si="23"/>
        <v>0.93368972264354488</v>
      </c>
      <c r="D182" s="67">
        <f t="shared" si="25"/>
        <v>17</v>
      </c>
      <c r="E182" s="83"/>
      <c r="F182" s="69"/>
      <c r="G182" s="69"/>
      <c r="H182" s="127"/>
      <c r="I182" s="128">
        <f t="shared" si="24"/>
        <v>5418.7234948324131</v>
      </c>
    </row>
    <row r="183" spans="1:9" ht="15" customHeight="1">
      <c r="A183" s="65">
        <f t="shared" si="21"/>
        <v>2006</v>
      </c>
      <c r="B183" s="104">
        <f t="shared" si="22"/>
        <v>5399</v>
      </c>
      <c r="C183" s="126">
        <f t="shared" si="23"/>
        <v>1.0106406771053253</v>
      </c>
      <c r="D183" s="67">
        <f t="shared" si="25"/>
        <v>18</v>
      </c>
      <c r="E183" s="83"/>
      <c r="F183" s="69"/>
      <c r="G183" s="69"/>
      <c r="H183" s="127"/>
      <c r="I183" s="128">
        <f t="shared" si="24"/>
        <v>5230.3159441156076</v>
      </c>
    </row>
    <row r="184" spans="1:9" ht="15" customHeight="1" thickBot="1">
      <c r="A184" s="97">
        <f t="shared" si="21"/>
        <v>2007</v>
      </c>
      <c r="B184" s="116">
        <f t="shared" si="22"/>
        <v>5183</v>
      </c>
      <c r="C184" s="141">
        <f t="shared" si="23"/>
        <v>1.065927504597012</v>
      </c>
      <c r="D184" s="99">
        <f t="shared" si="25"/>
        <v>19</v>
      </c>
      <c r="E184" s="142"/>
      <c r="F184" s="100"/>
      <c r="G184" s="100"/>
      <c r="H184" s="143"/>
      <c r="I184" s="144">
        <f t="shared" si="24"/>
        <v>5046.2276782531835</v>
      </c>
    </row>
    <row r="185" spans="1:9" ht="15" customHeight="1" thickTop="1">
      <c r="A185" s="255">
        <f t="shared" si="21"/>
        <v>2008</v>
      </c>
      <c r="B185" s="81">
        <f t="shared" ref="B185:B202" si="26">ROUND(F$168/(1+EXP(F$166+F$165*D185)),0)</f>
        <v>4867</v>
      </c>
      <c r="C185" s="257"/>
      <c r="D185" s="77">
        <f t="shared" si="25"/>
        <v>20</v>
      </c>
      <c r="E185" s="122"/>
      <c r="F185" s="78"/>
      <c r="G185" s="78"/>
      <c r="H185" s="258"/>
      <c r="I185" s="133">
        <f t="shared" si="24"/>
        <v>4866.5168019195135</v>
      </c>
    </row>
    <row r="186" spans="1:9" ht="15" customHeight="1">
      <c r="A186" s="80">
        <v>2009</v>
      </c>
      <c r="B186" s="81">
        <f t="shared" si="26"/>
        <v>4691</v>
      </c>
      <c r="C186" s="134"/>
      <c r="D186" s="67">
        <f t="shared" si="25"/>
        <v>21</v>
      </c>
      <c r="E186" s="83"/>
      <c r="F186" s="69"/>
      <c r="G186" s="69"/>
      <c r="H186" s="84"/>
      <c r="I186" s="128">
        <f t="shared" si="24"/>
        <v>4691.2288401424457</v>
      </c>
    </row>
    <row r="187" spans="1:9" ht="15" customHeight="1">
      <c r="A187" s="80">
        <v>2010</v>
      </c>
      <c r="B187" s="81">
        <f t="shared" si="26"/>
        <v>4520</v>
      </c>
      <c r="C187" s="134"/>
      <c r="D187" s="67">
        <f t="shared" si="25"/>
        <v>22</v>
      </c>
      <c r="E187" s="83"/>
      <c r="F187" s="69"/>
      <c r="G187" s="69"/>
      <c r="H187" s="84"/>
      <c r="I187" s="128">
        <f t="shared" si="24"/>
        <v>4520.3971610735189</v>
      </c>
    </row>
    <row r="188" spans="1:9" ht="15" customHeight="1">
      <c r="A188" s="80">
        <v>2011</v>
      </c>
      <c r="B188" s="81">
        <f t="shared" si="26"/>
        <v>4354</v>
      </c>
      <c r="C188" s="134"/>
      <c r="D188" s="67">
        <f t="shared" si="25"/>
        <v>23</v>
      </c>
      <c r="E188" s="83"/>
      <c r="F188" s="69"/>
      <c r="G188" s="69"/>
      <c r="H188" s="84"/>
      <c r="I188" s="128">
        <f t="shared" si="24"/>
        <v>4354.0434470832215</v>
      </c>
    </row>
    <row r="189" spans="1:9" ht="15" customHeight="1">
      <c r="A189" s="80">
        <v>2012</v>
      </c>
      <c r="B189" s="81">
        <f t="shared" si="26"/>
        <v>4192</v>
      </c>
      <c r="C189" s="134"/>
      <c r="D189" s="67">
        <f t="shared" si="25"/>
        <v>24</v>
      </c>
      <c r="E189" s="83"/>
      <c r="F189" s="69"/>
      <c r="G189" s="69"/>
      <c r="H189" s="84"/>
      <c r="I189" s="128">
        <f t="shared" si="24"/>
        <v>4192.1782069951796</v>
      </c>
    </row>
    <row r="190" spans="1:9" ht="15" customHeight="1">
      <c r="A190" s="80">
        <v>2013</v>
      </c>
      <c r="B190" s="81">
        <f t="shared" si="26"/>
        <v>4035</v>
      </c>
      <c r="C190" s="134"/>
      <c r="D190" s="67">
        <f t="shared" si="25"/>
        <v>25</v>
      </c>
      <c r="E190" s="83"/>
      <c r="F190" s="69"/>
      <c r="G190" s="69"/>
      <c r="H190" s="84"/>
      <c r="I190" s="128">
        <f t="shared" si="24"/>
        <v>4034.8013223837856</v>
      </c>
    </row>
    <row r="191" spans="1:9" ht="15" customHeight="1">
      <c r="A191" s="80">
        <v>2014</v>
      </c>
      <c r="B191" s="81">
        <f t="shared" si="26"/>
        <v>3882</v>
      </c>
      <c r="C191" s="134"/>
      <c r="D191" s="67">
        <f t="shared" si="25"/>
        <v>26</v>
      </c>
      <c r="E191" s="83"/>
      <c r="F191" s="69"/>
      <c r="G191" s="69"/>
      <c r="H191" s="84"/>
      <c r="I191" s="128">
        <f t="shared" si="24"/>
        <v>3881.9026210590478</v>
      </c>
    </row>
    <row r="192" spans="1:9" ht="15" customHeight="1">
      <c r="A192" s="80">
        <v>2015</v>
      </c>
      <c r="B192" s="81">
        <f t="shared" si="26"/>
        <v>3733</v>
      </c>
      <c r="C192" s="134"/>
      <c r="D192" s="67">
        <f t="shared" si="25"/>
        <v>27</v>
      </c>
      <c r="E192" s="83"/>
      <c r="F192" s="69"/>
      <c r="G192" s="69"/>
      <c r="H192" s="84"/>
      <c r="I192" s="128">
        <f t="shared" si="24"/>
        <v>3733.4624711382044</v>
      </c>
    </row>
    <row r="193" spans="1:10" ht="15" customHeight="1">
      <c r="A193" s="80">
        <v>2016</v>
      </c>
      <c r="B193" s="81">
        <f t="shared" si="26"/>
        <v>3589</v>
      </c>
      <c r="C193" s="134"/>
      <c r="D193" s="67">
        <f t="shared" si="25"/>
        <v>28</v>
      </c>
      <c r="E193" s="83"/>
      <c r="F193" s="69"/>
      <c r="G193" s="69"/>
      <c r="H193" s="84"/>
      <c r="I193" s="128">
        <f t="shared" si="24"/>
        <v>3589.4523894433451</v>
      </c>
    </row>
    <row r="194" spans="1:10" ht="15" customHeight="1">
      <c r="A194" s="80">
        <v>2017</v>
      </c>
      <c r="B194" s="81">
        <f t="shared" si="26"/>
        <v>3450</v>
      </c>
      <c r="C194" s="134"/>
      <c r="D194" s="67">
        <f t="shared" si="25"/>
        <v>29</v>
      </c>
      <c r="E194" s="83"/>
      <c r="F194" s="69"/>
      <c r="G194" s="69"/>
      <c r="H194" s="84"/>
      <c r="I194" s="128">
        <f t="shared" si="24"/>
        <v>3449.8356583556329</v>
      </c>
    </row>
    <row r="195" spans="1:10" ht="15" customHeight="1">
      <c r="A195" s="80">
        <v>2018</v>
      </c>
      <c r="B195" s="81">
        <f t="shared" si="26"/>
        <v>3315</v>
      </c>
      <c r="C195" s="134"/>
      <c r="D195" s="67">
        <f t="shared" si="25"/>
        <v>30</v>
      </c>
      <c r="E195" s="83"/>
      <c r="F195" s="69"/>
      <c r="G195" s="69"/>
      <c r="H195" s="84"/>
      <c r="I195" s="128">
        <f t="shared" si="24"/>
        <v>3314.5679456876946</v>
      </c>
    </row>
    <row r="196" spans="1:10" ht="15" customHeight="1">
      <c r="A196" s="80">
        <v>2019</v>
      </c>
      <c r="B196" s="81">
        <f t="shared" si="26"/>
        <v>3184</v>
      </c>
      <c r="C196" s="134"/>
      <c r="D196" s="67">
        <f t="shared" si="25"/>
        <v>31</v>
      </c>
      <c r="E196" s="83"/>
      <c r="F196" s="69"/>
      <c r="G196" s="69"/>
      <c r="H196" s="84"/>
      <c r="I196" s="128">
        <f t="shared" si="24"/>
        <v>3183.5979225949804</v>
      </c>
    </row>
    <row r="197" spans="1:10" ht="15" customHeight="1">
      <c r="A197" s="80">
        <v>2020</v>
      </c>
      <c r="B197" s="81">
        <f t="shared" si="26"/>
        <v>3057</v>
      </c>
      <c r="C197" s="134"/>
      <c r="D197" s="67">
        <f t="shared" si="25"/>
        <v>32</v>
      </c>
      <c r="E197" s="83"/>
      <c r="F197" s="69"/>
      <c r="G197" s="69"/>
      <c r="H197" s="84"/>
      <c r="I197" s="128">
        <f t="shared" si="24"/>
        <v>3056.86787502384</v>
      </c>
    </row>
    <row r="198" spans="1:10" ht="15" customHeight="1">
      <c r="A198" s="80">
        <v>2021</v>
      </c>
      <c r="B198" s="81">
        <f t="shared" si="26"/>
        <v>2934</v>
      </c>
      <c r="C198" s="134"/>
      <c r="D198" s="67">
        <f t="shared" si="25"/>
        <v>33</v>
      </c>
      <c r="E198" s="83"/>
      <c r="F198" s="69"/>
      <c r="G198" s="69"/>
      <c r="H198" s="84"/>
      <c r="I198" s="128">
        <f t="shared" si="24"/>
        <v>2934.3143046790879</v>
      </c>
    </row>
    <row r="199" spans="1:10" ht="15" customHeight="1">
      <c r="A199" s="80">
        <v>2022</v>
      </c>
      <c r="B199" s="81">
        <f t="shared" si="26"/>
        <v>2816</v>
      </c>
      <c r="C199" s="134"/>
      <c r="D199" s="67">
        <f t="shared" si="25"/>
        <v>34</v>
      </c>
      <c r="E199" s="83"/>
      <c r="F199" s="69"/>
      <c r="G199" s="69"/>
      <c r="H199" s="84"/>
      <c r="I199" s="128">
        <f t="shared" si="24"/>
        <v>2815.8685159783972</v>
      </c>
    </row>
    <row r="200" spans="1:10" ht="15" customHeight="1">
      <c r="A200" s="80">
        <v>2023</v>
      </c>
      <c r="B200" s="81">
        <f t="shared" si="26"/>
        <v>2701</v>
      </c>
      <c r="C200" s="134"/>
      <c r="D200" s="67">
        <f t="shared" si="25"/>
        <v>35</v>
      </c>
      <c r="E200" s="83"/>
      <c r="F200" s="69"/>
      <c r="G200" s="69"/>
      <c r="H200" s="84"/>
      <c r="I200" s="128">
        <f t="shared" si="24"/>
        <v>2701.4571859374614</v>
      </c>
    </row>
    <row r="201" spans="1:10" ht="15" customHeight="1">
      <c r="A201" s="80">
        <v>2024</v>
      </c>
      <c r="B201" s="81">
        <f t="shared" si="26"/>
        <v>2591</v>
      </c>
      <c r="C201" s="135"/>
      <c r="D201" s="67">
        <f t="shared" si="25"/>
        <v>36</v>
      </c>
      <c r="E201" s="69"/>
      <c r="F201" s="69"/>
      <c r="G201" s="69"/>
      <c r="H201" s="69"/>
      <c r="I201" s="136">
        <f t="shared" si="24"/>
        <v>2591.0029143921774</v>
      </c>
    </row>
    <row r="202" spans="1:10" ht="15" customHeight="1">
      <c r="A202" s="85">
        <v>2025</v>
      </c>
      <c r="B202" s="86">
        <f t="shared" si="26"/>
        <v>2484</v>
      </c>
      <c r="C202" s="137"/>
      <c r="D202" s="87">
        <f t="shared" si="25"/>
        <v>37</v>
      </c>
      <c r="E202" s="89"/>
      <c r="F202" s="89"/>
      <c r="G202" s="89"/>
      <c r="H202" s="89"/>
      <c r="I202" s="138">
        <f t="shared" si="24"/>
        <v>2484.4247524068555</v>
      </c>
    </row>
    <row r="203" spans="1:10" ht="15" customHeight="1">
      <c r="A203" s="56" t="s">
        <v>105</v>
      </c>
      <c r="B203" s="57"/>
    </row>
    <row r="204" spans="1:10" ht="15" customHeight="1">
      <c r="A204" s="56"/>
      <c r="B204" s="57"/>
    </row>
    <row r="205" spans="1:10" ht="24">
      <c r="A205" s="145" t="s">
        <v>32</v>
      </c>
      <c r="B205" s="146" t="s">
        <v>91</v>
      </c>
      <c r="C205" s="147" t="s">
        <v>72</v>
      </c>
      <c r="D205" s="147" t="s">
        <v>92</v>
      </c>
      <c r="E205" s="147" t="s">
        <v>93</v>
      </c>
      <c r="F205" s="147" t="s">
        <v>94</v>
      </c>
      <c r="G205" s="147" t="s">
        <v>95</v>
      </c>
      <c r="H205" s="148" t="s">
        <v>96</v>
      </c>
      <c r="I205" s="149" t="s">
        <v>106</v>
      </c>
      <c r="J205" s="150" t="s">
        <v>107</v>
      </c>
    </row>
    <row r="206" spans="1:10" ht="20.100000000000001" customHeight="1">
      <c r="A206" s="65">
        <v>2008</v>
      </c>
      <c r="B206" s="151">
        <f t="shared" ref="B206:B223" si="27">B25</f>
        <v>4958</v>
      </c>
      <c r="C206" s="152">
        <f t="shared" ref="C206:C223" si="28">B65</f>
        <v>4703</v>
      </c>
      <c r="D206" s="152">
        <f t="shared" ref="D206:D223" si="29">B105</f>
        <v>5021</v>
      </c>
      <c r="E206" s="152"/>
      <c r="F206" s="152">
        <f t="shared" ref="F206:F223" si="30">B185</f>
        <v>4867</v>
      </c>
      <c r="G206" s="152">
        <f t="shared" ref="G206:G223" si="31">ROUND(AVERAGE(B206:F206),1)</f>
        <v>4887.3</v>
      </c>
      <c r="H206" s="152">
        <f t="shared" ref="H206:H223" si="32">ROUND((SUM(B206:F206)-MAX(B206:F206)-MIN(B206:F206))/(COUNT(B206:F206)-2),1)</f>
        <v>4912.5</v>
      </c>
      <c r="I206" s="153">
        <f t="shared" ref="I206:I223" si="33">ROUND(SUMIF(B$224:H$224,"○",B206:H206),0)</f>
        <v>4887</v>
      </c>
      <c r="J206" s="261"/>
    </row>
    <row r="207" spans="1:10" ht="20.100000000000001" customHeight="1">
      <c r="A207" s="80">
        <v>2009</v>
      </c>
      <c r="B207" s="151">
        <f t="shared" si="27"/>
        <v>4732</v>
      </c>
      <c r="C207" s="152">
        <f t="shared" si="28"/>
        <v>4483</v>
      </c>
      <c r="D207" s="152">
        <f t="shared" si="29"/>
        <v>4864</v>
      </c>
      <c r="E207" s="152"/>
      <c r="F207" s="152">
        <f t="shared" si="30"/>
        <v>4691</v>
      </c>
      <c r="G207" s="152">
        <f t="shared" si="31"/>
        <v>4692.5</v>
      </c>
      <c r="H207" s="152">
        <f t="shared" si="32"/>
        <v>4711.5</v>
      </c>
      <c r="I207" s="153">
        <f t="shared" si="33"/>
        <v>4693</v>
      </c>
      <c r="J207" s="154"/>
    </row>
    <row r="208" spans="1:10" ht="20.100000000000001" customHeight="1">
      <c r="A208" s="80">
        <v>2010</v>
      </c>
      <c r="B208" s="151">
        <f t="shared" si="27"/>
        <v>4507</v>
      </c>
      <c r="C208" s="152">
        <f t="shared" si="28"/>
        <v>4263</v>
      </c>
      <c r="D208" s="152">
        <f t="shared" si="29"/>
        <v>4713</v>
      </c>
      <c r="E208" s="152"/>
      <c r="F208" s="152">
        <f t="shared" si="30"/>
        <v>4520</v>
      </c>
      <c r="G208" s="152">
        <f t="shared" si="31"/>
        <v>4500.8</v>
      </c>
      <c r="H208" s="152">
        <f t="shared" si="32"/>
        <v>4513.5</v>
      </c>
      <c r="I208" s="153">
        <f t="shared" si="33"/>
        <v>4501</v>
      </c>
      <c r="J208" s="154"/>
    </row>
    <row r="209" spans="1:49" ht="20.100000000000001" customHeight="1">
      <c r="A209" s="80">
        <v>2011</v>
      </c>
      <c r="B209" s="151">
        <f t="shared" si="27"/>
        <v>4281</v>
      </c>
      <c r="C209" s="152">
        <f t="shared" si="28"/>
        <v>4043</v>
      </c>
      <c r="D209" s="152">
        <f t="shared" si="29"/>
        <v>4566</v>
      </c>
      <c r="E209" s="152"/>
      <c r="F209" s="152">
        <f t="shared" si="30"/>
        <v>4354</v>
      </c>
      <c r="G209" s="152">
        <f t="shared" si="31"/>
        <v>4311</v>
      </c>
      <c r="H209" s="152">
        <f t="shared" si="32"/>
        <v>4317.5</v>
      </c>
      <c r="I209" s="153">
        <f t="shared" si="33"/>
        <v>4311</v>
      </c>
      <c r="J209" s="154"/>
    </row>
    <row r="210" spans="1:49" ht="20.100000000000001" customHeight="1">
      <c r="A210" s="80">
        <v>2012</v>
      </c>
      <c r="B210" s="151">
        <f t="shared" si="27"/>
        <v>4056</v>
      </c>
      <c r="C210" s="152">
        <f t="shared" si="28"/>
        <v>3823</v>
      </c>
      <c r="D210" s="152">
        <f t="shared" si="29"/>
        <v>4423</v>
      </c>
      <c r="E210" s="152"/>
      <c r="F210" s="152">
        <f t="shared" si="30"/>
        <v>4192</v>
      </c>
      <c r="G210" s="152">
        <f t="shared" si="31"/>
        <v>4123.5</v>
      </c>
      <c r="H210" s="152">
        <f t="shared" si="32"/>
        <v>4124</v>
      </c>
      <c r="I210" s="153">
        <f t="shared" si="33"/>
        <v>4124</v>
      </c>
      <c r="J210" s="154"/>
    </row>
    <row r="211" spans="1:49" ht="20.100000000000001" customHeight="1">
      <c r="A211" s="80">
        <v>2013</v>
      </c>
      <c r="B211" s="151">
        <f t="shared" si="27"/>
        <v>3830</v>
      </c>
      <c r="C211" s="152">
        <f t="shared" si="28"/>
        <v>3603</v>
      </c>
      <c r="D211" s="152">
        <f t="shared" si="29"/>
        <v>4285</v>
      </c>
      <c r="E211" s="152"/>
      <c r="F211" s="152">
        <f t="shared" si="30"/>
        <v>4035</v>
      </c>
      <c r="G211" s="152">
        <f t="shared" si="31"/>
        <v>3938.3</v>
      </c>
      <c r="H211" s="152">
        <f t="shared" si="32"/>
        <v>3932.5</v>
      </c>
      <c r="I211" s="153">
        <f t="shared" si="33"/>
        <v>3938</v>
      </c>
      <c r="J211" s="154"/>
    </row>
    <row r="212" spans="1:49" ht="20.100000000000001" customHeight="1">
      <c r="A212" s="80">
        <v>2014</v>
      </c>
      <c r="B212" s="151">
        <f t="shared" si="27"/>
        <v>3605</v>
      </c>
      <c r="C212" s="152">
        <f t="shared" si="28"/>
        <v>3384</v>
      </c>
      <c r="D212" s="152">
        <f t="shared" si="29"/>
        <v>4151</v>
      </c>
      <c r="E212" s="152"/>
      <c r="F212" s="152">
        <f t="shared" si="30"/>
        <v>3882</v>
      </c>
      <c r="G212" s="152">
        <f t="shared" si="31"/>
        <v>3755.5</v>
      </c>
      <c r="H212" s="152">
        <f t="shared" si="32"/>
        <v>3743.5</v>
      </c>
      <c r="I212" s="153">
        <f t="shared" si="33"/>
        <v>3756</v>
      </c>
      <c r="J212" s="154"/>
    </row>
    <row r="213" spans="1:49" ht="20.100000000000001" customHeight="1">
      <c r="A213" s="80">
        <v>2015</v>
      </c>
      <c r="B213" s="151">
        <f t="shared" si="27"/>
        <v>3379</v>
      </c>
      <c r="C213" s="152">
        <f t="shared" si="28"/>
        <v>3164</v>
      </c>
      <c r="D213" s="152">
        <f t="shared" si="29"/>
        <v>4022</v>
      </c>
      <c r="E213" s="152"/>
      <c r="F213" s="152">
        <f t="shared" si="30"/>
        <v>3733</v>
      </c>
      <c r="G213" s="152">
        <f t="shared" si="31"/>
        <v>3574.5</v>
      </c>
      <c r="H213" s="152">
        <f t="shared" si="32"/>
        <v>3556</v>
      </c>
      <c r="I213" s="153">
        <f t="shared" si="33"/>
        <v>3575</v>
      </c>
      <c r="J213" s="154"/>
    </row>
    <row r="214" spans="1:49" ht="20.100000000000001" customHeight="1">
      <c r="A214" s="80">
        <v>2016</v>
      </c>
      <c r="B214" s="151">
        <f t="shared" si="27"/>
        <v>3154</v>
      </c>
      <c r="C214" s="152">
        <f t="shared" si="28"/>
        <v>2944</v>
      </c>
      <c r="D214" s="152">
        <f t="shared" si="29"/>
        <v>3896</v>
      </c>
      <c r="E214" s="152"/>
      <c r="F214" s="152">
        <f t="shared" si="30"/>
        <v>3589</v>
      </c>
      <c r="G214" s="152">
        <f t="shared" si="31"/>
        <v>3395.8</v>
      </c>
      <c r="H214" s="152">
        <f t="shared" si="32"/>
        <v>3371.5</v>
      </c>
      <c r="I214" s="153">
        <f t="shared" si="33"/>
        <v>3396</v>
      </c>
      <c r="J214" s="154"/>
    </row>
    <row r="215" spans="1:49" ht="20.100000000000001" customHeight="1">
      <c r="A215" s="80">
        <v>2017</v>
      </c>
      <c r="B215" s="151">
        <f t="shared" si="27"/>
        <v>2928</v>
      </c>
      <c r="C215" s="152">
        <f t="shared" si="28"/>
        <v>2724</v>
      </c>
      <c r="D215" s="152">
        <f t="shared" si="29"/>
        <v>3775</v>
      </c>
      <c r="E215" s="152"/>
      <c r="F215" s="152">
        <f t="shared" si="30"/>
        <v>3450</v>
      </c>
      <c r="G215" s="152">
        <f t="shared" si="31"/>
        <v>3219.3</v>
      </c>
      <c r="H215" s="152">
        <f t="shared" si="32"/>
        <v>3189</v>
      </c>
      <c r="I215" s="153">
        <f t="shared" si="33"/>
        <v>3219</v>
      </c>
      <c r="J215" s="154"/>
    </row>
    <row r="216" spans="1:49" ht="20.100000000000001" customHeight="1">
      <c r="A216" s="80">
        <v>2018</v>
      </c>
      <c r="B216" s="151">
        <f t="shared" si="27"/>
        <v>2703</v>
      </c>
      <c r="C216" s="152">
        <f t="shared" si="28"/>
        <v>2504</v>
      </c>
      <c r="D216" s="152">
        <f t="shared" si="29"/>
        <v>3657</v>
      </c>
      <c r="E216" s="152"/>
      <c r="F216" s="152">
        <f t="shared" si="30"/>
        <v>3315</v>
      </c>
      <c r="G216" s="152">
        <f t="shared" si="31"/>
        <v>3044.8</v>
      </c>
      <c r="H216" s="152">
        <f t="shared" si="32"/>
        <v>3009</v>
      </c>
      <c r="I216" s="153">
        <f t="shared" si="33"/>
        <v>3045</v>
      </c>
      <c r="J216" s="154"/>
    </row>
    <row r="217" spans="1:49" ht="20.100000000000001" customHeight="1">
      <c r="A217" s="80">
        <v>2019</v>
      </c>
      <c r="B217" s="151">
        <f t="shared" si="27"/>
        <v>2477</v>
      </c>
      <c r="C217" s="152">
        <f t="shared" si="28"/>
        <v>2284</v>
      </c>
      <c r="D217" s="152">
        <f t="shared" si="29"/>
        <v>3543</v>
      </c>
      <c r="E217" s="152"/>
      <c r="F217" s="152">
        <f t="shared" si="30"/>
        <v>3184</v>
      </c>
      <c r="G217" s="152">
        <f t="shared" si="31"/>
        <v>2872</v>
      </c>
      <c r="H217" s="152">
        <f t="shared" si="32"/>
        <v>2830.5</v>
      </c>
      <c r="I217" s="153">
        <f t="shared" si="33"/>
        <v>2872</v>
      </c>
      <c r="J217" s="154"/>
    </row>
    <row r="218" spans="1:49" ht="20.100000000000001" customHeight="1">
      <c r="A218" s="80">
        <v>2020</v>
      </c>
      <c r="B218" s="151">
        <f t="shared" si="27"/>
        <v>2252</v>
      </c>
      <c r="C218" s="152">
        <f t="shared" si="28"/>
        <v>2064</v>
      </c>
      <c r="D218" s="152">
        <f t="shared" si="29"/>
        <v>3432</v>
      </c>
      <c r="E218" s="152"/>
      <c r="F218" s="152">
        <f t="shared" si="30"/>
        <v>3057</v>
      </c>
      <c r="G218" s="152">
        <f t="shared" si="31"/>
        <v>2701.3</v>
      </c>
      <c r="H218" s="152">
        <f t="shared" si="32"/>
        <v>2654.5</v>
      </c>
      <c r="I218" s="153">
        <f t="shared" si="33"/>
        <v>2701</v>
      </c>
      <c r="J218" s="154"/>
    </row>
    <row r="219" spans="1:49" ht="20.100000000000001" customHeight="1">
      <c r="A219" s="80">
        <v>2021</v>
      </c>
      <c r="B219" s="151">
        <f t="shared" si="27"/>
        <v>2026</v>
      </c>
      <c r="C219" s="152">
        <f t="shared" si="28"/>
        <v>1844</v>
      </c>
      <c r="D219" s="152">
        <f t="shared" si="29"/>
        <v>3325</v>
      </c>
      <c r="E219" s="152"/>
      <c r="F219" s="152">
        <f t="shared" si="30"/>
        <v>2934</v>
      </c>
      <c r="G219" s="152">
        <f t="shared" si="31"/>
        <v>2532.3000000000002</v>
      </c>
      <c r="H219" s="152">
        <f t="shared" si="32"/>
        <v>2480</v>
      </c>
      <c r="I219" s="153">
        <f t="shared" si="33"/>
        <v>2532</v>
      </c>
      <c r="J219" s="154"/>
    </row>
    <row r="220" spans="1:49" ht="20.100000000000001" customHeight="1">
      <c r="A220" s="80">
        <v>2022</v>
      </c>
      <c r="B220" s="151">
        <f t="shared" si="27"/>
        <v>1801</v>
      </c>
      <c r="C220" s="152">
        <f t="shared" si="28"/>
        <v>1624</v>
      </c>
      <c r="D220" s="152">
        <f t="shared" si="29"/>
        <v>3221</v>
      </c>
      <c r="E220" s="152"/>
      <c r="F220" s="152">
        <f t="shared" si="30"/>
        <v>2816</v>
      </c>
      <c r="G220" s="152">
        <f t="shared" si="31"/>
        <v>2365.5</v>
      </c>
      <c r="H220" s="152">
        <f t="shared" si="32"/>
        <v>2308.5</v>
      </c>
      <c r="I220" s="153">
        <f t="shared" si="33"/>
        <v>2366</v>
      </c>
      <c r="J220" s="154"/>
      <c r="L220" s="55">
        <v>806200</v>
      </c>
    </row>
    <row r="221" spans="1:49" ht="20.100000000000001" customHeight="1">
      <c r="A221" s="80">
        <v>2023</v>
      </c>
      <c r="B221" s="151">
        <f t="shared" si="27"/>
        <v>1575</v>
      </c>
      <c r="C221" s="152">
        <f t="shared" si="28"/>
        <v>1404</v>
      </c>
      <c r="D221" s="152">
        <f t="shared" si="29"/>
        <v>3121</v>
      </c>
      <c r="E221" s="152"/>
      <c r="F221" s="152">
        <f t="shared" si="30"/>
        <v>2701</v>
      </c>
      <c r="G221" s="152">
        <f t="shared" si="31"/>
        <v>2200.3000000000002</v>
      </c>
      <c r="H221" s="152">
        <f t="shared" si="32"/>
        <v>2138</v>
      </c>
      <c r="I221" s="153">
        <f t="shared" si="33"/>
        <v>2200</v>
      </c>
      <c r="J221" s="154"/>
      <c r="K221" s="55">
        <v>51000</v>
      </c>
      <c r="L221" s="75">
        <f>+K221+E221</f>
        <v>51000</v>
      </c>
    </row>
    <row r="222" spans="1:49" ht="20.100000000000001" customHeight="1">
      <c r="A222" s="80">
        <v>2024</v>
      </c>
      <c r="B222" s="151">
        <f t="shared" si="27"/>
        <v>1350</v>
      </c>
      <c r="C222" s="152">
        <f t="shared" si="28"/>
        <v>1184</v>
      </c>
      <c r="D222" s="152">
        <f t="shared" si="29"/>
        <v>3023</v>
      </c>
      <c r="E222" s="152"/>
      <c r="F222" s="152">
        <f t="shared" si="30"/>
        <v>2591</v>
      </c>
      <c r="G222" s="152">
        <f t="shared" si="31"/>
        <v>2037</v>
      </c>
      <c r="H222" s="152">
        <f t="shared" si="32"/>
        <v>1970.5</v>
      </c>
      <c r="I222" s="153">
        <f t="shared" si="33"/>
        <v>2037</v>
      </c>
      <c r="J222" s="154"/>
      <c r="L222" s="75">
        <f>+L220-L221</f>
        <v>755200</v>
      </c>
    </row>
    <row r="223" spans="1:49" ht="20.100000000000001" customHeight="1">
      <c r="A223" s="80">
        <v>2025</v>
      </c>
      <c r="B223" s="151">
        <f t="shared" si="27"/>
        <v>1124</v>
      </c>
      <c r="C223" s="152">
        <f t="shared" si="28"/>
        <v>964</v>
      </c>
      <c r="D223" s="152">
        <f t="shared" si="29"/>
        <v>2929</v>
      </c>
      <c r="E223" s="152"/>
      <c r="F223" s="152">
        <f t="shared" si="30"/>
        <v>2484</v>
      </c>
      <c r="G223" s="152">
        <f t="shared" si="31"/>
        <v>1875.3</v>
      </c>
      <c r="H223" s="152">
        <f t="shared" si="32"/>
        <v>1804</v>
      </c>
      <c r="I223" s="153">
        <f t="shared" si="33"/>
        <v>1875</v>
      </c>
      <c r="J223" s="154"/>
      <c r="K223" s="161"/>
      <c r="L223" s="161">
        <f>B165</f>
        <v>9467</v>
      </c>
      <c r="M223" s="162">
        <f>B166</f>
        <v>10116</v>
      </c>
      <c r="N223" s="161">
        <f>B167</f>
        <v>8540</v>
      </c>
      <c r="O223" s="162">
        <f>B168</f>
        <v>8362</v>
      </c>
      <c r="P223" s="161">
        <f>B169</f>
        <v>7873</v>
      </c>
      <c r="Q223" s="162">
        <f>B170</f>
        <v>7706</v>
      </c>
      <c r="R223" s="162">
        <f>B171</f>
        <v>7428</v>
      </c>
      <c r="S223" s="162">
        <f>B172</f>
        <v>7107</v>
      </c>
      <c r="T223" s="162">
        <f>B173</f>
        <v>7208</v>
      </c>
      <c r="U223" s="162">
        <f>B174</f>
        <v>6952</v>
      </c>
      <c r="V223" s="162">
        <f>B175</f>
        <v>6698</v>
      </c>
      <c r="W223" s="162">
        <f>B176</f>
        <v>6610</v>
      </c>
      <c r="X223" s="162">
        <f>B177</f>
        <v>6347</v>
      </c>
      <c r="Y223" s="162">
        <f>B178</f>
        <v>6154</v>
      </c>
      <c r="Z223" s="162">
        <f>B179</f>
        <v>5940</v>
      </c>
      <c r="AA223" s="162">
        <f>B180</f>
        <v>5740</v>
      </c>
      <c r="AB223" s="162">
        <f>B181</f>
        <v>5718</v>
      </c>
      <c r="AC223" s="162">
        <f>B182</f>
        <v>5709</v>
      </c>
      <c r="AD223" s="162">
        <f>B183</f>
        <v>5399</v>
      </c>
      <c r="AE223" s="162">
        <f>B184</f>
        <v>5183</v>
      </c>
      <c r="AF223" s="162">
        <f>$B185</f>
        <v>4867</v>
      </c>
      <c r="AG223" s="162"/>
      <c r="AH223" s="161"/>
      <c r="AI223" s="161"/>
      <c r="AJ223" s="161"/>
      <c r="AK223" s="161"/>
      <c r="AL223" s="161"/>
      <c r="AM223" s="161"/>
      <c r="AN223" s="161"/>
      <c r="AO223" s="161"/>
      <c r="AP223" s="161"/>
      <c r="AQ223" s="161"/>
      <c r="AR223" s="161"/>
      <c r="AS223" s="161"/>
      <c r="AT223" s="161"/>
      <c r="AU223" s="161"/>
      <c r="AV223" s="161"/>
      <c r="AW223" s="161"/>
    </row>
    <row r="224" spans="1:49" ht="20.100000000000001" customHeight="1">
      <c r="A224" s="155" t="s">
        <v>97</v>
      </c>
      <c r="B224" s="156"/>
      <c r="C224" s="157"/>
      <c r="D224" s="157"/>
      <c r="E224" s="157"/>
      <c r="F224" s="156"/>
      <c r="G224" s="158" t="s">
        <v>243</v>
      </c>
      <c r="H224" s="157"/>
      <c r="I224" s="159"/>
      <c r="J224" s="160"/>
      <c r="K224" s="161"/>
      <c r="L224" s="161"/>
      <c r="M224" s="161"/>
      <c r="N224" s="161"/>
      <c r="O224" s="161"/>
      <c r="P224" s="161"/>
      <c r="Q224" s="161"/>
      <c r="R224" s="161"/>
      <c r="S224" s="161"/>
      <c r="T224" s="161"/>
      <c r="U224" s="161"/>
      <c r="V224" s="161"/>
      <c r="W224" s="161"/>
      <c r="X224" s="161"/>
      <c r="Y224" s="161"/>
      <c r="Z224" s="161"/>
      <c r="AA224" s="161"/>
      <c r="AB224" s="161"/>
      <c r="AC224" s="161"/>
      <c r="AD224" s="161"/>
      <c r="AE224" s="161"/>
      <c r="AF224" s="161"/>
      <c r="AG224" s="161"/>
      <c r="AH224" s="161"/>
      <c r="AI224" s="161"/>
      <c r="AJ224" s="161"/>
      <c r="AK224" s="161"/>
      <c r="AL224" s="161"/>
      <c r="AM224" s="161"/>
      <c r="AN224" s="161"/>
      <c r="AO224" s="161"/>
      <c r="AP224" s="161"/>
      <c r="AQ224" s="161"/>
      <c r="AR224" s="161"/>
      <c r="AS224" s="161"/>
      <c r="AT224" s="161"/>
      <c r="AU224" s="161"/>
      <c r="AV224" s="161"/>
      <c r="AW224" s="161"/>
    </row>
    <row r="225" spans="1:50" s="161" customFormat="1" ht="20.100000000000001" customHeight="1">
      <c r="A225" s="85"/>
      <c r="B225" s="163"/>
      <c r="C225" s="164"/>
      <c r="D225" s="164"/>
      <c r="E225" s="164"/>
      <c r="F225" s="164"/>
      <c r="G225" s="164"/>
      <c r="H225" s="164"/>
      <c r="I225" s="165"/>
      <c r="J225" s="166"/>
      <c r="K225" s="208">
        <f>MAX(B225:I225,F225)</f>
        <v>0</v>
      </c>
      <c r="L225" s="209">
        <f>A165</f>
        <v>1988</v>
      </c>
      <c r="M225" s="209">
        <f t="shared" ref="M225:AW225" si="34">+L225+1</f>
        <v>1989</v>
      </c>
      <c r="N225" s="209">
        <f t="shared" si="34"/>
        <v>1990</v>
      </c>
      <c r="O225" s="209">
        <f t="shared" si="34"/>
        <v>1991</v>
      </c>
      <c r="P225" s="209">
        <f t="shared" si="34"/>
        <v>1992</v>
      </c>
      <c r="Q225" s="209">
        <f t="shared" si="34"/>
        <v>1993</v>
      </c>
      <c r="R225" s="209">
        <f t="shared" si="34"/>
        <v>1994</v>
      </c>
      <c r="S225" s="209">
        <f t="shared" si="34"/>
        <v>1995</v>
      </c>
      <c r="T225" s="209">
        <f t="shared" si="34"/>
        <v>1996</v>
      </c>
      <c r="U225" s="209">
        <f t="shared" si="34"/>
        <v>1997</v>
      </c>
      <c r="V225" s="209">
        <f t="shared" si="34"/>
        <v>1998</v>
      </c>
      <c r="W225" s="209">
        <f t="shared" si="34"/>
        <v>1999</v>
      </c>
      <c r="X225" s="209">
        <f t="shared" si="34"/>
        <v>2000</v>
      </c>
      <c r="Y225" s="209">
        <f t="shared" si="34"/>
        <v>2001</v>
      </c>
      <c r="Z225" s="209">
        <f t="shared" si="34"/>
        <v>2002</v>
      </c>
      <c r="AA225" s="209">
        <f t="shared" si="34"/>
        <v>2003</v>
      </c>
      <c r="AB225" s="209">
        <f t="shared" si="34"/>
        <v>2004</v>
      </c>
      <c r="AC225" s="209">
        <f t="shared" si="34"/>
        <v>2005</v>
      </c>
      <c r="AD225" s="209">
        <f t="shared" si="34"/>
        <v>2006</v>
      </c>
      <c r="AE225" s="209">
        <f t="shared" si="34"/>
        <v>2007</v>
      </c>
      <c r="AF225" s="209">
        <f t="shared" si="34"/>
        <v>2008</v>
      </c>
      <c r="AG225" s="209">
        <f t="shared" si="34"/>
        <v>2009</v>
      </c>
      <c r="AH225" s="209">
        <f t="shared" si="34"/>
        <v>2010</v>
      </c>
      <c r="AI225" s="209">
        <f t="shared" si="34"/>
        <v>2011</v>
      </c>
      <c r="AJ225" s="209">
        <f t="shared" si="34"/>
        <v>2012</v>
      </c>
      <c r="AK225" s="209">
        <f t="shared" si="34"/>
        <v>2013</v>
      </c>
      <c r="AL225" s="209">
        <f t="shared" si="34"/>
        <v>2014</v>
      </c>
      <c r="AM225" s="209">
        <f t="shared" si="34"/>
        <v>2015</v>
      </c>
      <c r="AN225" s="209">
        <f t="shared" si="34"/>
        <v>2016</v>
      </c>
      <c r="AO225" s="209">
        <f t="shared" si="34"/>
        <v>2017</v>
      </c>
      <c r="AP225" s="209">
        <f t="shared" si="34"/>
        <v>2018</v>
      </c>
      <c r="AQ225" s="209">
        <f t="shared" si="34"/>
        <v>2019</v>
      </c>
      <c r="AR225" s="209">
        <f t="shared" si="34"/>
        <v>2020</v>
      </c>
      <c r="AS225" s="209">
        <f t="shared" si="34"/>
        <v>2021</v>
      </c>
      <c r="AT225" s="209">
        <f t="shared" si="34"/>
        <v>2022</v>
      </c>
      <c r="AU225" s="209">
        <f t="shared" si="34"/>
        <v>2023</v>
      </c>
      <c r="AV225" s="209">
        <f t="shared" si="34"/>
        <v>2024</v>
      </c>
      <c r="AW225" s="209">
        <f t="shared" si="34"/>
        <v>2025</v>
      </c>
    </row>
    <row r="226" spans="1:50" ht="20.100000000000001" customHeight="1">
      <c r="A226" s="167" t="s">
        <v>98</v>
      </c>
      <c r="B226" s="168">
        <f>I4</f>
        <v>0.92477186251460719</v>
      </c>
      <c r="C226" s="169">
        <f>I44</f>
        <v>0.93435890923683917</v>
      </c>
      <c r="D226" s="169">
        <f>I84</f>
        <v>0.9540767110189291</v>
      </c>
      <c r="E226" s="169"/>
      <c r="F226" s="169">
        <f>I164</f>
        <v>0.94376212515287139</v>
      </c>
      <c r="G226" s="170"/>
      <c r="H226" s="171"/>
      <c r="I226" s="172"/>
      <c r="J226" s="173"/>
      <c r="K226" s="209" t="s">
        <v>99</v>
      </c>
      <c r="L226" s="209"/>
      <c r="M226" s="209"/>
      <c r="N226" s="209"/>
      <c r="O226" s="209"/>
      <c r="P226" s="209"/>
      <c r="Q226" s="209"/>
      <c r="R226" s="209"/>
      <c r="S226" s="209"/>
      <c r="T226" s="209"/>
      <c r="U226" s="209"/>
      <c r="V226" s="209"/>
      <c r="W226" s="209"/>
      <c r="X226" s="209"/>
      <c r="Y226" s="209"/>
      <c r="Z226" s="209"/>
      <c r="AA226" s="209"/>
      <c r="AB226" s="209"/>
      <c r="AC226" s="209"/>
      <c r="AD226" s="209"/>
      <c r="AE226" s="210">
        <f>+AE223</f>
        <v>5183</v>
      </c>
      <c r="AF226" s="210">
        <f>+B25</f>
        <v>4958</v>
      </c>
      <c r="AG226" s="210">
        <f>B26</f>
        <v>4732</v>
      </c>
      <c r="AH226" s="210">
        <f>B27</f>
        <v>4507</v>
      </c>
      <c r="AI226" s="210">
        <f>B28</f>
        <v>4281</v>
      </c>
      <c r="AJ226" s="210">
        <f>B29</f>
        <v>4056</v>
      </c>
      <c r="AK226" s="210">
        <f>B30</f>
        <v>3830</v>
      </c>
      <c r="AL226" s="210">
        <f>B31</f>
        <v>3605</v>
      </c>
      <c r="AM226" s="210">
        <f>B32</f>
        <v>3379</v>
      </c>
      <c r="AN226" s="210">
        <f>B33</f>
        <v>3154</v>
      </c>
      <c r="AO226" s="210">
        <f>B34</f>
        <v>2928</v>
      </c>
      <c r="AP226" s="210">
        <f>B35</f>
        <v>2703</v>
      </c>
      <c r="AQ226" s="210">
        <f>B36</f>
        <v>2477</v>
      </c>
      <c r="AR226" s="210">
        <f>B37</f>
        <v>2252</v>
      </c>
      <c r="AS226" s="210">
        <f>B38</f>
        <v>2026</v>
      </c>
      <c r="AT226" s="210">
        <f>B39</f>
        <v>1801</v>
      </c>
      <c r="AU226" s="210">
        <f>B40</f>
        <v>1575</v>
      </c>
      <c r="AV226" s="210">
        <f>B41</f>
        <v>1350</v>
      </c>
      <c r="AW226" s="210">
        <f>B42</f>
        <v>1124</v>
      </c>
      <c r="AX226" s="161"/>
    </row>
    <row r="227" spans="1:50" ht="20.100000000000001" customHeight="1">
      <c r="K227" s="209" t="s">
        <v>100</v>
      </c>
      <c r="L227" s="209"/>
      <c r="M227" s="209"/>
      <c r="N227" s="209"/>
      <c r="O227" s="209"/>
      <c r="P227" s="209"/>
      <c r="Q227" s="209"/>
      <c r="R227" s="209"/>
      <c r="S227" s="209"/>
      <c r="T227" s="209"/>
      <c r="U227" s="209"/>
      <c r="V227" s="209"/>
      <c r="W227" s="209"/>
      <c r="X227" s="209"/>
      <c r="Y227" s="209"/>
      <c r="Z227" s="209"/>
      <c r="AA227" s="209"/>
      <c r="AB227" s="209"/>
      <c r="AC227" s="209"/>
      <c r="AD227" s="209"/>
      <c r="AE227" s="210">
        <f>+AE226</f>
        <v>5183</v>
      </c>
      <c r="AF227" s="210">
        <f>+B65</f>
        <v>4703</v>
      </c>
      <c r="AG227" s="210">
        <f>B66</f>
        <v>4483</v>
      </c>
      <c r="AH227" s="210">
        <f>B67</f>
        <v>4263</v>
      </c>
      <c r="AI227" s="210">
        <f>B68</f>
        <v>4043</v>
      </c>
      <c r="AJ227" s="210">
        <f>B69</f>
        <v>3823</v>
      </c>
      <c r="AK227" s="210">
        <f>B70</f>
        <v>3603</v>
      </c>
      <c r="AL227" s="210">
        <f>B71</f>
        <v>3384</v>
      </c>
      <c r="AM227" s="210">
        <f>B72</f>
        <v>3164</v>
      </c>
      <c r="AN227" s="210">
        <f>B73</f>
        <v>2944</v>
      </c>
      <c r="AO227" s="210">
        <f>B74</f>
        <v>2724</v>
      </c>
      <c r="AP227" s="210">
        <f>B75</f>
        <v>2504</v>
      </c>
      <c r="AQ227" s="210">
        <f>B76</f>
        <v>2284</v>
      </c>
      <c r="AR227" s="210">
        <f>B77</f>
        <v>2064</v>
      </c>
      <c r="AS227" s="210">
        <f>B78</f>
        <v>1844</v>
      </c>
      <c r="AT227" s="210">
        <f>B79</f>
        <v>1624</v>
      </c>
      <c r="AU227" s="210">
        <f>B80</f>
        <v>1404</v>
      </c>
      <c r="AV227" s="210">
        <f>B81</f>
        <v>1184</v>
      </c>
      <c r="AW227" s="210">
        <f>B82</f>
        <v>964</v>
      </c>
      <c r="AX227" s="161"/>
    </row>
    <row r="228" spans="1:50" ht="20.100000000000001" customHeight="1">
      <c r="K228" s="209" t="s">
        <v>101</v>
      </c>
      <c r="L228" s="209"/>
      <c r="M228" s="209"/>
      <c r="N228" s="209"/>
      <c r="O228" s="209"/>
      <c r="P228" s="209"/>
      <c r="Q228" s="209"/>
      <c r="R228" s="209"/>
      <c r="S228" s="209"/>
      <c r="T228" s="209"/>
      <c r="U228" s="209"/>
      <c r="V228" s="209"/>
      <c r="W228" s="209"/>
      <c r="X228" s="209"/>
      <c r="Y228" s="209"/>
      <c r="Z228" s="209"/>
      <c r="AA228" s="209"/>
      <c r="AB228" s="209"/>
      <c r="AC228" s="209"/>
      <c r="AD228" s="209"/>
      <c r="AE228" s="210">
        <f>+AE227</f>
        <v>5183</v>
      </c>
      <c r="AF228" s="210">
        <f>+B105</f>
        <v>5021</v>
      </c>
      <c r="AG228" s="210">
        <f>B106</f>
        <v>4864</v>
      </c>
      <c r="AH228" s="210">
        <f>B107</f>
        <v>4713</v>
      </c>
      <c r="AI228" s="210">
        <f>B108</f>
        <v>4566</v>
      </c>
      <c r="AJ228" s="210">
        <f>B109</f>
        <v>4423</v>
      </c>
      <c r="AK228" s="210">
        <f>B110</f>
        <v>4285</v>
      </c>
      <c r="AL228" s="210">
        <f>B111</f>
        <v>4151</v>
      </c>
      <c r="AM228" s="210">
        <f>B112</f>
        <v>4022</v>
      </c>
      <c r="AN228" s="210">
        <f>B113</f>
        <v>3896</v>
      </c>
      <c r="AO228" s="210">
        <f>B114</f>
        <v>3775</v>
      </c>
      <c r="AP228" s="210">
        <f>B115</f>
        <v>3657</v>
      </c>
      <c r="AQ228" s="210">
        <f>B116</f>
        <v>3543</v>
      </c>
      <c r="AR228" s="210">
        <f>B117</f>
        <v>3432</v>
      </c>
      <c r="AS228" s="210">
        <f>B118</f>
        <v>3325</v>
      </c>
      <c r="AT228" s="210">
        <f>B119</f>
        <v>3221</v>
      </c>
      <c r="AU228" s="210">
        <f>B120</f>
        <v>3121</v>
      </c>
      <c r="AV228" s="210">
        <f>B121</f>
        <v>3023</v>
      </c>
      <c r="AW228" s="210">
        <f>B122</f>
        <v>2929</v>
      </c>
      <c r="AX228" s="161"/>
    </row>
    <row r="229" spans="1:50" ht="20.100000000000001" customHeight="1">
      <c r="K229" s="209" t="s">
        <v>102</v>
      </c>
      <c r="L229" s="209"/>
      <c r="M229" s="209"/>
      <c r="N229" s="209"/>
      <c r="O229" s="209"/>
      <c r="P229" s="209"/>
      <c r="Q229" s="209"/>
      <c r="R229" s="209"/>
      <c r="S229" s="209"/>
      <c r="T229" s="209"/>
      <c r="U229" s="209"/>
      <c r="V229" s="209"/>
      <c r="W229" s="209"/>
      <c r="X229" s="209"/>
      <c r="Y229" s="209"/>
      <c r="Z229" s="209"/>
      <c r="AA229" s="209"/>
      <c r="AB229" s="209"/>
      <c r="AC229" s="209"/>
      <c r="AD229" s="209"/>
      <c r="AE229" s="210">
        <f>+AE228</f>
        <v>5183</v>
      </c>
      <c r="AF229" s="210" t="e">
        <f>+B145</f>
        <v>#VALUE!</v>
      </c>
      <c r="AG229" s="210" t="e">
        <f>+B146</f>
        <v>#VALUE!</v>
      </c>
      <c r="AH229" s="210" t="e">
        <f>+B147</f>
        <v>#VALUE!</v>
      </c>
      <c r="AI229" s="210" t="e">
        <f>+B148</f>
        <v>#VALUE!</v>
      </c>
      <c r="AJ229" s="210" t="e">
        <f>+B149</f>
        <v>#VALUE!</v>
      </c>
      <c r="AK229" s="210" t="e">
        <f>+B150</f>
        <v>#VALUE!</v>
      </c>
      <c r="AL229" s="210" t="e">
        <f>+B151</f>
        <v>#VALUE!</v>
      </c>
      <c r="AM229" s="210" t="e">
        <f>+B152</f>
        <v>#VALUE!</v>
      </c>
      <c r="AN229" s="210" t="e">
        <f>+B153</f>
        <v>#VALUE!</v>
      </c>
      <c r="AO229" s="210" t="e">
        <f>+B154</f>
        <v>#VALUE!</v>
      </c>
      <c r="AP229" s="210" t="e">
        <f>+B155</f>
        <v>#VALUE!</v>
      </c>
      <c r="AQ229" s="210" t="e">
        <f>+B156</f>
        <v>#VALUE!</v>
      </c>
      <c r="AR229" s="210" t="e">
        <f>+B157</f>
        <v>#VALUE!</v>
      </c>
      <c r="AS229" s="210" t="e">
        <f>+B158</f>
        <v>#VALUE!</v>
      </c>
      <c r="AT229" s="210" t="e">
        <f>+B159</f>
        <v>#VALUE!</v>
      </c>
      <c r="AU229" s="210" t="e">
        <f>+B160</f>
        <v>#VALUE!</v>
      </c>
      <c r="AV229" s="210" t="e">
        <f>+B161</f>
        <v>#VALUE!</v>
      </c>
      <c r="AW229" s="210" t="e">
        <f>+B162</f>
        <v>#VALUE!</v>
      </c>
      <c r="AX229" s="161"/>
    </row>
    <row r="230" spans="1:50" ht="20.100000000000001" customHeight="1">
      <c r="K230" s="209" t="s">
        <v>103</v>
      </c>
      <c r="L230" s="209"/>
      <c r="M230" s="209"/>
      <c r="N230" s="209"/>
      <c r="O230" s="209"/>
      <c r="P230" s="209"/>
      <c r="Q230" s="209"/>
      <c r="R230" s="209"/>
      <c r="S230" s="209"/>
      <c r="T230" s="209"/>
      <c r="U230" s="209"/>
      <c r="V230" s="209"/>
      <c r="W230" s="209"/>
      <c r="X230" s="209"/>
      <c r="Y230" s="209"/>
      <c r="Z230" s="209"/>
      <c r="AA230" s="209"/>
      <c r="AB230" s="209"/>
      <c r="AC230" s="209"/>
      <c r="AD230" s="209"/>
      <c r="AE230" s="210">
        <f>+AE229</f>
        <v>5183</v>
      </c>
      <c r="AF230" s="210">
        <f>+B185</f>
        <v>4867</v>
      </c>
      <c r="AG230" s="210">
        <f>B186</f>
        <v>4691</v>
      </c>
      <c r="AH230" s="210">
        <f>B187</f>
        <v>4520</v>
      </c>
      <c r="AI230" s="210">
        <f>B188</f>
        <v>4354</v>
      </c>
      <c r="AJ230" s="210">
        <f>B189</f>
        <v>4192</v>
      </c>
      <c r="AK230" s="210">
        <f>B190</f>
        <v>4035</v>
      </c>
      <c r="AL230" s="210">
        <f>B191</f>
        <v>3882</v>
      </c>
      <c r="AM230" s="210">
        <f>B192</f>
        <v>3733</v>
      </c>
      <c r="AN230" s="210">
        <f>B193</f>
        <v>3589</v>
      </c>
      <c r="AO230" s="210">
        <f>B194</f>
        <v>3450</v>
      </c>
      <c r="AP230" s="210">
        <f>B195</f>
        <v>3315</v>
      </c>
      <c r="AQ230" s="210">
        <f>B196</f>
        <v>3184</v>
      </c>
      <c r="AR230" s="210">
        <f>B197</f>
        <v>3057</v>
      </c>
      <c r="AS230" s="210">
        <f>B198</f>
        <v>2934</v>
      </c>
      <c r="AT230" s="210">
        <f>B199</f>
        <v>2816</v>
      </c>
      <c r="AU230" s="210">
        <f>B200</f>
        <v>2701</v>
      </c>
      <c r="AV230" s="210">
        <f>B201</f>
        <v>2591</v>
      </c>
      <c r="AW230" s="210">
        <f>B202</f>
        <v>2484</v>
      </c>
      <c r="AX230" s="161"/>
    </row>
    <row r="231" spans="1:50" ht="20.100000000000001" customHeight="1">
      <c r="K231" s="209" t="s">
        <v>95</v>
      </c>
      <c r="L231" s="209"/>
      <c r="M231" s="209"/>
      <c r="N231" s="209"/>
      <c r="O231" s="209"/>
      <c r="P231" s="209"/>
      <c r="Q231" s="209"/>
      <c r="R231" s="209"/>
      <c r="S231" s="209"/>
      <c r="T231" s="209"/>
      <c r="U231" s="209"/>
      <c r="V231" s="209"/>
      <c r="W231" s="209"/>
      <c r="X231" s="209"/>
      <c r="Y231" s="209"/>
      <c r="Z231" s="209"/>
      <c r="AA231" s="209"/>
      <c r="AB231" s="209"/>
      <c r="AC231" s="209"/>
      <c r="AD231" s="209"/>
      <c r="AE231" s="210">
        <f>+AE230</f>
        <v>5183</v>
      </c>
      <c r="AF231" s="211">
        <f>+H206</f>
        <v>4912.5</v>
      </c>
      <c r="AG231" s="211">
        <f>+H207</f>
        <v>4711.5</v>
      </c>
      <c r="AH231" s="211">
        <f>+H208</f>
        <v>4513.5</v>
      </c>
      <c r="AI231" s="211">
        <f>+H209</f>
        <v>4317.5</v>
      </c>
      <c r="AJ231" s="211">
        <f>+H210</f>
        <v>4124</v>
      </c>
      <c r="AK231" s="211">
        <f>+H211</f>
        <v>3932.5</v>
      </c>
      <c r="AL231" s="211">
        <f>+H212</f>
        <v>3743.5</v>
      </c>
      <c r="AM231" s="211">
        <f>+H213</f>
        <v>3556</v>
      </c>
      <c r="AN231" s="211">
        <f>+H214</f>
        <v>3371.5</v>
      </c>
      <c r="AO231" s="211">
        <f>+H215</f>
        <v>3189</v>
      </c>
      <c r="AP231" s="211">
        <f>+H216</f>
        <v>3009</v>
      </c>
      <c r="AQ231" s="211">
        <f>+H217</f>
        <v>2830.5</v>
      </c>
      <c r="AR231" s="211">
        <f>+H218</f>
        <v>2654.5</v>
      </c>
      <c r="AS231" s="211">
        <f>+H219</f>
        <v>2480</v>
      </c>
      <c r="AT231" s="211">
        <f>+H220</f>
        <v>2308.5</v>
      </c>
      <c r="AU231" s="211">
        <f>+H221</f>
        <v>2138</v>
      </c>
      <c r="AV231" s="211">
        <f>+H222</f>
        <v>1970.5</v>
      </c>
      <c r="AW231" s="75">
        <f>+H223</f>
        <v>1804</v>
      </c>
      <c r="AX231" s="161"/>
    </row>
    <row r="232" spans="1:50" ht="20.100000000000001" customHeight="1"/>
    <row r="233" spans="1:50" ht="20.100000000000001" customHeight="1"/>
    <row r="234" spans="1:50" ht="20.100000000000001" customHeight="1"/>
    <row r="235" spans="1:50" ht="20.100000000000001" customHeight="1"/>
    <row r="236" spans="1:50" ht="20.100000000000001" customHeight="1"/>
    <row r="237" spans="1:50" ht="20.100000000000001" customHeight="1"/>
    <row r="238" spans="1:50" ht="20.100000000000001" customHeight="1"/>
    <row r="239" spans="1:50" ht="20.100000000000001" customHeight="1"/>
    <row r="240" spans="1:50" ht="20.100000000000001" customHeight="1"/>
    <row r="241" ht="20.100000000000001" customHeight="1"/>
    <row r="242" ht="20.100000000000001" customHeight="1"/>
    <row r="243" ht="20.100000000000001" customHeight="1"/>
    <row r="244" ht="20.100000000000001" customHeight="1"/>
    <row r="245" ht="20.100000000000001" customHeight="1"/>
    <row r="246" ht="20.100000000000001" customHeight="1"/>
    <row r="247" ht="20.100000000000001" customHeight="1"/>
    <row r="248" ht="20.100000000000001" customHeight="1"/>
  </sheetData>
  <phoneticPr fontId="50" type="noConversion"/>
  <pageMargins left="0.74803149606299213" right="0.74803149606299213" top="0.78740157480314965" bottom="0.78740157480314965" header="0.51181102362204722" footer="0.51181102362204722"/>
  <pageSetup paperSize="9" scale="70" fitToHeight="3" orientation="portrait" r:id="rId1"/>
  <headerFooter alignWithMargins="0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>
  <sheetPr codeName="Sheet8"/>
  <dimension ref="A1:O282"/>
  <sheetViews>
    <sheetView workbookViewId="0"/>
  </sheetViews>
  <sheetFormatPr defaultRowHeight="13.5"/>
  <cols>
    <col min="1" max="1" width="7.33203125" style="214" customWidth="1"/>
    <col min="2" max="2" width="9.33203125" style="214" customWidth="1"/>
    <col min="3" max="3" width="12" style="214" customWidth="1"/>
    <col min="4" max="4" width="16.109375" style="214" customWidth="1"/>
    <col min="5" max="5" width="5.77734375" style="214" customWidth="1"/>
    <col min="6" max="6" width="7.109375" style="214" bestFit="1" customWidth="1"/>
    <col min="7" max="7" width="5.77734375" style="214" customWidth="1"/>
    <col min="8" max="12" width="8.77734375" style="214" customWidth="1"/>
    <col min="13" max="13" width="21.77734375" style="214" customWidth="1"/>
    <col min="14" max="16384" width="8.88671875" style="214"/>
  </cols>
  <sheetData>
    <row r="1" spans="1:13" ht="24.95" customHeight="1">
      <c r="A1" s="212" t="s">
        <v>173</v>
      </c>
      <c r="B1" s="212"/>
      <c r="C1" s="213"/>
      <c r="D1" s="213"/>
      <c r="E1" s="213"/>
      <c r="F1" s="213"/>
      <c r="G1" s="213"/>
      <c r="H1" s="213"/>
      <c r="I1" s="213"/>
      <c r="J1" s="213"/>
      <c r="K1" s="213"/>
      <c r="L1" s="213"/>
      <c r="M1" s="213"/>
    </row>
    <row r="2" spans="1:13" ht="24.95" customHeight="1">
      <c r="A2" s="625" t="s">
        <v>130</v>
      </c>
      <c r="B2" s="625"/>
      <c r="C2" s="625"/>
      <c r="D2" s="625"/>
      <c r="E2" s="625" t="s">
        <v>163</v>
      </c>
      <c r="F2" s="626" t="s">
        <v>165</v>
      </c>
      <c r="G2" s="625" t="s">
        <v>131</v>
      </c>
      <c r="H2" s="627" t="s">
        <v>164</v>
      </c>
      <c r="I2" s="627"/>
      <c r="J2" s="627"/>
      <c r="K2" s="627"/>
      <c r="L2" s="627"/>
      <c r="M2" s="625" t="s">
        <v>132</v>
      </c>
    </row>
    <row r="3" spans="1:13" ht="24.95" customHeight="1">
      <c r="A3" s="625"/>
      <c r="B3" s="625"/>
      <c r="C3" s="625"/>
      <c r="D3" s="625"/>
      <c r="E3" s="625"/>
      <c r="F3" s="625"/>
      <c r="G3" s="625"/>
      <c r="H3" s="216">
        <v>2009</v>
      </c>
      <c r="I3" s="625">
        <v>2010</v>
      </c>
      <c r="J3" s="625">
        <v>2015</v>
      </c>
      <c r="K3" s="625">
        <v>2020</v>
      </c>
      <c r="L3" s="625">
        <v>2025</v>
      </c>
      <c r="M3" s="625"/>
    </row>
    <row r="4" spans="1:13" ht="24.95" customHeight="1">
      <c r="A4" s="625"/>
      <c r="B4" s="625"/>
      <c r="C4" s="625"/>
      <c r="D4" s="625"/>
      <c r="E4" s="625"/>
      <c r="F4" s="625"/>
      <c r="G4" s="625"/>
      <c r="H4" s="217" t="s">
        <v>133</v>
      </c>
      <c r="I4" s="625"/>
      <c r="J4" s="625"/>
      <c r="K4" s="625"/>
      <c r="L4" s="625"/>
      <c r="M4" s="625"/>
    </row>
    <row r="5" spans="1:13" ht="24.95" customHeight="1">
      <c r="A5" s="628" t="s">
        <v>134</v>
      </c>
      <c r="B5" s="628" t="s">
        <v>166</v>
      </c>
      <c r="C5" s="628" t="s">
        <v>135</v>
      </c>
      <c r="D5" s="219" t="s">
        <v>136</v>
      </c>
      <c r="E5" s="220">
        <v>435</v>
      </c>
      <c r="F5" s="220">
        <v>2011</v>
      </c>
      <c r="G5" s="220" t="s">
        <v>137</v>
      </c>
      <c r="H5" s="221"/>
      <c r="I5" s="221"/>
      <c r="J5" s="221">
        <f t="shared" ref="J5:L6" si="0">$E5*2.6</f>
        <v>1131</v>
      </c>
      <c r="K5" s="221">
        <f t="shared" si="0"/>
        <v>1131</v>
      </c>
      <c r="L5" s="221">
        <f t="shared" si="0"/>
        <v>1131</v>
      </c>
      <c r="M5" s="629" t="s">
        <v>315</v>
      </c>
    </row>
    <row r="6" spans="1:13" ht="24.95" customHeight="1">
      <c r="A6" s="628"/>
      <c r="B6" s="628"/>
      <c r="C6" s="628"/>
      <c r="D6" s="219" t="s">
        <v>138</v>
      </c>
      <c r="E6" s="220">
        <v>268</v>
      </c>
      <c r="F6" s="220">
        <v>2009</v>
      </c>
      <c r="G6" s="220" t="s">
        <v>137</v>
      </c>
      <c r="H6" s="221"/>
      <c r="I6" s="221">
        <f>$E6*2.6</f>
        <v>696.80000000000007</v>
      </c>
      <c r="J6" s="221">
        <f t="shared" si="0"/>
        <v>696.80000000000007</v>
      </c>
      <c r="K6" s="221">
        <f t="shared" si="0"/>
        <v>696.80000000000007</v>
      </c>
      <c r="L6" s="221">
        <f t="shared" si="0"/>
        <v>696.80000000000007</v>
      </c>
      <c r="M6" s="630"/>
    </row>
    <row r="7" spans="1:13" ht="24.95" customHeight="1">
      <c r="A7" s="628"/>
      <c r="B7" s="628"/>
      <c r="C7" s="628"/>
      <c r="D7" s="219" t="s">
        <v>139</v>
      </c>
      <c r="E7" s="220">
        <v>461</v>
      </c>
      <c r="F7" s="220">
        <v>2011</v>
      </c>
      <c r="G7" s="220" t="s">
        <v>137</v>
      </c>
      <c r="H7" s="221"/>
      <c r="I7" s="221"/>
      <c r="J7" s="221">
        <f t="shared" ref="I7:L13" si="1">$E7*2.6</f>
        <v>1198.6000000000001</v>
      </c>
      <c r="K7" s="221">
        <f t="shared" si="1"/>
        <v>1198.6000000000001</v>
      </c>
      <c r="L7" s="221">
        <f t="shared" si="1"/>
        <v>1198.6000000000001</v>
      </c>
      <c r="M7" s="630"/>
    </row>
    <row r="8" spans="1:13" ht="24.95" customHeight="1">
      <c r="A8" s="628"/>
      <c r="B8" s="628"/>
      <c r="C8" s="628"/>
      <c r="D8" s="219" t="s">
        <v>140</v>
      </c>
      <c r="E8" s="220">
        <v>424</v>
      </c>
      <c r="F8" s="220">
        <v>2011</v>
      </c>
      <c r="G8" s="220" t="s">
        <v>137</v>
      </c>
      <c r="H8" s="221"/>
      <c r="I8" s="221"/>
      <c r="J8" s="221">
        <f t="shared" si="1"/>
        <v>1102.4000000000001</v>
      </c>
      <c r="K8" s="221">
        <f t="shared" si="1"/>
        <v>1102.4000000000001</v>
      </c>
      <c r="L8" s="221">
        <f t="shared" si="1"/>
        <v>1102.4000000000001</v>
      </c>
      <c r="M8" s="630"/>
    </row>
    <row r="9" spans="1:13" ht="24.95" customHeight="1">
      <c r="A9" s="628"/>
      <c r="B9" s="628"/>
      <c r="C9" s="628"/>
      <c r="D9" s="219" t="s">
        <v>141</v>
      </c>
      <c r="E9" s="220">
        <v>652</v>
      </c>
      <c r="F9" s="220">
        <v>2011</v>
      </c>
      <c r="G9" s="220" t="s">
        <v>137</v>
      </c>
      <c r="H9" s="221"/>
      <c r="I9" s="221"/>
      <c r="J9" s="221">
        <f t="shared" si="1"/>
        <v>1695.2</v>
      </c>
      <c r="K9" s="221">
        <f t="shared" si="1"/>
        <v>1695.2</v>
      </c>
      <c r="L9" s="221">
        <f t="shared" si="1"/>
        <v>1695.2</v>
      </c>
      <c r="M9" s="630"/>
    </row>
    <row r="10" spans="1:13" ht="24.95" customHeight="1">
      <c r="A10" s="628"/>
      <c r="B10" s="628"/>
      <c r="C10" s="628"/>
      <c r="D10" s="219" t="s">
        <v>142</v>
      </c>
      <c r="E10" s="220">
        <v>300</v>
      </c>
      <c r="F10" s="220">
        <v>2011</v>
      </c>
      <c r="G10" s="220" t="s">
        <v>137</v>
      </c>
      <c r="H10" s="221"/>
      <c r="I10" s="221"/>
      <c r="J10" s="221">
        <f t="shared" si="1"/>
        <v>780</v>
      </c>
      <c r="K10" s="221">
        <f t="shared" si="1"/>
        <v>780</v>
      </c>
      <c r="L10" s="221">
        <f t="shared" si="1"/>
        <v>780</v>
      </c>
      <c r="M10" s="630"/>
    </row>
    <row r="11" spans="1:13" ht="24.95" customHeight="1">
      <c r="A11" s="628"/>
      <c r="B11" s="628"/>
      <c r="C11" s="628"/>
      <c r="D11" s="219" t="s">
        <v>143</v>
      </c>
      <c r="E11" s="220">
        <v>203</v>
      </c>
      <c r="F11" s="220">
        <v>2009</v>
      </c>
      <c r="G11" s="220" t="s">
        <v>137</v>
      </c>
      <c r="H11" s="221"/>
      <c r="I11" s="221">
        <f t="shared" si="1"/>
        <v>527.80000000000007</v>
      </c>
      <c r="J11" s="221">
        <f t="shared" si="1"/>
        <v>527.80000000000007</v>
      </c>
      <c r="K11" s="221">
        <f t="shared" si="1"/>
        <v>527.80000000000007</v>
      </c>
      <c r="L11" s="221">
        <f t="shared" si="1"/>
        <v>527.80000000000007</v>
      </c>
      <c r="M11" s="630"/>
    </row>
    <row r="12" spans="1:13" ht="24.95" customHeight="1">
      <c r="A12" s="628"/>
      <c r="B12" s="628"/>
      <c r="C12" s="628"/>
      <c r="D12" s="219" t="s">
        <v>144</v>
      </c>
      <c r="E12" s="220">
        <v>450</v>
      </c>
      <c r="F12" s="220">
        <v>2011</v>
      </c>
      <c r="G12" s="220" t="s">
        <v>137</v>
      </c>
      <c r="H12" s="221"/>
      <c r="I12" s="221"/>
      <c r="J12" s="221">
        <f t="shared" si="1"/>
        <v>1170</v>
      </c>
      <c r="K12" s="221">
        <f t="shared" si="1"/>
        <v>1170</v>
      </c>
      <c r="L12" s="221">
        <f>$E12*2.6</f>
        <v>1170</v>
      </c>
      <c r="M12" s="630"/>
    </row>
    <row r="13" spans="1:13" ht="24.95" customHeight="1">
      <c r="A13" s="628"/>
      <c r="B13" s="628"/>
      <c r="C13" s="628"/>
      <c r="D13" s="219" t="s">
        <v>145</v>
      </c>
      <c r="E13" s="220">
        <v>600</v>
      </c>
      <c r="F13" s="220">
        <v>2009</v>
      </c>
      <c r="G13" s="220" t="s">
        <v>137</v>
      </c>
      <c r="H13" s="221"/>
      <c r="I13" s="221">
        <f t="shared" si="1"/>
        <v>1560</v>
      </c>
      <c r="J13" s="221">
        <f t="shared" si="1"/>
        <v>1560</v>
      </c>
      <c r="K13" s="221">
        <f t="shared" si="1"/>
        <v>1560</v>
      </c>
      <c r="L13" s="221">
        <f t="shared" si="1"/>
        <v>1560</v>
      </c>
      <c r="M13" s="630"/>
    </row>
    <row r="14" spans="1:13" ht="24.95" customHeight="1">
      <c r="A14" s="628"/>
      <c r="B14" s="628"/>
      <c r="C14" s="647" t="s">
        <v>146</v>
      </c>
      <c r="D14" s="218" t="s">
        <v>147</v>
      </c>
      <c r="E14" s="220"/>
      <c r="F14" s="220">
        <v>2015</v>
      </c>
      <c r="G14" s="220" t="s">
        <v>137</v>
      </c>
      <c r="H14" s="221"/>
      <c r="I14" s="221"/>
      <c r="J14" s="221">
        <v>4000</v>
      </c>
      <c r="K14" s="221">
        <v>4000</v>
      </c>
      <c r="L14" s="221">
        <v>4000</v>
      </c>
      <c r="M14" s="630"/>
    </row>
    <row r="15" spans="1:13" ht="24.95" customHeight="1">
      <c r="A15" s="628"/>
      <c r="B15" s="628"/>
      <c r="C15" s="647"/>
      <c r="D15" s="218" t="s">
        <v>148</v>
      </c>
      <c r="E15" s="220"/>
      <c r="F15" s="220">
        <v>2015</v>
      </c>
      <c r="G15" s="220" t="s">
        <v>137</v>
      </c>
      <c r="H15" s="221"/>
      <c r="I15" s="221"/>
      <c r="J15" s="221">
        <v>2100</v>
      </c>
      <c r="K15" s="221">
        <v>2100</v>
      </c>
      <c r="L15" s="221">
        <v>2100</v>
      </c>
      <c r="M15" s="634"/>
    </row>
    <row r="16" spans="1:13" ht="24.95" customHeight="1">
      <c r="A16" s="628"/>
      <c r="B16" s="628"/>
      <c r="C16" s="626" t="s">
        <v>160</v>
      </c>
      <c r="D16" s="626"/>
      <c r="E16" s="215"/>
      <c r="F16" s="215"/>
      <c r="G16" s="215" t="s">
        <v>161</v>
      </c>
      <c r="H16" s="222">
        <f>SUM(H5:H15)</f>
        <v>0</v>
      </c>
      <c r="I16" s="222">
        <f>SUM(I5:I15)</f>
        <v>2784.6000000000004</v>
      </c>
      <c r="J16" s="222">
        <f>SUM(J5:J15)</f>
        <v>15961.800000000001</v>
      </c>
      <c r="K16" s="222">
        <f>SUM(K5:K15)</f>
        <v>15961.800000000001</v>
      </c>
      <c r="L16" s="222">
        <f>SUM(L5:L15)</f>
        <v>15961.800000000001</v>
      </c>
      <c r="M16" s="225" t="s">
        <v>162</v>
      </c>
    </row>
    <row r="17" spans="1:13" ht="24.95" customHeight="1">
      <c r="A17" s="628"/>
      <c r="B17" s="628" t="s">
        <v>167</v>
      </c>
      <c r="C17" s="628" t="s">
        <v>135</v>
      </c>
      <c r="D17" s="219" t="s">
        <v>136</v>
      </c>
      <c r="E17" s="220"/>
      <c r="F17" s="220"/>
      <c r="G17" s="220" t="s">
        <v>137</v>
      </c>
      <c r="H17" s="221"/>
      <c r="I17" s="221">
        <f t="shared" ref="I17:L25" si="2">ROUND(I5*25.7%,0)</f>
        <v>0</v>
      </c>
      <c r="J17" s="221">
        <f t="shared" si="2"/>
        <v>291</v>
      </c>
      <c r="K17" s="221">
        <f t="shared" si="2"/>
        <v>291</v>
      </c>
      <c r="L17" s="221">
        <f t="shared" si="2"/>
        <v>291</v>
      </c>
      <c r="M17" s="635" t="s">
        <v>316</v>
      </c>
    </row>
    <row r="18" spans="1:13" ht="24.95" customHeight="1">
      <c r="A18" s="628"/>
      <c r="B18" s="628"/>
      <c r="C18" s="628"/>
      <c r="D18" s="219" t="s">
        <v>138</v>
      </c>
      <c r="E18" s="220"/>
      <c r="F18" s="220"/>
      <c r="G18" s="220" t="s">
        <v>137</v>
      </c>
      <c r="H18" s="221"/>
      <c r="I18" s="221">
        <f t="shared" si="2"/>
        <v>179</v>
      </c>
      <c r="J18" s="221">
        <f t="shared" si="2"/>
        <v>179</v>
      </c>
      <c r="K18" s="221">
        <f t="shared" si="2"/>
        <v>179</v>
      </c>
      <c r="L18" s="221">
        <f t="shared" si="2"/>
        <v>179</v>
      </c>
      <c r="M18" s="650"/>
    </row>
    <row r="19" spans="1:13" ht="24.95" customHeight="1">
      <c r="A19" s="628"/>
      <c r="B19" s="628"/>
      <c r="C19" s="628"/>
      <c r="D19" s="219" t="s">
        <v>139</v>
      </c>
      <c r="E19" s="220"/>
      <c r="F19" s="220"/>
      <c r="G19" s="220" t="s">
        <v>137</v>
      </c>
      <c r="H19" s="221"/>
      <c r="I19" s="221">
        <f t="shared" si="2"/>
        <v>0</v>
      </c>
      <c r="J19" s="221">
        <f t="shared" si="2"/>
        <v>308</v>
      </c>
      <c r="K19" s="221">
        <f t="shared" si="2"/>
        <v>308</v>
      </c>
      <c r="L19" s="221">
        <f t="shared" si="2"/>
        <v>308</v>
      </c>
      <c r="M19" s="650"/>
    </row>
    <row r="20" spans="1:13" ht="24.95" customHeight="1">
      <c r="A20" s="628"/>
      <c r="B20" s="628"/>
      <c r="C20" s="628"/>
      <c r="D20" s="219" t="s">
        <v>140</v>
      </c>
      <c r="E20" s="220"/>
      <c r="F20" s="220"/>
      <c r="G20" s="220" t="s">
        <v>137</v>
      </c>
      <c r="H20" s="221"/>
      <c r="I20" s="221">
        <f t="shared" si="2"/>
        <v>0</v>
      </c>
      <c r="J20" s="221">
        <f t="shared" si="2"/>
        <v>283</v>
      </c>
      <c r="K20" s="221">
        <f t="shared" si="2"/>
        <v>283</v>
      </c>
      <c r="L20" s="221">
        <f t="shared" si="2"/>
        <v>283</v>
      </c>
      <c r="M20" s="650"/>
    </row>
    <row r="21" spans="1:13" ht="24.95" customHeight="1">
      <c r="A21" s="628"/>
      <c r="B21" s="628"/>
      <c r="C21" s="628"/>
      <c r="D21" s="219" t="s">
        <v>141</v>
      </c>
      <c r="E21" s="220"/>
      <c r="F21" s="220"/>
      <c r="G21" s="220" t="s">
        <v>137</v>
      </c>
      <c r="H21" s="221"/>
      <c r="I21" s="221">
        <f t="shared" si="2"/>
        <v>0</v>
      </c>
      <c r="J21" s="221">
        <f t="shared" si="2"/>
        <v>436</v>
      </c>
      <c r="K21" s="221">
        <f t="shared" si="2"/>
        <v>436</v>
      </c>
      <c r="L21" s="221">
        <f t="shared" si="2"/>
        <v>436</v>
      </c>
      <c r="M21" s="650"/>
    </row>
    <row r="22" spans="1:13" ht="24.95" customHeight="1">
      <c r="A22" s="628"/>
      <c r="B22" s="628"/>
      <c r="C22" s="628"/>
      <c r="D22" s="219" t="s">
        <v>142</v>
      </c>
      <c r="E22" s="220"/>
      <c r="F22" s="220"/>
      <c r="G22" s="220" t="s">
        <v>137</v>
      </c>
      <c r="H22" s="221"/>
      <c r="I22" s="221">
        <f t="shared" si="2"/>
        <v>0</v>
      </c>
      <c r="J22" s="221">
        <f t="shared" si="2"/>
        <v>200</v>
      </c>
      <c r="K22" s="221">
        <f t="shared" si="2"/>
        <v>200</v>
      </c>
      <c r="L22" s="221">
        <f t="shared" si="2"/>
        <v>200</v>
      </c>
      <c r="M22" s="636"/>
    </row>
    <row r="23" spans="1:13" ht="24.95" customHeight="1">
      <c r="A23" s="628" t="s">
        <v>134</v>
      </c>
      <c r="B23" s="628" t="s">
        <v>168</v>
      </c>
      <c r="C23" s="628" t="s">
        <v>135</v>
      </c>
      <c r="D23" s="219" t="s">
        <v>143</v>
      </c>
      <c r="E23" s="220"/>
      <c r="F23" s="220"/>
      <c r="G23" s="220" t="s">
        <v>137</v>
      </c>
      <c r="H23" s="221"/>
      <c r="I23" s="221">
        <f t="shared" si="2"/>
        <v>136</v>
      </c>
      <c r="J23" s="221">
        <f t="shared" si="2"/>
        <v>136</v>
      </c>
      <c r="K23" s="221">
        <f t="shared" si="2"/>
        <v>136</v>
      </c>
      <c r="L23" s="221">
        <f t="shared" si="2"/>
        <v>136</v>
      </c>
      <c r="M23" s="635" t="s">
        <v>316</v>
      </c>
    </row>
    <row r="24" spans="1:13" ht="24.95" customHeight="1">
      <c r="A24" s="628"/>
      <c r="B24" s="628"/>
      <c r="C24" s="628"/>
      <c r="D24" s="219" t="s">
        <v>144</v>
      </c>
      <c r="E24" s="220"/>
      <c r="F24" s="220"/>
      <c r="G24" s="220" t="s">
        <v>137</v>
      </c>
      <c r="H24" s="221"/>
      <c r="I24" s="221">
        <f t="shared" si="2"/>
        <v>0</v>
      </c>
      <c r="J24" s="221">
        <f t="shared" si="2"/>
        <v>301</v>
      </c>
      <c r="K24" s="221">
        <f t="shared" si="2"/>
        <v>301</v>
      </c>
      <c r="L24" s="221">
        <f t="shared" si="2"/>
        <v>301</v>
      </c>
      <c r="M24" s="650"/>
    </row>
    <row r="25" spans="1:13" ht="24.95" customHeight="1">
      <c r="A25" s="628"/>
      <c r="B25" s="628"/>
      <c r="C25" s="628"/>
      <c r="D25" s="219" t="s">
        <v>145</v>
      </c>
      <c r="E25" s="220"/>
      <c r="F25" s="220"/>
      <c r="G25" s="220" t="s">
        <v>137</v>
      </c>
      <c r="H25" s="221"/>
      <c r="I25" s="221">
        <f t="shared" si="2"/>
        <v>401</v>
      </c>
      <c r="J25" s="221">
        <f t="shared" si="2"/>
        <v>401</v>
      </c>
      <c r="K25" s="221">
        <f t="shared" si="2"/>
        <v>401</v>
      </c>
      <c r="L25" s="221">
        <f t="shared" si="2"/>
        <v>401</v>
      </c>
      <c r="M25" s="650"/>
    </row>
    <row r="26" spans="1:13" ht="24.95" customHeight="1">
      <c r="A26" s="628"/>
      <c r="B26" s="628"/>
      <c r="C26" s="647" t="s">
        <v>146</v>
      </c>
      <c r="D26" s="218" t="s">
        <v>147</v>
      </c>
      <c r="E26" s="220"/>
      <c r="F26" s="220"/>
      <c r="G26" s="220" t="s">
        <v>137</v>
      </c>
      <c r="H26" s="221"/>
      <c r="I26" s="221">
        <f t="shared" ref="I26:L27" si="3">ROUND(I14*25.7%,0)</f>
        <v>0</v>
      </c>
      <c r="J26" s="221">
        <f t="shared" si="3"/>
        <v>1028</v>
      </c>
      <c r="K26" s="221">
        <f t="shared" si="3"/>
        <v>1028</v>
      </c>
      <c r="L26" s="221">
        <f t="shared" si="3"/>
        <v>1028</v>
      </c>
      <c r="M26" s="650"/>
    </row>
    <row r="27" spans="1:13" ht="24.95" customHeight="1">
      <c r="A27" s="628"/>
      <c r="B27" s="628"/>
      <c r="C27" s="647"/>
      <c r="D27" s="218" t="s">
        <v>148</v>
      </c>
      <c r="E27" s="220"/>
      <c r="F27" s="220"/>
      <c r="G27" s="220" t="s">
        <v>137</v>
      </c>
      <c r="H27" s="221"/>
      <c r="I27" s="221">
        <f t="shared" si="3"/>
        <v>0</v>
      </c>
      <c r="J27" s="221">
        <f t="shared" si="3"/>
        <v>540</v>
      </c>
      <c r="K27" s="221">
        <f t="shared" si="3"/>
        <v>540</v>
      </c>
      <c r="L27" s="221">
        <f t="shared" si="3"/>
        <v>540</v>
      </c>
      <c r="M27" s="636"/>
    </row>
    <row r="28" spans="1:13" ht="24.95" customHeight="1">
      <c r="A28" s="628"/>
      <c r="B28" s="628"/>
      <c r="C28" s="626" t="s">
        <v>169</v>
      </c>
      <c r="D28" s="626"/>
      <c r="E28" s="215"/>
      <c r="F28" s="215"/>
      <c r="G28" s="215" t="s">
        <v>161</v>
      </c>
      <c r="H28" s="222">
        <f>SUM(H17:H27)</f>
        <v>0</v>
      </c>
      <c r="I28" s="222">
        <f>SUM(I17:I27)</f>
        <v>716</v>
      </c>
      <c r="J28" s="222">
        <f>SUM(J17:J27)</f>
        <v>4103</v>
      </c>
      <c r="K28" s="222">
        <f>SUM(K17:K27)</f>
        <v>4103</v>
      </c>
      <c r="L28" s="222">
        <f>SUM(L17:L27)</f>
        <v>4103</v>
      </c>
      <c r="M28" s="225" t="s">
        <v>162</v>
      </c>
    </row>
    <row r="29" spans="1:13" ht="24.95" customHeight="1">
      <c r="A29" s="628"/>
      <c r="B29" s="629" t="s">
        <v>149</v>
      </c>
      <c r="C29" s="639" t="s">
        <v>150</v>
      </c>
      <c r="D29" s="644"/>
      <c r="E29" s="220"/>
      <c r="F29" s="220"/>
      <c r="G29" s="220" t="s">
        <v>151</v>
      </c>
      <c r="H29" s="221">
        <v>0</v>
      </c>
      <c r="I29" s="221">
        <v>0</v>
      </c>
      <c r="J29" s="221">
        <v>1258</v>
      </c>
      <c r="K29" s="221">
        <v>1258</v>
      </c>
      <c r="L29" s="221">
        <v>1258</v>
      </c>
      <c r="M29" s="218"/>
    </row>
    <row r="30" spans="1:13" ht="24.95" customHeight="1">
      <c r="A30" s="628"/>
      <c r="B30" s="630"/>
      <c r="C30" s="640"/>
      <c r="D30" s="645"/>
      <c r="E30" s="220"/>
      <c r="F30" s="220"/>
      <c r="G30" s="220" t="s">
        <v>151</v>
      </c>
      <c r="H30" s="221">
        <f>ROUND(H29*0.9,0)</f>
        <v>0</v>
      </c>
      <c r="I30" s="221">
        <f>ROUND(I29*0.9,0)</f>
        <v>0</v>
      </c>
      <c r="J30" s="221">
        <f>ROUND(J29*0.9*0.5,0)</f>
        <v>566</v>
      </c>
      <c r="K30" s="221">
        <f>ROUND(K29*0.9*0.5,0)</f>
        <v>566</v>
      </c>
      <c r="L30" s="221">
        <f>ROUND(L29*0.9*0.5,0)</f>
        <v>566</v>
      </c>
      <c r="M30" s="218" t="s">
        <v>239</v>
      </c>
    </row>
    <row r="31" spans="1:13" ht="24.95" customHeight="1">
      <c r="A31" s="628"/>
      <c r="B31" s="630"/>
      <c r="C31" s="640"/>
      <c r="D31" s="645"/>
      <c r="E31" s="220"/>
      <c r="F31" s="220"/>
      <c r="G31" s="220" t="s">
        <v>151</v>
      </c>
      <c r="H31" s="221">
        <f>ROUND(H30*0.8,0)</f>
        <v>0</v>
      </c>
      <c r="I31" s="221">
        <f>ROUND(I30*0.8,0)</f>
        <v>0</v>
      </c>
      <c r="J31" s="221">
        <f>ROUND(J30*0.8,0)</f>
        <v>453</v>
      </c>
      <c r="K31" s="221">
        <f>ROUND(K30*0.8,0)</f>
        <v>453</v>
      </c>
      <c r="L31" s="221">
        <f>ROUND(L30*0.8,0)</f>
        <v>453</v>
      </c>
      <c r="M31" s="218" t="s">
        <v>153</v>
      </c>
    </row>
    <row r="32" spans="1:13" ht="24.95" customHeight="1">
      <c r="A32" s="628"/>
      <c r="B32" s="630"/>
      <c r="C32" s="640"/>
      <c r="D32" s="645"/>
      <c r="E32" s="220"/>
      <c r="F32" s="220"/>
      <c r="G32" s="220" t="s">
        <v>151</v>
      </c>
      <c r="H32" s="221">
        <f>ROUND(H31*2.6,0)</f>
        <v>0</v>
      </c>
      <c r="I32" s="221">
        <f>ROUND(I31*2.6,0)</f>
        <v>0</v>
      </c>
      <c r="J32" s="221">
        <f>ROUND(J31*2.6,0)</f>
        <v>1178</v>
      </c>
      <c r="K32" s="221">
        <f>ROUND(K31*2.6,0)</f>
        <v>1178</v>
      </c>
      <c r="L32" s="221">
        <f>ROUND(L31*2.6,0)</f>
        <v>1178</v>
      </c>
      <c r="M32" s="218" t="s">
        <v>154</v>
      </c>
    </row>
    <row r="33" spans="1:13" ht="24.95" customHeight="1">
      <c r="A33" s="628"/>
      <c r="B33" s="630"/>
      <c r="C33" s="641"/>
      <c r="D33" s="646"/>
      <c r="E33" s="220"/>
      <c r="F33" s="220"/>
      <c r="G33" s="220" t="s">
        <v>151</v>
      </c>
      <c r="H33" s="221"/>
      <c r="I33" s="221"/>
      <c r="J33" s="221"/>
      <c r="K33" s="221"/>
      <c r="L33" s="221"/>
      <c r="M33" s="218"/>
    </row>
    <row r="34" spans="1:13" ht="24.95" customHeight="1">
      <c r="A34" s="628"/>
      <c r="B34" s="630"/>
      <c r="C34" s="637" t="s">
        <v>221</v>
      </c>
      <c r="D34" s="638"/>
      <c r="E34" s="220"/>
      <c r="F34" s="220"/>
      <c r="G34" s="220" t="s">
        <v>151</v>
      </c>
      <c r="H34" s="221"/>
      <c r="I34" s="221"/>
      <c r="J34" s="221">
        <f>+J33+J32</f>
        <v>1178</v>
      </c>
      <c r="K34" s="221">
        <f>+K33+K32</f>
        <v>1178</v>
      </c>
      <c r="L34" s="221">
        <f>+L33+L32</f>
        <v>1178</v>
      </c>
      <c r="M34" s="218"/>
    </row>
    <row r="35" spans="1:13" ht="24.95" customHeight="1">
      <c r="A35" s="628"/>
      <c r="B35" s="630"/>
      <c r="C35" s="647" t="s">
        <v>155</v>
      </c>
      <c r="D35" s="647"/>
      <c r="E35" s="220"/>
      <c r="F35" s="220"/>
      <c r="G35" s="220" t="s">
        <v>137</v>
      </c>
      <c r="H35" s="221">
        <v>1081</v>
      </c>
      <c r="I35" s="221">
        <f>ROUND(H35*I37/H37,0)</f>
        <v>1234</v>
      </c>
      <c r="J35" s="221">
        <f>ROUND(H35*J37/H37,0)</f>
        <v>1542</v>
      </c>
      <c r="K35" s="221">
        <f>ROUND(H35*K37/H37,0)</f>
        <v>1542</v>
      </c>
      <c r="L35" s="221">
        <f>ROUND(H35*L37/H37,0)</f>
        <v>1542</v>
      </c>
      <c r="M35" s="628" t="s">
        <v>156</v>
      </c>
    </row>
    <row r="36" spans="1:13" ht="24.95" hidden="1" customHeight="1">
      <c r="A36" s="628"/>
      <c r="B36" s="630"/>
      <c r="C36" s="647"/>
      <c r="D36" s="647"/>
      <c r="E36" s="220"/>
      <c r="F36" s="220"/>
      <c r="G36" s="220"/>
      <c r="H36" s="221"/>
      <c r="I36" s="221">
        <f>+I35-H35</f>
        <v>153</v>
      </c>
      <c r="J36" s="221">
        <f>+J35-H35</f>
        <v>461</v>
      </c>
      <c r="K36" s="221">
        <f>+K35-H35</f>
        <v>461</v>
      </c>
      <c r="L36" s="221">
        <f>+L35-H35</f>
        <v>461</v>
      </c>
      <c r="M36" s="628"/>
    </row>
    <row r="37" spans="1:13" ht="24.95" customHeight="1">
      <c r="A37" s="628"/>
      <c r="B37" s="630"/>
      <c r="C37" s="647"/>
      <c r="D37" s="647"/>
      <c r="E37" s="220"/>
      <c r="F37" s="220"/>
      <c r="G37" s="220" t="s">
        <v>157</v>
      </c>
      <c r="H37" s="227">
        <v>0.70099999999999996</v>
      </c>
      <c r="I37" s="227">
        <v>0.8</v>
      </c>
      <c r="J37" s="227">
        <v>1</v>
      </c>
      <c r="K37" s="227">
        <v>1</v>
      </c>
      <c r="L37" s="227">
        <v>1</v>
      </c>
      <c r="M37" s="628"/>
    </row>
    <row r="38" spans="1:13" ht="24.95" customHeight="1">
      <c r="A38" s="628"/>
      <c r="B38" s="630"/>
      <c r="C38" s="647"/>
      <c r="D38" s="647"/>
      <c r="E38" s="220"/>
      <c r="F38" s="220"/>
      <c r="G38" s="220"/>
      <c r="H38" s="227"/>
      <c r="I38" s="396">
        <f>+ROUND(I35-H35,0)</f>
        <v>153</v>
      </c>
      <c r="J38" s="397">
        <f>+ROUND(J35-H35,0)</f>
        <v>461</v>
      </c>
      <c r="K38" s="396">
        <f>+J38</f>
        <v>461</v>
      </c>
      <c r="L38" s="396">
        <f>+K38</f>
        <v>461</v>
      </c>
      <c r="M38" s="218" t="s">
        <v>457</v>
      </c>
    </row>
    <row r="39" spans="1:13" ht="24.95" customHeight="1">
      <c r="A39" s="628"/>
      <c r="B39" s="630"/>
      <c r="C39" s="647"/>
      <c r="D39" s="647"/>
      <c r="E39" s="220"/>
      <c r="F39" s="220"/>
      <c r="G39" s="220" t="s">
        <v>151</v>
      </c>
      <c r="H39" s="221"/>
      <c r="I39" s="221">
        <f>ROUND(I38*0.9*0.5,0)</f>
        <v>69</v>
      </c>
      <c r="J39" s="221">
        <f>ROUND(J38*0.9*0.5,0)</f>
        <v>207</v>
      </c>
      <c r="K39" s="221">
        <f>ROUND(K38*0.9*0.5,0)</f>
        <v>207</v>
      </c>
      <c r="L39" s="221">
        <f>ROUND(L38*0.9*0.5,0)</f>
        <v>207</v>
      </c>
      <c r="M39" s="218" t="s">
        <v>456</v>
      </c>
    </row>
    <row r="40" spans="1:13" ht="24.95" customHeight="1">
      <c r="A40" s="628"/>
      <c r="B40" s="630"/>
      <c r="C40" s="647"/>
      <c r="D40" s="647"/>
      <c r="E40" s="220"/>
      <c r="F40" s="220"/>
      <c r="G40" s="220" t="s">
        <v>151</v>
      </c>
      <c r="H40" s="221"/>
      <c r="I40" s="221">
        <f>ROUND(I39*0.8,0)</f>
        <v>55</v>
      </c>
      <c r="J40" s="221">
        <f>ROUND(J39*0.8,0)</f>
        <v>166</v>
      </c>
      <c r="K40" s="221">
        <f>ROUND(K39*0.8,0)</f>
        <v>166</v>
      </c>
      <c r="L40" s="221">
        <f>ROUND(L39*0.8,0)</f>
        <v>166</v>
      </c>
      <c r="M40" s="218" t="s">
        <v>153</v>
      </c>
    </row>
    <row r="41" spans="1:13" ht="24.95" customHeight="1">
      <c r="A41" s="628"/>
      <c r="B41" s="630"/>
      <c r="C41" s="647"/>
      <c r="D41" s="647"/>
      <c r="E41" s="220"/>
      <c r="F41" s="220"/>
      <c r="G41" s="220" t="s">
        <v>151</v>
      </c>
      <c r="H41" s="221"/>
      <c r="I41" s="221">
        <f>ROUND(I40*2.6,0)</f>
        <v>143</v>
      </c>
      <c r="J41" s="221">
        <f>ROUND(J40*2.6,0)</f>
        <v>432</v>
      </c>
      <c r="K41" s="221">
        <f>ROUND(K40*2.6,0)</f>
        <v>432</v>
      </c>
      <c r="L41" s="221">
        <f>ROUND(L40*2.6,0)</f>
        <v>432</v>
      </c>
      <c r="M41" s="218" t="s">
        <v>154</v>
      </c>
    </row>
    <row r="42" spans="1:13" ht="24.95" customHeight="1">
      <c r="A42" s="628"/>
      <c r="B42" s="630"/>
      <c r="C42" s="637" t="s">
        <v>221</v>
      </c>
      <c r="D42" s="638"/>
      <c r="E42" s="220"/>
      <c r="F42" s="220"/>
      <c r="G42" s="220"/>
      <c r="H42" s="221"/>
      <c r="I42" s="221">
        <f>+I41</f>
        <v>143</v>
      </c>
      <c r="J42" s="221">
        <f>+J41</f>
        <v>432</v>
      </c>
      <c r="K42" s="221">
        <f>+K41</f>
        <v>432</v>
      </c>
      <c r="L42" s="221">
        <f>+L41</f>
        <v>432</v>
      </c>
      <c r="M42" s="218"/>
    </row>
    <row r="43" spans="1:13" ht="24.95" customHeight="1">
      <c r="A43" s="628"/>
      <c r="B43" s="630"/>
      <c r="C43" s="629" t="s">
        <v>217</v>
      </c>
      <c r="D43" s="279">
        <v>247734</v>
      </c>
      <c r="E43" s="220"/>
      <c r="F43" s="220"/>
      <c r="G43" s="220"/>
      <c r="H43" s="221"/>
      <c r="I43" s="236">
        <v>0.25</v>
      </c>
      <c r="J43" s="236">
        <v>0.5</v>
      </c>
      <c r="K43" s="236">
        <v>0.75</v>
      </c>
      <c r="L43" s="236">
        <v>1</v>
      </c>
      <c r="M43" s="218"/>
    </row>
    <row r="44" spans="1:13" ht="24.95" customHeight="1">
      <c r="A44" s="628"/>
      <c r="B44" s="630"/>
      <c r="C44" s="630"/>
      <c r="D44" s="280">
        <v>1.8</v>
      </c>
      <c r="E44" s="220"/>
      <c r="F44" s="220"/>
      <c r="G44" s="220"/>
      <c r="H44" s="221"/>
      <c r="I44" s="238">
        <f>+ROUND($D$43*$D$44/1000*I43,0)</f>
        <v>111</v>
      </c>
      <c r="J44" s="238">
        <f>+ROUND($D$43*$D$44/1000*J43,0)</f>
        <v>223</v>
      </c>
      <c r="K44" s="238">
        <f>+ROUND($D$43*$D$44/1000*K43,0)</f>
        <v>334</v>
      </c>
      <c r="L44" s="238">
        <f>+ROUND($D$43*$D$44/1000*L43,0)</f>
        <v>446</v>
      </c>
      <c r="M44" s="218" t="s">
        <v>220</v>
      </c>
    </row>
    <row r="45" spans="1:13" ht="24.95" customHeight="1">
      <c r="A45" s="628"/>
      <c r="B45" s="630"/>
      <c r="C45" s="630"/>
      <c r="D45" s="229"/>
      <c r="E45" s="220"/>
      <c r="F45" s="220"/>
      <c r="G45" s="220"/>
      <c r="H45" s="221"/>
      <c r="I45" s="220">
        <f>+ROUND(I44*0.9*0.5,0)</f>
        <v>50</v>
      </c>
      <c r="J45" s="220">
        <f>+ROUND(J44*0.9*0.5,0)</f>
        <v>100</v>
      </c>
      <c r="K45" s="220">
        <f>+ROUND(K44*0.9*0.5,0)</f>
        <v>150</v>
      </c>
      <c r="L45" s="220">
        <f>+ROUND(L44*0.9*0.5,0)</f>
        <v>201</v>
      </c>
      <c r="M45" s="218" t="s">
        <v>455</v>
      </c>
    </row>
    <row r="46" spans="1:13" ht="24.95" customHeight="1">
      <c r="A46" s="628"/>
      <c r="B46" s="630"/>
      <c r="C46" s="630"/>
      <c r="D46" s="229"/>
      <c r="E46" s="220"/>
      <c r="F46" s="220"/>
      <c r="G46" s="220"/>
      <c r="H46" s="221"/>
      <c r="I46" s="220">
        <f>+ROUND(I45*0.8,0)</f>
        <v>40</v>
      </c>
      <c r="J46" s="220">
        <f>+ROUND(J45*0.8,0)</f>
        <v>80</v>
      </c>
      <c r="K46" s="220">
        <f>+ROUND(K45*0.8,0)</f>
        <v>120</v>
      </c>
      <c r="L46" s="220">
        <f>+ROUND(L45*0.8,0)</f>
        <v>161</v>
      </c>
      <c r="M46" s="218" t="s">
        <v>153</v>
      </c>
    </row>
    <row r="47" spans="1:13" ht="24.95" customHeight="1">
      <c r="A47" s="628"/>
      <c r="B47" s="630"/>
      <c r="C47" s="630"/>
      <c r="D47" s="230"/>
      <c r="E47" s="220"/>
      <c r="F47" s="220"/>
      <c r="G47" s="220"/>
      <c r="H47" s="221"/>
      <c r="I47" s="220">
        <f>+ROUND(I46*2.6,0)</f>
        <v>104</v>
      </c>
      <c r="J47" s="220">
        <f>+ROUND(J46*2.6,0)</f>
        <v>208</v>
      </c>
      <c r="K47" s="220">
        <f>+ROUND(K46*2.6,0)</f>
        <v>312</v>
      </c>
      <c r="L47" s="220">
        <f>+ROUND(L46*2.6,0)</f>
        <v>419</v>
      </c>
      <c r="M47" s="218" t="s">
        <v>154</v>
      </c>
    </row>
    <row r="48" spans="1:13" ht="24.95" customHeight="1">
      <c r="A48" s="628"/>
      <c r="B48" s="630"/>
      <c r="C48" s="630"/>
      <c r="D48" s="229"/>
      <c r="E48" s="220"/>
      <c r="F48" s="220"/>
      <c r="G48" s="220"/>
      <c r="H48" s="221"/>
      <c r="I48" s="220"/>
      <c r="J48" s="220"/>
      <c r="K48" s="220"/>
      <c r="L48" s="220"/>
      <c r="M48" s="218"/>
    </row>
    <row r="49" spans="1:13" ht="24.95" customHeight="1">
      <c r="A49" s="628"/>
      <c r="B49" s="630"/>
      <c r="C49" s="637" t="s">
        <v>221</v>
      </c>
      <c r="D49" s="638"/>
      <c r="E49" s="220"/>
      <c r="F49" s="220"/>
      <c r="G49" s="220"/>
      <c r="H49" s="221"/>
      <c r="I49" s="220">
        <f>+I48+I47</f>
        <v>104</v>
      </c>
      <c r="J49" s="220">
        <f>+J48+J47</f>
        <v>208</v>
      </c>
      <c r="K49" s="220">
        <f>+K48+K47</f>
        <v>312</v>
      </c>
      <c r="L49" s="220">
        <f>+L48+L47</f>
        <v>419</v>
      </c>
      <c r="M49" s="218"/>
    </row>
    <row r="50" spans="1:13" ht="24.95" hidden="1" customHeight="1">
      <c r="A50" s="628"/>
      <c r="B50" s="630"/>
      <c r="C50" s="629" t="s">
        <v>218</v>
      </c>
      <c r="D50" s="226">
        <v>923000</v>
      </c>
      <c r="E50" s="220"/>
      <c r="F50" s="220"/>
      <c r="G50" s="220"/>
      <c r="H50" s="221"/>
      <c r="I50" s="221"/>
      <c r="J50" s="236">
        <v>0.3</v>
      </c>
      <c r="K50" s="236">
        <v>0.6</v>
      </c>
      <c r="L50" s="236">
        <v>1</v>
      </c>
      <c r="M50" s="218"/>
    </row>
    <row r="51" spans="1:13" ht="24.95" hidden="1" customHeight="1">
      <c r="A51" s="628"/>
      <c r="B51" s="630"/>
      <c r="C51" s="630"/>
      <c r="D51" s="229">
        <v>1.8</v>
      </c>
      <c r="E51" s="220"/>
      <c r="F51" s="220"/>
      <c r="G51" s="220"/>
      <c r="H51" s="221"/>
      <c r="I51" s="221"/>
      <c r="J51" s="220">
        <f>+ROUND($D$50*$D$51/1000*J50,0)</f>
        <v>498</v>
      </c>
      <c r="K51" s="220">
        <f>+ROUND($D$50*$D$51/1000*K50,0)</f>
        <v>997</v>
      </c>
      <c r="L51" s="220">
        <f>+ROUND($D$50*$D$51/1000*L50,0)</f>
        <v>1661</v>
      </c>
      <c r="M51" s="218" t="s">
        <v>220</v>
      </c>
    </row>
    <row r="52" spans="1:13" ht="24.95" hidden="1" customHeight="1">
      <c r="A52" s="628"/>
      <c r="B52" s="630"/>
      <c r="C52" s="630"/>
      <c r="D52" s="229"/>
      <c r="E52" s="220"/>
      <c r="F52" s="220"/>
      <c r="G52" s="220"/>
      <c r="H52" s="221"/>
      <c r="I52" s="221"/>
      <c r="J52" s="220">
        <f>+ROUND(J51*0.9,0)</f>
        <v>448</v>
      </c>
      <c r="K52" s="220">
        <f>+ROUND(K51*0.9,0)</f>
        <v>897</v>
      </c>
      <c r="L52" s="220">
        <f>+ROUND(L51*0.9,0)</f>
        <v>1495</v>
      </c>
      <c r="M52" s="218" t="s">
        <v>152</v>
      </c>
    </row>
    <row r="53" spans="1:13" ht="24.95" hidden="1" customHeight="1">
      <c r="A53" s="628"/>
      <c r="B53" s="630"/>
      <c r="C53" s="630"/>
      <c r="D53" s="229"/>
      <c r="E53" s="220"/>
      <c r="F53" s="220"/>
      <c r="G53" s="220"/>
      <c r="H53" s="221"/>
      <c r="I53" s="221"/>
      <c r="J53" s="220">
        <f>+ROUND(J52*0.8,0)</f>
        <v>358</v>
      </c>
      <c r="K53" s="220">
        <f>+ROUND(K52*0.8,0)</f>
        <v>718</v>
      </c>
      <c r="L53" s="220">
        <f>+ROUND(L52*0.8,0)</f>
        <v>1196</v>
      </c>
      <c r="M53" s="218" t="s">
        <v>153</v>
      </c>
    </row>
    <row r="54" spans="1:13" ht="24.95" hidden="1" customHeight="1">
      <c r="A54" s="628"/>
      <c r="B54" s="630"/>
      <c r="C54" s="630"/>
      <c r="D54" s="230"/>
      <c r="E54" s="220"/>
      <c r="F54" s="220"/>
      <c r="G54" s="220"/>
      <c r="H54" s="221"/>
      <c r="I54" s="221"/>
      <c r="J54" s="220">
        <f>+ROUND(J53*2.6,0)</f>
        <v>931</v>
      </c>
      <c r="K54" s="220">
        <f>+ROUND(K53*2.6,0)</f>
        <v>1867</v>
      </c>
      <c r="L54" s="220">
        <f>+ROUND(L53*2.6,0)</f>
        <v>3110</v>
      </c>
      <c r="M54" s="218" t="s">
        <v>154</v>
      </c>
    </row>
    <row r="55" spans="1:13" ht="24.95" hidden="1" customHeight="1">
      <c r="A55" s="628"/>
      <c r="B55" s="630"/>
      <c r="C55" s="630"/>
      <c r="D55" s="229"/>
      <c r="E55" s="220"/>
      <c r="F55" s="220"/>
      <c r="G55" s="220"/>
      <c r="H55" s="221"/>
      <c r="I55" s="221"/>
      <c r="J55" s="220">
        <f>+ROUND(J51*1.3,0)</f>
        <v>647</v>
      </c>
      <c r="K55" s="220">
        <f>+ROUND(K51*1.3,0)</f>
        <v>1296</v>
      </c>
      <c r="L55" s="220">
        <f>+ROUND(L51*1.3,0)</f>
        <v>2159</v>
      </c>
      <c r="M55" s="218" t="s">
        <v>222</v>
      </c>
    </row>
    <row r="56" spans="1:13" ht="24.95" hidden="1" customHeight="1">
      <c r="A56" s="628"/>
      <c r="B56" s="630"/>
      <c r="C56" s="637" t="s">
        <v>221</v>
      </c>
      <c r="D56" s="638"/>
      <c r="E56" s="220"/>
      <c r="F56" s="220"/>
      <c r="G56" s="220"/>
      <c r="H56" s="221"/>
      <c r="I56" s="220">
        <f>+I55+I54</f>
        <v>0</v>
      </c>
      <c r="J56" s="220">
        <f>+J55+J54</f>
        <v>1578</v>
      </c>
      <c r="K56" s="220">
        <f>+K55+K54</f>
        <v>3163</v>
      </c>
      <c r="L56" s="220">
        <f>+L55+L54</f>
        <v>5269</v>
      </c>
      <c r="M56" s="218"/>
    </row>
    <row r="57" spans="1:13" ht="24.95" hidden="1" customHeight="1">
      <c r="A57" s="628"/>
      <c r="B57" s="630"/>
      <c r="C57" s="639" t="s">
        <v>219</v>
      </c>
      <c r="D57" s="226">
        <f>101438+364000+391000</f>
        <v>856438</v>
      </c>
      <c r="E57" s="220"/>
      <c r="F57" s="220"/>
      <c r="G57" s="220"/>
      <c r="H57" s="221"/>
      <c r="I57" s="221"/>
      <c r="J57" s="236">
        <v>0.3</v>
      </c>
      <c r="K57" s="236">
        <v>0.6</v>
      </c>
      <c r="L57" s="236">
        <v>1</v>
      </c>
      <c r="M57" s="218"/>
    </row>
    <row r="58" spans="1:13" ht="24.95" hidden="1" customHeight="1">
      <c r="A58" s="628"/>
      <c r="B58" s="630"/>
      <c r="C58" s="640"/>
      <c r="D58" s="229">
        <v>1.8</v>
      </c>
      <c r="E58" s="220"/>
      <c r="F58" s="220"/>
      <c r="G58" s="220"/>
      <c r="H58" s="221"/>
      <c r="I58" s="221"/>
      <c r="J58" s="220">
        <f>+ROUND($D$57*$D$58/1000*J57,0)</f>
        <v>462</v>
      </c>
      <c r="K58" s="220">
        <f>+ROUND($D$57*$D$58/1000*K57,0)</f>
        <v>925</v>
      </c>
      <c r="L58" s="220">
        <f>+ROUND($D$57*$D$58/1000*L57,0)</f>
        <v>1542</v>
      </c>
      <c r="M58" s="218" t="s">
        <v>220</v>
      </c>
    </row>
    <row r="59" spans="1:13" ht="24.95" hidden="1" customHeight="1">
      <c r="A59" s="628"/>
      <c r="B59" s="630"/>
      <c r="C59" s="640"/>
      <c r="D59" s="229"/>
      <c r="E59" s="220"/>
      <c r="F59" s="220"/>
      <c r="G59" s="220"/>
      <c r="H59" s="221"/>
      <c r="I59" s="221"/>
      <c r="J59" s="220">
        <f>+ROUND(J58*0.9,0)</f>
        <v>416</v>
      </c>
      <c r="K59" s="220">
        <f>+ROUND(K58*0.9,0)</f>
        <v>833</v>
      </c>
      <c r="L59" s="220">
        <f>+ROUND(L58*0.9,0)</f>
        <v>1388</v>
      </c>
      <c r="M59" s="218" t="s">
        <v>152</v>
      </c>
    </row>
    <row r="60" spans="1:13" ht="24.95" hidden="1" customHeight="1">
      <c r="A60" s="628"/>
      <c r="B60" s="630"/>
      <c r="C60" s="640"/>
      <c r="D60" s="229"/>
      <c r="E60" s="220"/>
      <c r="F60" s="220"/>
      <c r="G60" s="220"/>
      <c r="H60" s="221"/>
      <c r="I60" s="221"/>
      <c r="J60" s="220">
        <f>+ROUND(J59*0.8,0)</f>
        <v>333</v>
      </c>
      <c r="K60" s="220">
        <f>+ROUND(K59*0.8,0)</f>
        <v>666</v>
      </c>
      <c r="L60" s="220">
        <f>+ROUND(L59*0.8,0)</f>
        <v>1110</v>
      </c>
      <c r="M60" s="218" t="s">
        <v>153</v>
      </c>
    </row>
    <row r="61" spans="1:13" ht="24.95" hidden="1" customHeight="1">
      <c r="A61" s="628"/>
      <c r="B61" s="630"/>
      <c r="C61" s="641"/>
      <c r="D61" s="230"/>
      <c r="E61" s="220"/>
      <c r="F61" s="220"/>
      <c r="G61" s="220"/>
      <c r="H61" s="221"/>
      <c r="I61" s="221"/>
      <c r="J61" s="220">
        <f>+ROUND(J60*2.6,0)</f>
        <v>866</v>
      </c>
      <c r="K61" s="220">
        <f>+ROUND(K60*2.6,0)</f>
        <v>1732</v>
      </c>
      <c r="L61" s="220">
        <f>+ROUND(L60*2.6,0)</f>
        <v>2886</v>
      </c>
      <c r="M61" s="218" t="s">
        <v>154</v>
      </c>
    </row>
    <row r="62" spans="1:13" ht="24.95" hidden="1" customHeight="1">
      <c r="A62" s="628"/>
      <c r="B62" s="630"/>
      <c r="C62" s="235"/>
      <c r="D62" s="230"/>
      <c r="E62" s="220"/>
      <c r="F62" s="220"/>
      <c r="G62" s="220"/>
      <c r="H62" s="221"/>
      <c r="I62" s="221"/>
      <c r="J62" s="220">
        <f>+ROUND(J58*1.3,0)</f>
        <v>601</v>
      </c>
      <c r="K62" s="220">
        <f>+ROUND(K58*1.3,0)</f>
        <v>1203</v>
      </c>
      <c r="L62" s="220">
        <f>+ROUND(L58*1.3,0)</f>
        <v>2005</v>
      </c>
      <c r="M62" s="218" t="s">
        <v>222</v>
      </c>
    </row>
    <row r="63" spans="1:13" ht="24.95" hidden="1" customHeight="1">
      <c r="A63" s="628"/>
      <c r="B63" s="634"/>
      <c r="C63" s="637" t="s">
        <v>221</v>
      </c>
      <c r="D63" s="638"/>
      <c r="E63" s="220"/>
      <c r="F63" s="220"/>
      <c r="G63" s="220"/>
      <c r="H63" s="221"/>
      <c r="I63" s="221"/>
      <c r="J63" s="220">
        <f>+J62+J61</f>
        <v>1467</v>
      </c>
      <c r="K63" s="220">
        <f>+K62+K61</f>
        <v>2935</v>
      </c>
      <c r="L63" s="220">
        <f>+L62+L61</f>
        <v>4891</v>
      </c>
      <c r="M63" s="218"/>
    </row>
    <row r="64" spans="1:13" ht="24.95" customHeight="1">
      <c r="A64" s="628"/>
      <c r="B64" s="625" t="s">
        <v>170</v>
      </c>
      <c r="C64" s="625"/>
      <c r="D64" s="625"/>
      <c r="E64" s="215"/>
      <c r="F64" s="215"/>
      <c r="G64" s="215" t="s">
        <v>137</v>
      </c>
      <c r="H64" s="222">
        <f>+H34+H41+H49</f>
        <v>0</v>
      </c>
      <c r="I64" s="222">
        <f>+I34+I41+I49</f>
        <v>247</v>
      </c>
      <c r="J64" s="222">
        <f>+J34+J41+J49</f>
        <v>1818</v>
      </c>
      <c r="K64" s="222">
        <f>+K34+K41+K49</f>
        <v>1922</v>
      </c>
      <c r="L64" s="222">
        <f>+L34+L41+L49</f>
        <v>2029</v>
      </c>
      <c r="M64" s="220"/>
    </row>
    <row r="65" spans="1:15" ht="24.95" customHeight="1">
      <c r="A65" s="628"/>
      <c r="B65" s="651" t="s">
        <v>171</v>
      </c>
      <c r="C65" s="651"/>
      <c r="D65" s="651"/>
      <c r="E65" s="215"/>
      <c r="F65" s="215"/>
      <c r="G65" s="215" t="s">
        <v>151</v>
      </c>
      <c r="H65" s="222"/>
      <c r="I65" s="222"/>
      <c r="J65" s="222"/>
      <c r="K65" s="222"/>
      <c r="L65" s="222"/>
      <c r="M65" s="224" t="s">
        <v>158</v>
      </c>
    </row>
    <row r="66" spans="1:15" ht="24.95" customHeight="1">
      <c r="A66" s="626" t="s">
        <v>159</v>
      </c>
      <c r="B66" s="626"/>
      <c r="C66" s="626"/>
      <c r="D66" s="626"/>
      <c r="E66" s="215"/>
      <c r="F66" s="215"/>
      <c r="G66" s="215" t="s">
        <v>151</v>
      </c>
      <c r="H66" s="222">
        <f>H65+H64+H28</f>
        <v>0</v>
      </c>
      <c r="I66" s="222">
        <f>I65+I64+I28</f>
        <v>963</v>
      </c>
      <c r="J66" s="222">
        <f>J65+J64+J28</f>
        <v>5921</v>
      </c>
      <c r="K66" s="222">
        <f>K65+K64+K28</f>
        <v>6025</v>
      </c>
      <c r="L66" s="222">
        <f>L65+L64+L28</f>
        <v>6132</v>
      </c>
      <c r="M66" s="228" t="s">
        <v>172</v>
      </c>
    </row>
    <row r="67" spans="1:15" ht="24.95" hidden="1" customHeight="1">
      <c r="B67" s="220" t="s">
        <v>213</v>
      </c>
      <c r="C67" s="220" t="s">
        <v>50</v>
      </c>
      <c r="D67" s="220">
        <v>9650000</v>
      </c>
    </row>
    <row r="68" spans="1:15" ht="24.95" hidden="1" customHeight="1">
      <c r="B68" s="220" t="s">
        <v>216</v>
      </c>
      <c r="C68" s="220" t="s">
        <v>50</v>
      </c>
      <c r="D68" s="220">
        <v>3670000</v>
      </c>
      <c r="H68" s="223"/>
      <c r="I68" s="223"/>
      <c r="J68" s="223"/>
      <c r="K68" s="223"/>
      <c r="L68" s="223"/>
    </row>
    <row r="69" spans="1:15" s="5" customFormat="1" ht="24.95" hidden="1" customHeight="1">
      <c r="B69" s="218" t="s">
        <v>215</v>
      </c>
      <c r="C69" s="220" t="s">
        <v>60</v>
      </c>
      <c r="D69" s="220">
        <v>1288000</v>
      </c>
    </row>
    <row r="70" spans="1:15" s="5" customFormat="1" ht="30" hidden="1" customHeight="1">
      <c r="A70" s="220"/>
      <c r="B70" s="220"/>
      <c r="C70" s="220"/>
      <c r="D70" s="220" t="s">
        <v>214</v>
      </c>
      <c r="E70" s="220" t="s">
        <v>211</v>
      </c>
      <c r="F70" s="220"/>
      <c r="G70" s="220"/>
      <c r="H70" s="220"/>
      <c r="I70" s="220">
        <v>2010</v>
      </c>
      <c r="J70" s="220">
        <v>2015</v>
      </c>
      <c r="K70" s="220">
        <v>2020</v>
      </c>
      <c r="L70" s="220">
        <v>2025</v>
      </c>
      <c r="M70" s="220"/>
      <c r="N70" s="234"/>
      <c r="O70" s="239"/>
    </row>
    <row r="71" spans="1:15" s="5" customFormat="1" ht="30" hidden="1" customHeight="1">
      <c r="A71" s="220" t="s">
        <v>210</v>
      </c>
      <c r="B71" s="629" t="s">
        <v>212</v>
      </c>
      <c r="C71" s="220" t="s">
        <v>59</v>
      </c>
      <c r="D71" s="220">
        <v>1400000</v>
      </c>
      <c r="E71" s="220">
        <v>1.8</v>
      </c>
      <c r="F71" s="220"/>
      <c r="G71" s="220"/>
      <c r="H71" s="220"/>
      <c r="I71" s="220"/>
      <c r="J71" s="236">
        <v>0.3</v>
      </c>
      <c r="K71" s="236">
        <v>0.3</v>
      </c>
      <c r="L71" s="236">
        <v>0.4</v>
      </c>
      <c r="M71" s="220"/>
      <c r="N71" s="234"/>
      <c r="O71" s="239">
        <f>ROUNDUP(D71*E71/1000,0)</f>
        <v>2520</v>
      </c>
    </row>
    <row r="72" spans="1:15" s="5" customFormat="1" ht="30" hidden="1" customHeight="1">
      <c r="A72" s="220"/>
      <c r="B72" s="630"/>
      <c r="C72" s="220"/>
      <c r="D72" s="220"/>
      <c r="E72" s="220"/>
      <c r="F72" s="220"/>
      <c r="G72" s="220"/>
      <c r="H72" s="220"/>
      <c r="I72" s="220">
        <f>ROUND($O$76*I71*0.9,0)</f>
        <v>0</v>
      </c>
      <c r="J72" s="220">
        <f>ROUND($O$71*J71*0.9,0)</f>
        <v>680</v>
      </c>
      <c r="K72" s="220">
        <f>ROUND($O$71*K71*0.9,0)</f>
        <v>680</v>
      </c>
      <c r="L72" s="220">
        <f>ROUND($O$71*L71*0.9,0)</f>
        <v>907</v>
      </c>
      <c r="M72" s="218" t="s">
        <v>152</v>
      </c>
      <c r="N72" s="234"/>
      <c r="O72" s="239"/>
    </row>
    <row r="73" spans="1:15" s="5" customFormat="1" ht="30" hidden="1" customHeight="1">
      <c r="A73" s="220"/>
      <c r="B73" s="630"/>
      <c r="C73" s="220"/>
      <c r="D73" s="220"/>
      <c r="E73" s="220"/>
      <c r="F73" s="220"/>
      <c r="G73" s="220"/>
      <c r="H73" s="220"/>
      <c r="I73" s="220">
        <f>+ROUND(I72*0.8,0)</f>
        <v>0</v>
      </c>
      <c r="J73" s="220">
        <f>+ROUND(J72*0.8,0)</f>
        <v>544</v>
      </c>
      <c r="K73" s="220">
        <f>+ROUND(K72*0.8,0)</f>
        <v>544</v>
      </c>
      <c r="L73" s="220">
        <f>+ROUND(L72*0.8,0)</f>
        <v>726</v>
      </c>
      <c r="M73" s="218" t="s">
        <v>153</v>
      </c>
      <c r="N73" s="234"/>
      <c r="O73" s="239"/>
    </row>
    <row r="74" spans="1:15" s="5" customFormat="1" ht="30" hidden="1" customHeight="1">
      <c r="A74" s="220"/>
      <c r="B74" s="630"/>
      <c r="C74" s="220"/>
      <c r="D74" s="220"/>
      <c r="E74" s="220"/>
      <c r="F74" s="220"/>
      <c r="G74" s="220"/>
      <c r="H74" s="220"/>
      <c r="I74" s="220">
        <f>+ROUNDUP(I73*2.6,0)</f>
        <v>0</v>
      </c>
      <c r="J74" s="220">
        <f>+ROUNDUP(J73*2.6,0)</f>
        <v>1415</v>
      </c>
      <c r="K74" s="220">
        <f>+ROUNDUP(K73*2.6,0)</f>
        <v>1415</v>
      </c>
      <c r="L74" s="220">
        <f>+ROUNDUP(L73*2.6,0)</f>
        <v>1888</v>
      </c>
      <c r="M74" s="218" t="s">
        <v>154</v>
      </c>
      <c r="N74" s="234"/>
      <c r="O74" s="239"/>
    </row>
    <row r="75" spans="1:15" s="5" customFormat="1" ht="30" hidden="1" customHeight="1">
      <c r="A75" s="220"/>
      <c r="B75" s="634"/>
      <c r="C75" s="220"/>
      <c r="D75" s="220"/>
      <c r="E75" s="220"/>
      <c r="F75" s="220"/>
      <c r="G75" s="220"/>
      <c r="H75" s="220"/>
      <c r="I75" s="236">
        <v>0.25</v>
      </c>
      <c r="J75" s="236">
        <v>0.5</v>
      </c>
      <c r="K75" s="236">
        <v>0.75</v>
      </c>
      <c r="L75" s="236">
        <v>1</v>
      </c>
      <c r="M75" s="220"/>
      <c r="N75" s="234"/>
      <c r="O75" s="239"/>
    </row>
    <row r="76" spans="1:15" s="5" customFormat="1" ht="30" hidden="1" customHeight="1">
      <c r="A76" s="220"/>
      <c r="B76" s="629" t="s">
        <v>217</v>
      </c>
      <c r="C76" s="220" t="s">
        <v>61</v>
      </c>
      <c r="D76" s="220">
        <v>247734</v>
      </c>
      <c r="E76" s="220">
        <v>1.8</v>
      </c>
      <c r="F76" s="220">
        <v>2009</v>
      </c>
      <c r="G76" s="220"/>
      <c r="H76" s="220"/>
      <c r="I76" s="220">
        <f>ROUND($O$76*I75*0.9,0)</f>
        <v>100</v>
      </c>
      <c r="J76" s="220">
        <f>ROUND($O$76*J75*0.9,0)</f>
        <v>201</v>
      </c>
      <c r="K76" s="220">
        <f>ROUND($O$76*K75*0.9,0)</f>
        <v>301</v>
      </c>
      <c r="L76" s="220">
        <f>ROUND($O$76*L75*0.9,0)</f>
        <v>401</v>
      </c>
      <c r="M76" s="218" t="s">
        <v>152</v>
      </c>
      <c r="N76" s="234"/>
      <c r="O76" s="239">
        <f>ROUNDUP(D76*E76/1000,0)</f>
        <v>446</v>
      </c>
    </row>
    <row r="77" spans="1:15" s="5" customFormat="1" ht="30" hidden="1" customHeight="1">
      <c r="A77" s="220"/>
      <c r="B77" s="630"/>
      <c r="C77" s="220"/>
      <c r="D77" s="220"/>
      <c r="E77" s="220"/>
      <c r="F77" s="220"/>
      <c r="G77" s="220"/>
      <c r="H77" s="220"/>
      <c r="I77" s="220">
        <f>+ROUND(I76*0.8,0)</f>
        <v>80</v>
      </c>
      <c r="J77" s="220">
        <f>+ROUND(J76*0.8,0)</f>
        <v>161</v>
      </c>
      <c r="K77" s="220">
        <f>+ROUND(K76*0.8,0)</f>
        <v>241</v>
      </c>
      <c r="L77" s="220">
        <f>+ROUND(L76*0.8,0)</f>
        <v>321</v>
      </c>
      <c r="M77" s="218" t="s">
        <v>153</v>
      </c>
      <c r="N77" s="234"/>
      <c r="O77" s="239"/>
    </row>
    <row r="78" spans="1:15" s="5" customFormat="1" ht="30" hidden="1" customHeight="1">
      <c r="A78" s="220"/>
      <c r="B78" s="630"/>
      <c r="C78" s="220"/>
      <c r="D78" s="220"/>
      <c r="E78" s="220"/>
      <c r="F78" s="220"/>
      <c r="G78" s="220"/>
      <c r="H78" s="220"/>
      <c r="I78" s="220">
        <f>+ROUNDUP(I77*2.6,0)</f>
        <v>208</v>
      </c>
      <c r="J78" s="220">
        <f>+ROUNDUP(J77*2.6,0)</f>
        <v>419</v>
      </c>
      <c r="K78" s="220">
        <f>+ROUNDUP(K77*2.6,0)</f>
        <v>627</v>
      </c>
      <c r="L78" s="220">
        <f>+ROUNDUP(L77*2.6,0)</f>
        <v>835</v>
      </c>
      <c r="M78" s="218" t="s">
        <v>154</v>
      </c>
      <c r="N78" s="234"/>
      <c r="O78" s="239"/>
    </row>
    <row r="79" spans="1:15" s="5" customFormat="1" ht="30" hidden="1" customHeight="1">
      <c r="A79" s="220"/>
      <c r="B79" s="634"/>
      <c r="C79" s="220"/>
      <c r="D79" s="220"/>
      <c r="E79" s="220"/>
      <c r="F79" s="220"/>
      <c r="G79" s="220"/>
      <c r="H79" s="220"/>
      <c r="I79" s="220"/>
      <c r="J79" s="220"/>
      <c r="K79" s="220"/>
      <c r="L79" s="220"/>
      <c r="M79" s="220"/>
      <c r="N79" s="234"/>
      <c r="O79" s="239"/>
    </row>
    <row r="80" spans="1:15" s="5" customFormat="1" ht="30" hidden="1" customHeight="1">
      <c r="A80" s="220"/>
      <c r="B80" s="220" t="s">
        <v>218</v>
      </c>
      <c r="C80" s="220" t="s">
        <v>61</v>
      </c>
      <c r="D80" s="220">
        <v>923000</v>
      </c>
      <c r="E80" s="220">
        <v>1.8</v>
      </c>
      <c r="F80" s="220">
        <v>2012</v>
      </c>
      <c r="G80" s="220"/>
      <c r="H80" s="220"/>
      <c r="I80" s="236"/>
      <c r="J80" s="236">
        <v>0.3</v>
      </c>
      <c r="K80" s="236">
        <v>0.3</v>
      </c>
      <c r="L80" s="236">
        <v>1</v>
      </c>
      <c r="M80" s="220"/>
      <c r="N80" s="234"/>
      <c r="O80" s="239">
        <f>ROUNDUP(D80*E80/1000,0)</f>
        <v>1662</v>
      </c>
    </row>
    <row r="81" spans="1:15" s="5" customFormat="1" ht="30" hidden="1" customHeight="1">
      <c r="A81" s="220"/>
      <c r="B81" s="220"/>
      <c r="C81" s="220"/>
      <c r="D81" s="220"/>
      <c r="E81" s="220"/>
      <c r="F81" s="220"/>
      <c r="G81" s="220"/>
      <c r="H81" s="220"/>
      <c r="I81" s="220">
        <f>ROUND($O$80*I80*0.9,0)</f>
        <v>0</v>
      </c>
      <c r="J81" s="220">
        <f>ROUND($O$80*J80*0.9,0)</f>
        <v>449</v>
      </c>
      <c r="K81" s="220">
        <f>ROUND($O$80*K80*0.9,0)</f>
        <v>449</v>
      </c>
      <c r="L81" s="220">
        <f>ROUND($O$80*L80*0.9,0)</f>
        <v>1496</v>
      </c>
      <c r="M81" s="218" t="s">
        <v>152</v>
      </c>
      <c r="N81" s="234"/>
      <c r="O81" s="239"/>
    </row>
    <row r="82" spans="1:15" s="5" customFormat="1" ht="30" hidden="1" customHeight="1">
      <c r="A82" s="220"/>
      <c r="B82" s="220"/>
      <c r="C82" s="220"/>
      <c r="D82" s="220"/>
      <c r="E82" s="220"/>
      <c r="F82" s="220"/>
      <c r="G82" s="220"/>
      <c r="H82" s="220"/>
      <c r="I82" s="220">
        <f>+ROUND(I81*0.8,0)</f>
        <v>0</v>
      </c>
      <c r="J82" s="220">
        <f>+ROUND(J81*0.8,0)</f>
        <v>359</v>
      </c>
      <c r="K82" s="220">
        <f>+ROUND(K81*0.8,0)</f>
        <v>359</v>
      </c>
      <c r="L82" s="220">
        <f>+ROUND(L81*0.8,0)</f>
        <v>1197</v>
      </c>
      <c r="M82" s="218" t="s">
        <v>153</v>
      </c>
      <c r="N82" s="234"/>
      <c r="O82" s="239"/>
    </row>
    <row r="83" spans="1:15" s="5" customFormat="1" ht="30" hidden="1" customHeight="1">
      <c r="A83" s="220"/>
      <c r="B83" s="220"/>
      <c r="C83" s="220"/>
      <c r="D83" s="220"/>
      <c r="E83" s="220"/>
      <c r="F83" s="220"/>
      <c r="G83" s="220"/>
      <c r="H83" s="220"/>
      <c r="I83" s="220">
        <f>+ROUNDUP(I82*2.6,0)</f>
        <v>0</v>
      </c>
      <c r="J83" s="220">
        <f>+ROUNDUP(J82*2.6,0)</f>
        <v>934</v>
      </c>
      <c r="K83" s="220">
        <f>+ROUNDUP(K82*2.6,0)</f>
        <v>934</v>
      </c>
      <c r="L83" s="220">
        <f>+ROUNDUP(L82*2.6,0)</f>
        <v>3113</v>
      </c>
      <c r="M83" s="218" t="s">
        <v>154</v>
      </c>
      <c r="N83" s="234"/>
      <c r="O83" s="239"/>
    </row>
    <row r="84" spans="1:15" s="5" customFormat="1" ht="30" hidden="1" customHeight="1">
      <c r="A84" s="220"/>
      <c r="B84" s="220" t="s">
        <v>213</v>
      </c>
      <c r="C84" s="220" t="s">
        <v>50</v>
      </c>
      <c r="D84" s="220">
        <v>9650000</v>
      </c>
      <c r="E84" s="220">
        <v>1.8</v>
      </c>
      <c r="F84" s="220"/>
      <c r="G84" s="220"/>
      <c r="H84" s="220"/>
      <c r="I84" s="220"/>
      <c r="J84" s="220"/>
      <c r="K84" s="220"/>
      <c r="L84" s="220"/>
      <c r="M84" s="220"/>
      <c r="N84" s="234"/>
      <c r="O84" s="239">
        <f>ROUNDUP(D84*E84/1000,0)</f>
        <v>17370</v>
      </c>
    </row>
    <row r="85" spans="1:15" s="5" customFormat="1" ht="30" hidden="1" customHeight="1">
      <c r="A85" s="220"/>
      <c r="B85" s="220" t="s">
        <v>216</v>
      </c>
      <c r="C85" s="220" t="s">
        <v>50</v>
      </c>
      <c r="D85" s="220">
        <v>3670000</v>
      </c>
      <c r="E85" s="220">
        <v>1.8</v>
      </c>
      <c r="F85" s="220"/>
      <c r="G85" s="220"/>
      <c r="H85" s="220"/>
      <c r="I85" s="220"/>
      <c r="J85" s="220"/>
      <c r="K85" s="220"/>
      <c r="L85" s="220"/>
      <c r="M85" s="220"/>
      <c r="N85" s="234"/>
      <c r="O85" s="239">
        <f>ROUNDUP(D85*E85/1000,0)</f>
        <v>6606</v>
      </c>
    </row>
    <row r="86" spans="1:15" s="5" customFormat="1" ht="30" hidden="1" customHeight="1">
      <c r="A86" s="220"/>
      <c r="B86" s="218" t="s">
        <v>215</v>
      </c>
      <c r="C86" s="220" t="s">
        <v>60</v>
      </c>
      <c r="D86" s="220">
        <v>1288000</v>
      </c>
      <c r="E86" s="220">
        <v>1.8</v>
      </c>
      <c r="F86" s="220"/>
      <c r="G86" s="220"/>
      <c r="H86" s="220"/>
      <c r="I86" s="220"/>
      <c r="J86" s="220"/>
      <c r="K86" s="220"/>
      <c r="L86" s="220"/>
      <c r="M86" s="220"/>
      <c r="N86" s="234"/>
      <c r="O86" s="239">
        <f>ROUNDUP(D86*E86/1000,0)</f>
        <v>2319</v>
      </c>
    </row>
    <row r="87" spans="1:15" s="5" customFormat="1" ht="30" hidden="1" customHeight="1">
      <c r="I87" s="236"/>
      <c r="J87" s="236"/>
      <c r="K87" s="236"/>
      <c r="L87" s="236"/>
      <c r="M87" s="220"/>
    </row>
    <row r="88" spans="1:15" s="5" customFormat="1" ht="30" hidden="1" customHeight="1">
      <c r="I88" s="220"/>
      <c r="J88" s="220"/>
      <c r="K88" s="220"/>
      <c r="L88" s="220"/>
      <c r="M88" s="218"/>
    </row>
    <row r="89" spans="1:15" s="5" customFormat="1" ht="30" hidden="1" customHeight="1">
      <c r="I89" s="220"/>
      <c r="J89" s="220"/>
      <c r="K89" s="220"/>
      <c r="L89" s="220"/>
      <c r="M89" s="218"/>
    </row>
    <row r="90" spans="1:15" s="5" customFormat="1" ht="30" hidden="1" customHeight="1">
      <c r="I90" s="220"/>
      <c r="J90" s="220"/>
      <c r="K90" s="220"/>
      <c r="L90" s="220"/>
      <c r="M90" s="218"/>
    </row>
    <row r="91" spans="1:15" s="5" customFormat="1" ht="30" customHeight="1"/>
    <row r="92" spans="1:15" s="5" customFormat="1" ht="30" customHeight="1"/>
    <row r="93" spans="1:15" s="5" customFormat="1" ht="30" customHeight="1">
      <c r="A93" s="399" t="s">
        <v>317</v>
      </c>
      <c r="B93" s="220"/>
      <c r="C93" s="220">
        <v>1.8</v>
      </c>
      <c r="D93" s="220" t="s">
        <v>330</v>
      </c>
      <c r="E93" s="5" t="s">
        <v>331</v>
      </c>
      <c r="F93" s="5" t="s">
        <v>41</v>
      </c>
      <c r="L93" s="237"/>
    </row>
    <row r="94" spans="1:15" s="5" customFormat="1" ht="30" customHeight="1">
      <c r="A94" s="399"/>
      <c r="B94" s="220"/>
      <c r="C94" s="221">
        <v>923000</v>
      </c>
      <c r="D94" s="220">
        <f>ROUND(C94/1000*C93,0)</f>
        <v>1661</v>
      </c>
      <c r="L94" s="237"/>
    </row>
    <row r="95" spans="1:15" s="5" customFormat="1" ht="30" hidden="1" customHeight="1">
      <c r="A95" s="220"/>
      <c r="B95" s="220" t="s">
        <v>318</v>
      </c>
      <c r="C95" s="221">
        <v>125000</v>
      </c>
      <c r="D95" s="220">
        <v>1.77</v>
      </c>
      <c r="E95" s="5">
        <v>5165.2</v>
      </c>
      <c r="F95" s="5">
        <f>ROUND(C95/1000*D95,0)</f>
        <v>221</v>
      </c>
      <c r="G95" s="5">
        <f>+ROUND(C95/1000*E95,0)</f>
        <v>645650</v>
      </c>
    </row>
    <row r="96" spans="1:15" s="5" customFormat="1" ht="30" hidden="1" customHeight="1">
      <c r="A96" s="220"/>
      <c r="B96" s="220" t="s">
        <v>319</v>
      </c>
      <c r="C96" s="221">
        <v>72000</v>
      </c>
      <c r="D96" s="220">
        <v>5.05</v>
      </c>
      <c r="E96" s="5">
        <v>2298.8000000000002</v>
      </c>
      <c r="F96" s="5">
        <f t="shared" ref="F96:F104" si="4">ROUND(C96/1000*D96,0)</f>
        <v>364</v>
      </c>
      <c r="G96" s="5">
        <f t="shared" ref="G96:G104" si="5">+ROUND(C96/1000*E96,0)</f>
        <v>165514</v>
      </c>
    </row>
    <row r="97" spans="1:14" s="5" customFormat="1" ht="30" hidden="1" customHeight="1">
      <c r="A97" s="220"/>
      <c r="B97" s="220" t="s">
        <v>320</v>
      </c>
      <c r="C97" s="221">
        <v>133000</v>
      </c>
      <c r="D97" s="220">
        <v>1.24</v>
      </c>
      <c r="E97" s="5">
        <v>1527.5</v>
      </c>
      <c r="F97" s="5">
        <f t="shared" si="4"/>
        <v>165</v>
      </c>
      <c r="G97" s="5">
        <f t="shared" si="5"/>
        <v>203158</v>
      </c>
    </row>
    <row r="98" spans="1:14" ht="30" hidden="1" customHeight="1">
      <c r="A98" s="220"/>
      <c r="B98" s="220" t="s">
        <v>321</v>
      </c>
      <c r="C98" s="221">
        <v>120000</v>
      </c>
      <c r="D98" s="220">
        <v>3.41</v>
      </c>
      <c r="E98" s="5">
        <v>1249.9000000000001</v>
      </c>
      <c r="F98" s="5">
        <f t="shared" si="4"/>
        <v>409</v>
      </c>
      <c r="G98" s="5">
        <f t="shared" si="5"/>
        <v>149988</v>
      </c>
      <c r="H98" s="5"/>
      <c r="I98" s="5"/>
      <c r="J98" s="5"/>
      <c r="K98" s="5"/>
      <c r="L98" s="5"/>
      <c r="M98" s="5"/>
      <c r="N98" s="5"/>
    </row>
    <row r="99" spans="1:14" ht="30" hidden="1" customHeight="1">
      <c r="A99" s="220"/>
      <c r="B99" s="220" t="s">
        <v>322</v>
      </c>
      <c r="C99" s="221">
        <v>15000</v>
      </c>
      <c r="D99" s="220">
        <v>1.65</v>
      </c>
      <c r="E99" s="5">
        <v>4679.2</v>
      </c>
      <c r="F99" s="5">
        <f t="shared" si="4"/>
        <v>25</v>
      </c>
      <c r="G99" s="5">
        <f t="shared" si="5"/>
        <v>70188</v>
      </c>
      <c r="H99" s="5"/>
      <c r="I99" s="5"/>
      <c r="J99" s="5"/>
      <c r="K99" s="5"/>
      <c r="L99" s="5"/>
      <c r="M99" s="5"/>
      <c r="N99" s="5"/>
    </row>
    <row r="100" spans="1:14" ht="30" hidden="1" customHeight="1">
      <c r="A100" s="220"/>
      <c r="B100" s="220" t="s">
        <v>323</v>
      </c>
      <c r="C100" s="221">
        <v>90000</v>
      </c>
      <c r="D100" s="220">
        <v>6.22</v>
      </c>
      <c r="E100" s="5">
        <v>2454</v>
      </c>
      <c r="F100" s="5">
        <f t="shared" si="4"/>
        <v>560</v>
      </c>
      <c r="G100" s="5">
        <f t="shared" si="5"/>
        <v>220860</v>
      </c>
      <c r="H100" s="5"/>
      <c r="I100" s="5"/>
      <c r="J100" s="5"/>
      <c r="K100" s="5"/>
      <c r="L100" s="5"/>
      <c r="M100" s="5"/>
      <c r="N100" s="5"/>
    </row>
    <row r="101" spans="1:14" ht="30" hidden="1" customHeight="1">
      <c r="A101" s="220"/>
      <c r="B101" s="220" t="s">
        <v>324</v>
      </c>
      <c r="C101" s="221">
        <v>11000</v>
      </c>
      <c r="D101" s="220">
        <v>7.15</v>
      </c>
      <c r="E101" s="5">
        <v>2630</v>
      </c>
      <c r="F101" s="5">
        <f t="shared" si="4"/>
        <v>79</v>
      </c>
      <c r="G101" s="5">
        <f t="shared" si="5"/>
        <v>28930</v>
      </c>
      <c r="H101" s="5"/>
      <c r="I101" s="5"/>
      <c r="J101" s="5"/>
      <c r="K101" s="5"/>
      <c r="L101" s="5"/>
      <c r="M101" s="5"/>
      <c r="N101" s="5"/>
    </row>
    <row r="102" spans="1:14" ht="30" hidden="1" customHeight="1">
      <c r="A102" s="220"/>
      <c r="B102" s="220" t="s">
        <v>325</v>
      </c>
      <c r="C102" s="221">
        <v>10000</v>
      </c>
      <c r="D102" s="220">
        <v>10.29</v>
      </c>
      <c r="E102" s="5">
        <v>10564.2</v>
      </c>
      <c r="F102" s="5">
        <f t="shared" si="4"/>
        <v>103</v>
      </c>
      <c r="G102" s="5">
        <f t="shared" si="5"/>
        <v>105642</v>
      </c>
      <c r="H102" s="5"/>
      <c r="I102" s="5"/>
      <c r="J102" s="5"/>
      <c r="K102" s="5"/>
      <c r="L102" s="5"/>
      <c r="M102" s="5"/>
      <c r="N102" s="5"/>
    </row>
    <row r="103" spans="1:14" ht="30" hidden="1" customHeight="1">
      <c r="A103" s="220"/>
      <c r="B103" s="220" t="s">
        <v>326</v>
      </c>
      <c r="C103" s="221">
        <v>18000</v>
      </c>
      <c r="D103" s="220">
        <v>12.6</v>
      </c>
      <c r="E103" s="5">
        <v>4214.1000000000004</v>
      </c>
      <c r="F103" s="5">
        <f t="shared" si="4"/>
        <v>227</v>
      </c>
      <c r="G103" s="5">
        <f t="shared" si="5"/>
        <v>75854</v>
      </c>
      <c r="H103" s="5"/>
      <c r="I103" s="5"/>
      <c r="J103" s="5"/>
      <c r="K103" s="5"/>
      <c r="L103" s="5"/>
      <c r="M103" s="5"/>
      <c r="N103" s="5"/>
    </row>
    <row r="104" spans="1:14" ht="30" hidden="1" customHeight="1">
      <c r="A104" s="220"/>
      <c r="B104" s="220" t="s">
        <v>327</v>
      </c>
      <c r="C104" s="221">
        <v>3000</v>
      </c>
      <c r="D104" s="220">
        <v>4.1100000000000003</v>
      </c>
      <c r="E104" s="5">
        <v>6070.1</v>
      </c>
      <c r="F104" s="5">
        <f t="shared" si="4"/>
        <v>12</v>
      </c>
      <c r="G104" s="5">
        <f t="shared" si="5"/>
        <v>18210</v>
      </c>
      <c r="H104" s="5"/>
      <c r="I104" s="5"/>
      <c r="J104" s="5"/>
      <c r="K104" s="5"/>
      <c r="L104" s="5"/>
      <c r="M104" s="5"/>
      <c r="N104" s="5"/>
    </row>
    <row r="105" spans="1:14" ht="30" hidden="1" customHeight="1">
      <c r="A105" s="220"/>
      <c r="B105" s="220" t="s">
        <v>328</v>
      </c>
      <c r="C105" s="221">
        <v>13000</v>
      </c>
      <c r="D105" s="220"/>
      <c r="E105" s="5"/>
      <c r="F105" s="5"/>
      <c r="G105" s="5"/>
      <c r="H105" s="5"/>
      <c r="I105" s="5"/>
      <c r="J105" s="5"/>
      <c r="K105" s="5"/>
      <c r="L105" s="5"/>
      <c r="M105" s="5"/>
      <c r="N105" s="5"/>
    </row>
    <row r="106" spans="1:14" ht="30" hidden="1" customHeight="1">
      <c r="A106" s="220"/>
      <c r="B106" s="220" t="s">
        <v>329</v>
      </c>
      <c r="C106" s="221">
        <v>32000</v>
      </c>
      <c r="D106" s="220"/>
      <c r="E106" s="5"/>
      <c r="F106" s="5"/>
      <c r="G106" s="5"/>
      <c r="H106" s="5"/>
      <c r="I106" s="5"/>
      <c r="J106" s="5"/>
      <c r="K106" s="5"/>
      <c r="L106" s="5"/>
      <c r="M106" s="5"/>
      <c r="N106" s="5"/>
    </row>
    <row r="107" spans="1:14" ht="30" hidden="1" customHeight="1">
      <c r="A107" s="220"/>
      <c r="B107" s="220"/>
      <c r="C107" s="221">
        <v>96000</v>
      </c>
      <c r="D107" s="220"/>
      <c r="E107" s="5"/>
      <c r="F107" s="5"/>
      <c r="G107" s="5"/>
      <c r="H107" s="5"/>
      <c r="I107" s="5"/>
      <c r="J107" s="5"/>
      <c r="K107" s="5"/>
      <c r="L107" s="5"/>
      <c r="M107" s="5"/>
      <c r="N107" s="5"/>
    </row>
    <row r="108" spans="1:14" ht="24.95" customHeight="1">
      <c r="A108" s="399" t="s">
        <v>332</v>
      </c>
      <c r="B108" s="220"/>
      <c r="C108" s="221"/>
      <c r="D108" s="220"/>
      <c r="E108" s="5"/>
      <c r="F108" s="5"/>
      <c r="G108" s="5"/>
      <c r="H108" s="5"/>
      <c r="I108" s="5"/>
      <c r="J108" s="5"/>
      <c r="K108" s="5"/>
      <c r="L108" s="5"/>
      <c r="M108" s="5"/>
      <c r="N108" s="5"/>
    </row>
    <row r="109" spans="1:14" ht="24.95" customHeight="1">
      <c r="A109" s="399" t="s">
        <v>333</v>
      </c>
      <c r="B109" s="220"/>
      <c r="C109" s="221">
        <v>364000</v>
      </c>
      <c r="D109" s="220">
        <f>ROUND(C109/1000*$C$93,0)</f>
        <v>655</v>
      </c>
      <c r="E109" s="5"/>
      <c r="F109" s="5"/>
      <c r="G109" s="5"/>
      <c r="H109" s="5"/>
      <c r="I109" s="5"/>
      <c r="J109" s="5"/>
      <c r="K109" s="5"/>
      <c r="L109" s="5"/>
      <c r="M109" s="5"/>
      <c r="N109" s="5"/>
    </row>
    <row r="110" spans="1:14" ht="24.95" customHeight="1">
      <c r="A110" s="399" t="s">
        <v>334</v>
      </c>
      <c r="B110" s="220"/>
      <c r="C110" s="221">
        <v>391000</v>
      </c>
      <c r="D110" s="220">
        <f>ROUND(C110/1000*$C$93,0)</f>
        <v>704</v>
      </c>
      <c r="E110" s="5"/>
      <c r="F110" s="5"/>
      <c r="G110" s="5"/>
      <c r="H110" s="5"/>
      <c r="I110" s="5"/>
      <c r="J110" s="5"/>
      <c r="K110" s="5"/>
      <c r="L110" s="5"/>
      <c r="M110" s="5"/>
      <c r="N110" s="5"/>
    </row>
    <row r="111" spans="1:14" ht="24.95" customHeight="1">
      <c r="A111" s="220"/>
      <c r="B111" s="236">
        <v>0.5</v>
      </c>
      <c r="C111" s="236">
        <v>0.9</v>
      </c>
      <c r="D111" s="220">
        <f>+D110+D109+D94</f>
        <v>3020</v>
      </c>
      <c r="E111" s="5"/>
      <c r="F111" s="5"/>
      <c r="G111" s="5"/>
      <c r="H111" s="5"/>
      <c r="I111" s="5"/>
      <c r="J111" s="5"/>
      <c r="K111" s="5"/>
      <c r="L111" s="5"/>
      <c r="M111" s="5"/>
      <c r="N111" s="5"/>
    </row>
    <row r="112" spans="1:14" ht="24.95" customHeight="1">
      <c r="A112" s="220"/>
      <c r="B112" s="220"/>
      <c r="C112" s="236">
        <v>0.8</v>
      </c>
      <c r="D112" s="220">
        <f>ROUND(D111*C111*C112*C113*B111,0)</f>
        <v>2827</v>
      </c>
      <c r="E112" s="5"/>
      <c r="F112" s="5"/>
      <c r="G112" s="5"/>
      <c r="H112" s="5"/>
      <c r="I112" s="5"/>
      <c r="J112" s="5"/>
      <c r="K112" s="5"/>
      <c r="L112" s="5"/>
      <c r="M112" s="5"/>
      <c r="N112" s="5"/>
    </row>
    <row r="113" spans="1:14" ht="24.95" customHeight="1">
      <c r="A113" s="220"/>
      <c r="B113" s="220"/>
      <c r="C113" s="220">
        <v>2.6</v>
      </c>
      <c r="D113" s="220"/>
      <c r="E113" s="5"/>
      <c r="F113" s="5"/>
      <c r="G113" s="5"/>
      <c r="H113" s="5"/>
      <c r="I113" s="5"/>
      <c r="J113" s="5"/>
      <c r="K113" s="5"/>
      <c r="L113" s="5"/>
      <c r="M113" s="5"/>
      <c r="N113" s="5"/>
    </row>
    <row r="114" spans="1:14" ht="24.95" customHeight="1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</row>
    <row r="115" spans="1:14" ht="24.95" customHeight="1">
      <c r="A115" s="5"/>
      <c r="B115" s="5"/>
      <c r="C115" s="5"/>
      <c r="D115" s="5"/>
      <c r="E115" s="5"/>
      <c r="F115" s="5"/>
      <c r="G115" s="5"/>
      <c r="H115" s="5"/>
      <c r="I115" s="5"/>
      <c r="J115" s="649" t="s">
        <v>335</v>
      </c>
    </row>
    <row r="116" spans="1:14" ht="24.95" customHeight="1">
      <c r="A116" s="5"/>
      <c r="B116" s="5"/>
      <c r="C116" s="5"/>
      <c r="D116" s="5"/>
      <c r="E116" s="5"/>
      <c r="F116" s="5"/>
      <c r="G116" s="5"/>
      <c r="H116" s="5"/>
      <c r="I116" s="5"/>
      <c r="J116" s="649"/>
    </row>
    <row r="117" spans="1:14" ht="24.95" customHeight="1">
      <c r="A117" s="5"/>
      <c r="B117" s="5"/>
      <c r="C117" s="5"/>
      <c r="D117" s="5"/>
      <c r="E117" s="5"/>
      <c r="F117" s="5"/>
      <c r="G117" s="5"/>
      <c r="H117" s="5"/>
      <c r="I117" s="5"/>
      <c r="J117" s="282" t="s">
        <v>336</v>
      </c>
    </row>
    <row r="118" spans="1:14" ht="24.95" customHeight="1">
      <c r="A118" s="5"/>
      <c r="B118" s="5"/>
      <c r="C118" s="5"/>
      <c r="D118" s="5"/>
      <c r="E118" s="5"/>
      <c r="F118" s="5"/>
      <c r="G118" s="5"/>
      <c r="H118" s="5"/>
      <c r="I118" s="5"/>
      <c r="J118" s="648" t="s">
        <v>337</v>
      </c>
    </row>
    <row r="119" spans="1:14" ht="24.95" customHeight="1">
      <c r="A119" s="5"/>
      <c r="B119" s="5"/>
      <c r="C119" s="5"/>
      <c r="D119" s="5"/>
      <c r="E119" s="5"/>
      <c r="F119" s="5"/>
      <c r="G119" s="5"/>
      <c r="H119" s="5"/>
      <c r="I119" s="5"/>
      <c r="J119" s="648"/>
    </row>
    <row r="120" spans="1:14" ht="24.95" customHeight="1">
      <c r="A120" s="5"/>
      <c r="B120" s="5"/>
      <c r="C120" s="5"/>
      <c r="D120" s="5"/>
      <c r="E120" s="5"/>
      <c r="F120" s="5"/>
      <c r="G120" s="5"/>
      <c r="H120" s="5"/>
      <c r="I120" s="5"/>
      <c r="J120" s="648"/>
    </row>
    <row r="121" spans="1:14" ht="24.95" customHeight="1">
      <c r="A121" s="5"/>
      <c r="B121" s="5"/>
      <c r="C121" s="5"/>
      <c r="D121" s="5"/>
      <c r="E121" s="5"/>
      <c r="F121" s="5"/>
      <c r="G121" s="5"/>
      <c r="H121" s="5"/>
      <c r="I121" s="5"/>
      <c r="J121" s="648"/>
    </row>
    <row r="122" spans="1:14" ht="24.95" customHeight="1">
      <c r="J122" s="648"/>
    </row>
    <row r="123" spans="1:14" ht="24.95" customHeight="1">
      <c r="J123" s="648"/>
    </row>
    <row r="124" spans="1:14" ht="24.95" customHeight="1">
      <c r="J124" s="648" t="s">
        <v>338</v>
      </c>
    </row>
    <row r="125" spans="1:14" ht="24.95" customHeight="1">
      <c r="J125" s="648"/>
    </row>
    <row r="126" spans="1:14" ht="24.95" customHeight="1">
      <c r="J126" s="648"/>
    </row>
    <row r="127" spans="1:14" ht="24.95" customHeight="1">
      <c r="J127" s="648"/>
    </row>
    <row r="128" spans="1:14" ht="24.95" customHeight="1">
      <c r="J128" s="648"/>
    </row>
    <row r="129" spans="10:10" ht="24.95" customHeight="1">
      <c r="J129" s="648"/>
    </row>
    <row r="130" spans="10:10" ht="24.95" customHeight="1">
      <c r="J130" s="648"/>
    </row>
    <row r="131" spans="10:10" ht="24.95" customHeight="1">
      <c r="J131" s="648"/>
    </row>
    <row r="132" spans="10:10" ht="24.95" customHeight="1">
      <c r="J132" s="648"/>
    </row>
    <row r="133" spans="10:10" ht="24.95" customHeight="1">
      <c r="J133" s="648" t="s">
        <v>339</v>
      </c>
    </row>
    <row r="134" spans="10:10" ht="24.95" customHeight="1">
      <c r="J134" s="648"/>
    </row>
    <row r="135" spans="10:10" ht="24.95" customHeight="1">
      <c r="J135" s="648" t="s">
        <v>340</v>
      </c>
    </row>
    <row r="136" spans="10:10" ht="24.95" customHeight="1">
      <c r="J136" s="648"/>
    </row>
    <row r="137" spans="10:10" ht="24.95" customHeight="1">
      <c r="J137" s="648"/>
    </row>
    <row r="138" spans="10:10" ht="24.95" customHeight="1">
      <c r="J138" s="282" t="s">
        <v>341</v>
      </c>
    </row>
    <row r="139" spans="10:10" ht="24.95" customHeight="1"/>
    <row r="140" spans="10:10" ht="24.95" customHeight="1"/>
    <row r="141" spans="10:10" ht="24.95" customHeight="1"/>
    <row r="142" spans="10:10" ht="24.95" customHeight="1"/>
    <row r="143" spans="10:10" ht="24.95" customHeight="1"/>
    <row r="144" spans="10:10" ht="24.95" customHeight="1"/>
    <row r="145" ht="24.95" customHeight="1"/>
    <row r="146" ht="24.95" customHeight="1"/>
    <row r="147" ht="24.95" customHeight="1"/>
    <row r="148" ht="24.95" customHeight="1"/>
    <row r="149" ht="24.95" customHeight="1"/>
    <row r="150" ht="24.95" customHeight="1"/>
    <row r="151" ht="24.95" customHeight="1"/>
    <row r="152" ht="24.95" customHeight="1"/>
    <row r="153" ht="24.95" customHeight="1"/>
    <row r="154" ht="24.95" customHeight="1"/>
    <row r="155" ht="24.95" customHeight="1"/>
    <row r="156" ht="24.95" customHeight="1"/>
    <row r="157" ht="24.95" customHeight="1"/>
    <row r="158" ht="24.95" customHeight="1"/>
    <row r="159" ht="24.95" customHeight="1"/>
    <row r="160" ht="24.95" customHeight="1"/>
    <row r="161" ht="24.95" customHeight="1"/>
    <row r="162" ht="24.95" customHeight="1"/>
    <row r="163" ht="24.95" customHeight="1"/>
    <row r="164" ht="24.95" customHeight="1"/>
    <row r="165" ht="24.95" customHeight="1"/>
    <row r="166" ht="24.95" customHeight="1"/>
    <row r="167" ht="24.95" customHeight="1"/>
    <row r="168" ht="24.95" customHeight="1"/>
    <row r="169" ht="24.95" customHeight="1"/>
    <row r="170" ht="24.95" customHeight="1"/>
    <row r="171" ht="24.95" customHeight="1"/>
    <row r="172" ht="24.95" customHeight="1"/>
    <row r="173" ht="24.95" customHeight="1"/>
    <row r="174" ht="24.95" customHeight="1"/>
    <row r="175" ht="24.95" customHeight="1"/>
    <row r="176" ht="24.95" customHeight="1"/>
    <row r="177" ht="24.95" customHeight="1"/>
    <row r="178" ht="24.95" customHeight="1"/>
    <row r="179" ht="24.95" customHeight="1"/>
    <row r="180" ht="24.95" customHeight="1"/>
    <row r="181" ht="24.95" customHeight="1"/>
    <row r="182" ht="24.95" customHeight="1"/>
    <row r="183" ht="24.95" customHeight="1"/>
    <row r="184" ht="24.95" customHeight="1"/>
    <row r="185" ht="24.95" customHeight="1"/>
    <row r="186" ht="24.95" customHeight="1"/>
    <row r="187" ht="24.95" customHeight="1"/>
    <row r="188" ht="24.95" customHeight="1"/>
    <row r="189" ht="24.95" customHeight="1"/>
    <row r="190" ht="24.95" customHeight="1"/>
    <row r="191" ht="24.95" customHeight="1"/>
    <row r="192" ht="24.95" customHeight="1"/>
    <row r="193" ht="24.95" customHeight="1"/>
    <row r="194" ht="24.95" customHeight="1"/>
    <row r="195" ht="24.95" customHeight="1"/>
    <row r="196" ht="24.95" customHeight="1"/>
    <row r="197" ht="24.95" customHeight="1"/>
    <row r="198" ht="24.95" customHeight="1"/>
    <row r="199" ht="24.95" customHeight="1"/>
    <row r="200" ht="24.95" customHeight="1"/>
    <row r="201" ht="24.95" customHeight="1"/>
    <row r="202" ht="24.95" customHeight="1"/>
    <row r="203" ht="24.95" customHeight="1"/>
    <row r="204" ht="24.95" customHeight="1"/>
    <row r="205" ht="24.95" customHeight="1"/>
    <row r="206" ht="24.95" customHeight="1"/>
    <row r="207" ht="24.95" customHeight="1"/>
    <row r="208" ht="24.95" customHeight="1"/>
    <row r="209" ht="24.95" customHeight="1"/>
    <row r="210" ht="24.95" customHeight="1"/>
    <row r="211" ht="24.95" customHeight="1"/>
    <row r="212" ht="24.95" customHeight="1"/>
    <row r="213" ht="24.95" customHeight="1"/>
    <row r="214" ht="24.95" customHeight="1"/>
    <row r="215" ht="24.95" customHeight="1"/>
    <row r="216" ht="24.95" customHeight="1"/>
    <row r="217" ht="24.95" customHeight="1"/>
    <row r="218" ht="24.95" customHeight="1"/>
    <row r="219" ht="24.95" customHeight="1"/>
    <row r="220" ht="24.95" customHeight="1"/>
    <row r="221" ht="24.95" customHeight="1"/>
    <row r="222" ht="24.95" customHeight="1"/>
    <row r="223" ht="24.95" customHeight="1"/>
    <row r="224" ht="24.95" customHeight="1"/>
    <row r="225" ht="24.95" customHeight="1"/>
    <row r="226" ht="24.95" customHeight="1"/>
    <row r="227" ht="24.95" customHeight="1"/>
    <row r="228" ht="24.95" customHeight="1"/>
    <row r="229" ht="24.95" customHeight="1"/>
    <row r="230" ht="24.95" customHeight="1"/>
    <row r="231" ht="24.95" customHeight="1"/>
    <row r="232" ht="24.95" customHeight="1"/>
    <row r="233" ht="24.95" customHeight="1"/>
    <row r="234" ht="24.95" customHeight="1"/>
    <row r="235" ht="24.95" customHeight="1"/>
    <row r="236" ht="24.95" customHeight="1"/>
    <row r="237" ht="24.95" customHeight="1"/>
    <row r="238" ht="24.95" customHeight="1"/>
    <row r="239" ht="24.95" customHeight="1"/>
    <row r="240" ht="24.95" customHeight="1"/>
    <row r="241" ht="24.95" customHeight="1"/>
    <row r="242" ht="24.95" customHeight="1"/>
    <row r="243" ht="24.95" customHeight="1"/>
    <row r="244" ht="24.95" customHeight="1"/>
    <row r="245" ht="24.95" customHeight="1"/>
    <row r="246" ht="24.95" customHeight="1"/>
    <row r="247" ht="24.95" customHeight="1"/>
    <row r="248" ht="24.95" customHeight="1"/>
    <row r="249" ht="24.95" customHeight="1"/>
    <row r="250" ht="24.95" customHeight="1"/>
    <row r="251" ht="24.95" customHeight="1"/>
    <row r="252" ht="24.95" customHeight="1"/>
    <row r="253" ht="24.95" customHeight="1"/>
    <row r="254" ht="24.95" customHeight="1"/>
    <row r="255" ht="24.95" customHeight="1"/>
    <row r="256" ht="24.95" customHeight="1"/>
    <row r="257" ht="24.95" customHeight="1"/>
    <row r="258" ht="24.95" customHeight="1"/>
    <row r="259" ht="24.95" customHeight="1"/>
    <row r="260" ht="24.95" customHeight="1"/>
    <row r="261" ht="24.95" customHeight="1"/>
    <row r="262" ht="24.95" customHeight="1"/>
    <row r="263" ht="24.95" customHeight="1"/>
    <row r="264" ht="24.95" customHeight="1"/>
    <row r="265" ht="24.95" customHeight="1"/>
    <row r="266" ht="24.95" customHeight="1"/>
    <row r="267" ht="24.95" customHeight="1"/>
    <row r="268" ht="24.95" customHeight="1"/>
    <row r="269" ht="24.95" customHeight="1"/>
    <row r="270" ht="24.95" customHeight="1"/>
    <row r="271" ht="24.95" customHeight="1"/>
    <row r="272" ht="24.95" customHeight="1"/>
    <row r="273" ht="24.95" customHeight="1"/>
    <row r="274" ht="24.95" customHeight="1"/>
    <row r="275" ht="24.95" customHeight="1"/>
    <row r="276" ht="24.95" customHeight="1"/>
    <row r="277" ht="24.95" customHeight="1"/>
    <row r="278" ht="24.95" customHeight="1"/>
    <row r="279" ht="24.95" customHeight="1"/>
    <row r="280" ht="24.95" customHeight="1"/>
    <row r="281" ht="24.95" customHeight="1"/>
    <row r="282" ht="24.95" customHeight="1"/>
  </sheetData>
  <mergeCells count="47">
    <mergeCell ref="B71:B75"/>
    <mergeCell ref="B76:B79"/>
    <mergeCell ref="C57:C61"/>
    <mergeCell ref="C29:D33"/>
    <mergeCell ref="C34:D34"/>
    <mergeCell ref="C43:C48"/>
    <mergeCell ref="C49:D49"/>
    <mergeCell ref="A66:D66"/>
    <mergeCell ref="B65:D65"/>
    <mergeCell ref="C56:D56"/>
    <mergeCell ref="C42:D42"/>
    <mergeCell ref="B29:B63"/>
    <mergeCell ref="M2:M4"/>
    <mergeCell ref="A5:A22"/>
    <mergeCell ref="A23:A65"/>
    <mergeCell ref="B23:B28"/>
    <mergeCell ref="B17:B22"/>
    <mergeCell ref="C17:C22"/>
    <mergeCell ref="C23:C25"/>
    <mergeCell ref="M17:M22"/>
    <mergeCell ref="M23:M27"/>
    <mergeCell ref="M5:M15"/>
    <mergeCell ref="B5:B16"/>
    <mergeCell ref="C35:D41"/>
    <mergeCell ref="B64:D64"/>
    <mergeCell ref="C50:C55"/>
    <mergeCell ref="C28:D28"/>
    <mergeCell ref="C63:D63"/>
    <mergeCell ref="L3:L4"/>
    <mergeCell ref="E2:E4"/>
    <mergeCell ref="F2:F4"/>
    <mergeCell ref="C26:C27"/>
    <mergeCell ref="G2:G4"/>
    <mergeCell ref="H2:L2"/>
    <mergeCell ref="I3:I4"/>
    <mergeCell ref="J3:J4"/>
    <mergeCell ref="K3:K4"/>
    <mergeCell ref="A2:D4"/>
    <mergeCell ref="M35:M37"/>
    <mergeCell ref="C5:C13"/>
    <mergeCell ref="C14:C15"/>
    <mergeCell ref="C16:D16"/>
    <mergeCell ref="J135:J137"/>
    <mergeCell ref="J133:J134"/>
    <mergeCell ref="J124:J132"/>
    <mergeCell ref="J115:J116"/>
    <mergeCell ref="J118:J123"/>
  </mergeCells>
  <phoneticPr fontId="10" type="noConversion"/>
  <pageMargins left="0.74803149606299213" right="0.74803149606299213" top="0.73" bottom="0.73" header="0.51181102362204722" footer="0.51181102362204722"/>
  <pageSetup paperSize="9" scale="88" orientation="landscape" r:id="rId1"/>
  <headerFooter alignWithMargins="0"/>
  <rowBreaks count="1" manualBreakCount="1">
    <brk id="22" max="12" man="1"/>
  </rowBreaks>
  <colBreaks count="1" manualBreakCount="1">
    <brk id="13" max="1048575" man="1"/>
  </colBreaks>
</worksheet>
</file>

<file path=xl/worksheets/sheet41.xml><?xml version="1.0" encoding="utf-8"?>
<worksheet xmlns="http://schemas.openxmlformats.org/spreadsheetml/2006/main" xmlns:r="http://schemas.openxmlformats.org/officeDocument/2006/relationships">
  <sheetPr codeName="Sheet2"/>
  <dimension ref="A1:I102"/>
  <sheetViews>
    <sheetView workbookViewId="0">
      <selection sqref="A1:B1"/>
    </sheetView>
  </sheetViews>
  <sheetFormatPr defaultRowHeight="21.6" customHeight="1"/>
  <cols>
    <col min="1" max="1" width="8.77734375" style="1" customWidth="1"/>
    <col min="2" max="2" width="29.77734375" style="1" customWidth="1"/>
    <col min="3" max="7" width="8.77734375" style="1" customWidth="1"/>
    <col min="8" max="16384" width="8.88671875" style="1"/>
  </cols>
  <sheetData>
    <row r="1" spans="1:9" ht="21.6" customHeight="1">
      <c r="A1" s="662" t="s">
        <v>174</v>
      </c>
      <c r="B1" s="662"/>
    </row>
    <row r="2" spans="1:9" ht="21.6" customHeight="1">
      <c r="A2" s="36" t="s">
        <v>175</v>
      </c>
      <c r="B2" s="35"/>
    </row>
    <row r="3" spans="1:9" ht="21.6" customHeight="1">
      <c r="A3" s="654" t="s">
        <v>176</v>
      </c>
      <c r="B3" s="654"/>
      <c r="C3" s="51"/>
    </row>
    <row r="4" spans="1:9" ht="30" customHeight="1" thickBot="1">
      <c r="A4" s="652" t="s">
        <v>177</v>
      </c>
      <c r="B4" s="653"/>
      <c r="C4" s="27" t="s">
        <v>242</v>
      </c>
      <c r="D4" s="27" t="s">
        <v>178</v>
      </c>
      <c r="E4" s="27" t="s">
        <v>179</v>
      </c>
      <c r="F4" s="27" t="s">
        <v>180</v>
      </c>
      <c r="G4" s="28" t="s">
        <v>181</v>
      </c>
    </row>
    <row r="5" spans="1:9" s="2" customFormat="1" ht="23.1" customHeight="1" thickTop="1">
      <c r="A5" s="665" t="s">
        <v>182</v>
      </c>
      <c r="B5" s="39" t="s">
        <v>190</v>
      </c>
      <c r="C5" s="31"/>
      <c r="D5" s="31">
        <v>250000</v>
      </c>
      <c r="E5" s="31"/>
      <c r="F5" s="31"/>
      <c r="G5" s="34"/>
      <c r="I5" s="3"/>
    </row>
    <row r="6" spans="1:9" ht="23.1" customHeight="1">
      <c r="A6" s="666"/>
      <c r="B6" s="37" t="s">
        <v>191</v>
      </c>
      <c r="C6" s="32"/>
      <c r="D6" s="32">
        <v>108700</v>
      </c>
      <c r="E6" s="32">
        <v>110500</v>
      </c>
      <c r="F6" s="32"/>
      <c r="G6" s="33"/>
      <c r="I6" s="4"/>
    </row>
    <row r="7" spans="1:9" s="2" customFormat="1" ht="23.1" customHeight="1">
      <c r="A7" s="666"/>
      <c r="B7" s="37" t="s">
        <v>192</v>
      </c>
      <c r="C7" s="32"/>
      <c r="D7" s="32">
        <v>108100</v>
      </c>
      <c r="E7" s="32">
        <v>114000</v>
      </c>
      <c r="F7" s="32">
        <v>114000</v>
      </c>
      <c r="G7" s="33"/>
      <c r="I7" s="3"/>
    </row>
    <row r="8" spans="1:9" ht="23.1" customHeight="1">
      <c r="A8" s="666"/>
      <c r="B8" s="37" t="s">
        <v>459</v>
      </c>
      <c r="C8" s="32"/>
      <c r="D8" s="32">
        <v>107672</v>
      </c>
      <c r="E8" s="32"/>
      <c r="F8" s="32"/>
      <c r="G8" s="33"/>
      <c r="I8" s="4"/>
    </row>
    <row r="9" spans="1:9" ht="23.1" customHeight="1">
      <c r="A9" s="666"/>
      <c r="B9" s="37" t="s">
        <v>193</v>
      </c>
      <c r="C9" s="32"/>
      <c r="D9" s="32">
        <v>140000</v>
      </c>
      <c r="E9" s="32">
        <v>170000</v>
      </c>
      <c r="F9" s="32">
        <v>200000</v>
      </c>
      <c r="G9" s="33"/>
      <c r="I9" s="4"/>
    </row>
    <row r="10" spans="1:9" s="2" customFormat="1" ht="23.1" customHeight="1">
      <c r="A10" s="666"/>
      <c r="B10" s="37" t="s">
        <v>194</v>
      </c>
      <c r="C10" s="32"/>
      <c r="D10" s="32">
        <v>98708</v>
      </c>
      <c r="E10" s="32">
        <v>97403</v>
      </c>
      <c r="F10" s="32">
        <v>95822</v>
      </c>
      <c r="G10" s="33"/>
      <c r="I10" s="3"/>
    </row>
    <row r="11" spans="1:9" s="2" customFormat="1" ht="23.1" customHeight="1">
      <c r="A11" s="666"/>
      <c r="B11" s="37" t="s">
        <v>195</v>
      </c>
      <c r="C11" s="32"/>
      <c r="D11" s="32">
        <v>98708</v>
      </c>
      <c r="E11" s="32">
        <v>97403</v>
      </c>
      <c r="F11" s="32"/>
      <c r="G11" s="33"/>
      <c r="I11" s="3"/>
    </row>
    <row r="12" spans="1:9" s="2" customFormat="1" ht="23.1" customHeight="1">
      <c r="A12" s="666"/>
      <c r="B12" s="37" t="s">
        <v>458</v>
      </c>
      <c r="C12" s="32"/>
      <c r="D12" s="398">
        <v>96602</v>
      </c>
      <c r="E12" s="398">
        <v>95733</v>
      </c>
      <c r="F12" s="398">
        <v>94252</v>
      </c>
      <c r="G12" s="33"/>
    </row>
    <row r="13" spans="1:9" ht="23.1" customHeight="1">
      <c r="A13" s="666"/>
      <c r="B13" s="37" t="s">
        <v>183</v>
      </c>
      <c r="C13" s="32"/>
      <c r="D13" s="32">
        <f>ROUND(AVERAGE(D5:D12),-2)</f>
        <v>126100</v>
      </c>
      <c r="E13" s="32">
        <f>ROUND(AVERAGE(E5:E12),-2)</f>
        <v>114200</v>
      </c>
      <c r="F13" s="32">
        <f>ROUND(AVERAGE(F5:F12),-2)</f>
        <v>126000</v>
      </c>
      <c r="G13" s="33"/>
      <c r="I13" s="4"/>
    </row>
    <row r="14" spans="1:9" ht="23.1" customHeight="1">
      <c r="A14" s="663" t="s">
        <v>240</v>
      </c>
      <c r="B14" s="664"/>
      <c r="C14" s="32" t="e">
        <f>+C22+C30+C38+C46+C54+C62+C70+C78+C86+C94</f>
        <v>#REF!</v>
      </c>
      <c r="D14" s="32" t="e">
        <f>+#REF!</f>
        <v>#REF!</v>
      </c>
      <c r="E14" s="32" t="e">
        <f>+#REF!</f>
        <v>#REF!</v>
      </c>
      <c r="F14" s="32" t="e">
        <f>+#REF!</f>
        <v>#REF!</v>
      </c>
      <c r="G14" s="32" t="e">
        <f>+#REF!</f>
        <v>#REF!</v>
      </c>
      <c r="I14" s="4"/>
    </row>
    <row r="15" spans="1:9" ht="23.1" customHeight="1">
      <c r="A15" s="658" t="s">
        <v>185</v>
      </c>
      <c r="B15" s="40" t="s">
        <v>186</v>
      </c>
      <c r="C15" s="32" t="e">
        <f>C14</f>
        <v>#REF!</v>
      </c>
      <c r="D15" s="32">
        <v>98200</v>
      </c>
      <c r="E15" s="32">
        <v>98400</v>
      </c>
      <c r="F15" s="32">
        <v>98200</v>
      </c>
      <c r="G15" s="33">
        <v>98400</v>
      </c>
      <c r="I15" s="4"/>
    </row>
    <row r="16" spans="1:9" ht="23.1" customHeight="1">
      <c r="A16" s="658"/>
      <c r="B16" s="41" t="s">
        <v>187</v>
      </c>
      <c r="C16" s="32" t="e">
        <f>C14</f>
        <v>#REF!</v>
      </c>
      <c r="D16" s="32" t="e">
        <f>#REF!</f>
        <v>#REF!</v>
      </c>
      <c r="E16" s="32" t="e">
        <f>#REF!</f>
        <v>#REF!</v>
      </c>
      <c r="F16" s="32" t="e">
        <f>#REF!</f>
        <v>#REF!</v>
      </c>
      <c r="G16" s="33" t="e">
        <f>#REF!</f>
        <v>#REF!</v>
      </c>
      <c r="I16" s="4"/>
    </row>
    <row r="17" spans="1:9" ht="23.1" customHeight="1">
      <c r="A17" s="667" t="s">
        <v>188</v>
      </c>
      <c r="B17" s="668"/>
      <c r="C17" s="231">
        <f>+C25+C33+C41+C49+C57+C65+C73+C81+C89+C97</f>
        <v>0</v>
      </c>
      <c r="D17" s="231" t="e">
        <f>+D25+D33+D41+D49+D57+D65+D73+D81+D89+D97</f>
        <v>#REF!</v>
      </c>
      <c r="E17" s="231" t="e">
        <f>+E25+E33+E41+E49+E57+E65+E73+E81+E89+E97</f>
        <v>#REF!</v>
      </c>
      <c r="F17" s="231" t="e">
        <f>+F25+F33+F41+F49+F57+F65+F73+F81+F89+F97</f>
        <v>#REF!</v>
      </c>
      <c r="G17" s="231" t="e">
        <f>+G25+G33+G41+G49+G57+G65+G73+G81+G89+G97</f>
        <v>#REF!</v>
      </c>
      <c r="I17" s="4"/>
    </row>
    <row r="18" spans="1:9" ht="23.1" customHeight="1">
      <c r="A18" s="656" t="s">
        <v>197</v>
      </c>
      <c r="B18" s="657"/>
      <c r="C18" s="232" t="e">
        <f>C14+C17</f>
        <v>#REF!</v>
      </c>
      <c r="D18" s="232" t="e">
        <f>D14+D17</f>
        <v>#REF!</v>
      </c>
      <c r="E18" s="232" t="e">
        <f>E14+E17</f>
        <v>#REF!</v>
      </c>
      <c r="F18" s="232" t="e">
        <f>F14+F17</f>
        <v>#REF!</v>
      </c>
      <c r="G18" s="232" t="e">
        <f>G14+G17</f>
        <v>#REF!</v>
      </c>
    </row>
    <row r="19" spans="1:9" ht="21.6" customHeight="1">
      <c r="A19" s="655" t="s">
        <v>189</v>
      </c>
      <c r="B19" s="655"/>
      <c r="C19" s="22"/>
      <c r="D19" s="22"/>
      <c r="E19" s="22"/>
      <c r="F19" s="22"/>
      <c r="G19" s="22"/>
    </row>
    <row r="20" spans="1:9" ht="21.6" customHeight="1">
      <c r="A20" s="654" t="s">
        <v>196</v>
      </c>
      <c r="B20" s="654"/>
      <c r="C20" s="23"/>
      <c r="D20" s="23"/>
      <c r="E20" s="23"/>
      <c r="F20" s="23"/>
      <c r="G20" s="23"/>
    </row>
    <row r="21" spans="1:9" ht="30" customHeight="1" thickBot="1">
      <c r="A21" s="652" t="s">
        <v>177</v>
      </c>
      <c r="B21" s="653"/>
      <c r="C21" s="27" t="s">
        <v>242</v>
      </c>
      <c r="D21" s="27" t="s">
        <v>178</v>
      </c>
      <c r="E21" s="27" t="s">
        <v>179</v>
      </c>
      <c r="F21" s="27" t="s">
        <v>180</v>
      </c>
      <c r="G21" s="28" t="s">
        <v>181</v>
      </c>
    </row>
    <row r="22" spans="1:9" ht="21.95" customHeight="1" thickTop="1">
      <c r="A22" s="659" t="s">
        <v>184</v>
      </c>
      <c r="B22" s="660"/>
      <c r="C22" s="25" t="e">
        <f>HLOOKUP(I22,#REF!,2,FALSE)</f>
        <v>#REF!</v>
      </c>
      <c r="D22" s="25" t="e">
        <f>HLOOKUP(I22,#REF!,3,FALSE)</f>
        <v>#REF!</v>
      </c>
      <c r="E22" s="25" t="e">
        <f>HLOOKUP(I22,#REF!,4,FALSE)</f>
        <v>#REF!</v>
      </c>
      <c r="F22" s="25" t="e">
        <f>HLOOKUP(I22,#REF!,5,FALSE)</f>
        <v>#REF!</v>
      </c>
      <c r="G22" s="25" t="e">
        <f>HLOOKUP(I22,#REF!,6,FALSE)</f>
        <v>#REF!</v>
      </c>
      <c r="H22" s="49"/>
      <c r="I22" s="1" t="s">
        <v>62</v>
      </c>
    </row>
    <row r="23" spans="1:9" ht="21.95" customHeight="1">
      <c r="A23" s="658" t="s">
        <v>185</v>
      </c>
      <c r="B23" s="25" t="s">
        <v>186</v>
      </c>
      <c r="C23" s="25" t="e">
        <f>C22</f>
        <v>#REF!</v>
      </c>
      <c r="D23" s="25" t="e">
        <f>VLOOKUP($I22,'1.생잔모형법'!$A$3:$G$17,4,FALSE)</f>
        <v>#N/A</v>
      </c>
      <c r="E23" s="25" t="e">
        <f>VLOOKUP($I22,'1.생잔모형법'!$A$3:$G$17,5,FALSE)</f>
        <v>#N/A</v>
      </c>
      <c r="F23" s="25" t="e">
        <f>VLOOKUP($I22,'1.생잔모형법'!$A$3:$G$17,4,FALSE)</f>
        <v>#N/A</v>
      </c>
      <c r="G23" s="25" t="e">
        <f>VLOOKUP($I22,'1.생잔모형법'!$A$3:$G$17,7,FALSE)</f>
        <v>#N/A</v>
      </c>
    </row>
    <row r="24" spans="1:9" ht="21.95" customHeight="1">
      <c r="A24" s="658"/>
      <c r="B24" s="38" t="s">
        <v>187</v>
      </c>
      <c r="C24" s="25" t="e">
        <f>HLOOKUP(I22,#REF!,2,FALSE)</f>
        <v>#REF!</v>
      </c>
      <c r="D24" s="25" t="e">
        <f>HLOOKUP(I22,#REF!,3,FALSE)</f>
        <v>#REF!</v>
      </c>
      <c r="E24" s="25" t="e">
        <f>HLOOKUP(I22,#REF!,4,FALSE)</f>
        <v>#REF!</v>
      </c>
      <c r="F24" s="25" t="e">
        <f>HLOOKUP(I22,#REF!,5,FALSE)</f>
        <v>#REF!</v>
      </c>
      <c r="G24" s="26" t="e">
        <f>HLOOKUP(I22,#REF!,6,FALSE)</f>
        <v>#REF!</v>
      </c>
    </row>
    <row r="25" spans="1:9" ht="21.95" customHeight="1">
      <c r="A25" s="659" t="s">
        <v>188</v>
      </c>
      <c r="B25" s="661"/>
      <c r="C25" s="25"/>
      <c r="D25" s="25" t="e">
        <f>VLOOKUP(I22,#REF!,3,FALSE)</f>
        <v>#REF!</v>
      </c>
      <c r="E25" s="25" t="e">
        <f>VLOOKUP(I22,#REF!,4,FALSE)</f>
        <v>#REF!</v>
      </c>
      <c r="F25" s="25" t="e">
        <f>VLOOKUP(I22,#REF!,5,FALSE)</f>
        <v>#REF!</v>
      </c>
      <c r="G25" s="26" t="e">
        <f>VLOOKUP(I22,#REF!,6,FALSE)</f>
        <v>#REF!</v>
      </c>
    </row>
    <row r="26" spans="1:9" ht="21.95" customHeight="1">
      <c r="A26" s="656" t="s">
        <v>209</v>
      </c>
      <c r="B26" s="657"/>
      <c r="C26" s="232" t="e">
        <f>C22+C25</f>
        <v>#REF!</v>
      </c>
      <c r="D26" s="232" t="e">
        <f>D22+D25</f>
        <v>#REF!</v>
      </c>
      <c r="E26" s="232" t="e">
        <f>E22+E25</f>
        <v>#REF!</v>
      </c>
      <c r="F26" s="232" t="e">
        <f>F22+F25</f>
        <v>#REF!</v>
      </c>
      <c r="G26" s="233" t="e">
        <f>G22+G25</f>
        <v>#REF!</v>
      </c>
    </row>
    <row r="27" spans="1:9" ht="21.95" customHeight="1">
      <c r="A27" s="655" t="s">
        <v>189</v>
      </c>
      <c r="B27" s="655"/>
      <c r="C27" s="22"/>
      <c r="D27" s="22"/>
      <c r="E27" s="22"/>
      <c r="F27" s="22"/>
      <c r="G27" s="22"/>
    </row>
    <row r="28" spans="1:9" ht="21.6" customHeight="1">
      <c r="A28" s="654" t="s">
        <v>198</v>
      </c>
      <c r="B28" s="654"/>
      <c r="C28" s="23"/>
      <c r="D28" s="23"/>
      <c r="E28" s="23"/>
      <c r="F28" s="23"/>
      <c r="G28" s="23"/>
    </row>
    <row r="29" spans="1:9" ht="30" customHeight="1" thickBot="1">
      <c r="A29" s="652" t="s">
        <v>177</v>
      </c>
      <c r="B29" s="653"/>
      <c r="C29" s="27" t="s">
        <v>242</v>
      </c>
      <c r="D29" s="27" t="s">
        <v>178</v>
      </c>
      <c r="E29" s="27" t="s">
        <v>179</v>
      </c>
      <c r="F29" s="27" t="s">
        <v>180</v>
      </c>
      <c r="G29" s="28" t="s">
        <v>181</v>
      </c>
    </row>
    <row r="30" spans="1:9" ht="21.95" customHeight="1" thickTop="1">
      <c r="A30" s="659" t="s">
        <v>184</v>
      </c>
      <c r="B30" s="660"/>
      <c r="C30" s="25" t="e">
        <f>HLOOKUP(I30,#REF!,2,FALSE)</f>
        <v>#REF!</v>
      </c>
      <c r="D30" s="25" t="e">
        <f>HLOOKUP(I30,#REF!,3,FALSE)</f>
        <v>#REF!</v>
      </c>
      <c r="E30" s="25" t="e">
        <f>HLOOKUP(I30,#REF!,4,FALSE)</f>
        <v>#REF!</v>
      </c>
      <c r="F30" s="25" t="e">
        <f>HLOOKUP(I30,#REF!,5,FALSE)</f>
        <v>#REF!</v>
      </c>
      <c r="G30" s="25" t="e">
        <f>HLOOKUP(I30,#REF!,6,FALSE)</f>
        <v>#REF!</v>
      </c>
      <c r="H30" s="49"/>
      <c r="I30" s="1" t="s">
        <v>63</v>
      </c>
    </row>
    <row r="31" spans="1:9" ht="21.95" customHeight="1">
      <c r="A31" s="658" t="s">
        <v>185</v>
      </c>
      <c r="B31" s="25" t="s">
        <v>186</v>
      </c>
      <c r="C31" s="25" t="e">
        <f>C30</f>
        <v>#REF!</v>
      </c>
      <c r="D31" s="25" t="e">
        <f>VLOOKUP($I30,'1.생잔모형법'!$A$3:$G$17,4,FALSE)</f>
        <v>#N/A</v>
      </c>
      <c r="E31" s="25" t="e">
        <f>VLOOKUP($I30,'1.생잔모형법'!$A$3:$G$17,5,FALSE)</f>
        <v>#N/A</v>
      </c>
      <c r="F31" s="25" t="e">
        <f>VLOOKUP($I30,'1.생잔모형법'!$A$3:$G$17,4,FALSE)</f>
        <v>#N/A</v>
      </c>
      <c r="G31" s="25" t="e">
        <f>VLOOKUP($I30,'1.생잔모형법'!$A$3:$G$17,7,FALSE)</f>
        <v>#N/A</v>
      </c>
    </row>
    <row r="32" spans="1:9" ht="21.95" customHeight="1">
      <c r="A32" s="658"/>
      <c r="B32" s="38" t="s">
        <v>187</v>
      </c>
      <c r="C32" s="25" t="e">
        <f>HLOOKUP(I30,#REF!,2,FALSE)</f>
        <v>#REF!</v>
      </c>
      <c r="D32" s="25" t="e">
        <f>HLOOKUP(I30,#REF!,3,FALSE)</f>
        <v>#REF!</v>
      </c>
      <c r="E32" s="25" t="e">
        <f>HLOOKUP(I30,#REF!,4,FALSE)</f>
        <v>#REF!</v>
      </c>
      <c r="F32" s="25" t="e">
        <f>HLOOKUP(I30,#REF!,5,FALSE)</f>
        <v>#REF!</v>
      </c>
      <c r="G32" s="26" t="e">
        <f>HLOOKUP(I30,#REF!,6,FALSE)</f>
        <v>#REF!</v>
      </c>
    </row>
    <row r="33" spans="1:9" ht="21.95" customHeight="1">
      <c r="A33" s="659" t="s">
        <v>188</v>
      </c>
      <c r="B33" s="661"/>
      <c r="C33" s="25"/>
      <c r="D33" s="25" t="e">
        <f>VLOOKUP(I30,#REF!,3,FALSE)</f>
        <v>#REF!</v>
      </c>
      <c r="E33" s="25" t="e">
        <f>VLOOKUP(I30,#REF!,4,FALSE)</f>
        <v>#REF!</v>
      </c>
      <c r="F33" s="25" t="e">
        <f>VLOOKUP(I30,#REF!,5,FALSE)</f>
        <v>#REF!</v>
      </c>
      <c r="G33" s="26" t="e">
        <f>VLOOKUP(I30,#REF!,6,FALSE)</f>
        <v>#REF!</v>
      </c>
    </row>
    <row r="34" spans="1:9" ht="21.95" customHeight="1">
      <c r="A34" s="656" t="s">
        <v>208</v>
      </c>
      <c r="B34" s="657"/>
      <c r="C34" s="232" t="e">
        <f>C30+C33</f>
        <v>#REF!</v>
      </c>
      <c r="D34" s="232" t="e">
        <f>D30+D33</f>
        <v>#REF!</v>
      </c>
      <c r="E34" s="232" t="e">
        <f>E30+E33</f>
        <v>#REF!</v>
      </c>
      <c r="F34" s="232" t="e">
        <f>F30+F33</f>
        <v>#REF!</v>
      </c>
      <c r="G34" s="233" t="e">
        <f>G30+G33</f>
        <v>#REF!</v>
      </c>
    </row>
    <row r="35" spans="1:9" ht="21.95" customHeight="1">
      <c r="A35" s="655" t="s">
        <v>189</v>
      </c>
      <c r="B35" s="655"/>
      <c r="C35" s="22"/>
      <c r="D35" s="22"/>
      <c r="E35" s="22"/>
      <c r="F35" s="22"/>
      <c r="G35" s="22"/>
    </row>
    <row r="36" spans="1:9" ht="21.6" customHeight="1">
      <c r="A36" s="654" t="s">
        <v>199</v>
      </c>
      <c r="B36" s="654"/>
      <c r="C36" s="23"/>
      <c r="D36" s="23"/>
      <c r="E36" s="23"/>
      <c r="F36" s="23"/>
      <c r="G36" s="23"/>
    </row>
    <row r="37" spans="1:9" ht="30" customHeight="1" thickBot="1">
      <c r="A37" s="652" t="s">
        <v>177</v>
      </c>
      <c r="B37" s="653"/>
      <c r="C37" s="27" t="s">
        <v>242</v>
      </c>
      <c r="D37" s="27" t="s">
        <v>178</v>
      </c>
      <c r="E37" s="27" t="s">
        <v>179</v>
      </c>
      <c r="F37" s="27" t="s">
        <v>180</v>
      </c>
      <c r="G37" s="28" t="s">
        <v>181</v>
      </c>
    </row>
    <row r="38" spans="1:9" ht="21.95" customHeight="1" thickTop="1">
      <c r="A38" s="659" t="s">
        <v>184</v>
      </c>
      <c r="B38" s="660"/>
      <c r="C38" s="25" t="e">
        <f>HLOOKUP(I38,#REF!,2,FALSE)</f>
        <v>#REF!</v>
      </c>
      <c r="D38" s="25" t="e">
        <f>HLOOKUP(I38,#REF!,3,FALSE)</f>
        <v>#REF!</v>
      </c>
      <c r="E38" s="25" t="e">
        <f>HLOOKUP(I38,#REF!,4,FALSE)</f>
        <v>#REF!</v>
      </c>
      <c r="F38" s="25" t="e">
        <f>HLOOKUP(I38,#REF!,5,FALSE)</f>
        <v>#REF!</v>
      </c>
      <c r="G38" s="25" t="e">
        <f>HLOOKUP(I38,#REF!,6,FALSE)</f>
        <v>#REF!</v>
      </c>
      <c r="H38" s="49"/>
      <c r="I38" s="1" t="s">
        <v>64</v>
      </c>
    </row>
    <row r="39" spans="1:9" ht="21.95" customHeight="1">
      <c r="A39" s="658" t="s">
        <v>185</v>
      </c>
      <c r="B39" s="25" t="s">
        <v>186</v>
      </c>
      <c r="C39" s="25" t="e">
        <f>C38</f>
        <v>#REF!</v>
      </c>
      <c r="D39" s="25" t="e">
        <f>VLOOKUP($I38,'1.생잔모형법'!$A$3:$G$17,4,FALSE)</f>
        <v>#N/A</v>
      </c>
      <c r="E39" s="25" t="e">
        <f>VLOOKUP($I38,'1.생잔모형법'!$A$3:$G$17,5,FALSE)</f>
        <v>#N/A</v>
      </c>
      <c r="F39" s="25" t="e">
        <f>VLOOKUP($I38,'1.생잔모형법'!$A$3:$G$17,4,FALSE)</f>
        <v>#N/A</v>
      </c>
      <c r="G39" s="25" t="e">
        <f>VLOOKUP($I38,'1.생잔모형법'!$A$3:$G$17,7,FALSE)</f>
        <v>#N/A</v>
      </c>
    </row>
    <row r="40" spans="1:9" ht="21.95" customHeight="1">
      <c r="A40" s="658"/>
      <c r="B40" s="38" t="s">
        <v>187</v>
      </c>
      <c r="C40" s="25" t="e">
        <f>HLOOKUP(I38,#REF!,2,FALSE)</f>
        <v>#REF!</v>
      </c>
      <c r="D40" s="25" t="e">
        <f>HLOOKUP(I38,#REF!,3,FALSE)</f>
        <v>#REF!</v>
      </c>
      <c r="E40" s="25" t="e">
        <f>HLOOKUP(I38,#REF!,4,FALSE)</f>
        <v>#REF!</v>
      </c>
      <c r="F40" s="25" t="e">
        <f>HLOOKUP(I38,#REF!,5,FALSE)</f>
        <v>#REF!</v>
      </c>
      <c r="G40" s="26" t="e">
        <f>HLOOKUP(I38,#REF!,6,FALSE)</f>
        <v>#REF!</v>
      </c>
    </row>
    <row r="41" spans="1:9" ht="21.95" customHeight="1">
      <c r="A41" s="659" t="s">
        <v>188</v>
      </c>
      <c r="B41" s="661"/>
      <c r="C41" s="25"/>
      <c r="D41" s="25" t="e">
        <f>VLOOKUP(I38,#REF!,3,FALSE)</f>
        <v>#REF!</v>
      </c>
      <c r="E41" s="25" t="e">
        <f>VLOOKUP(I38,#REF!,4,FALSE)</f>
        <v>#REF!</v>
      </c>
      <c r="F41" s="25" t="e">
        <f>VLOOKUP(I38,#REF!,5,FALSE)</f>
        <v>#REF!</v>
      </c>
      <c r="G41" s="26" t="e">
        <f>VLOOKUP(I38,#REF!,6,FALSE)</f>
        <v>#REF!</v>
      </c>
    </row>
    <row r="42" spans="1:9" ht="21.95" customHeight="1">
      <c r="A42" s="656" t="s">
        <v>208</v>
      </c>
      <c r="B42" s="657"/>
      <c r="C42" s="232" t="e">
        <f>C38+C41</f>
        <v>#REF!</v>
      </c>
      <c r="D42" s="232" t="e">
        <f>D38+D41</f>
        <v>#REF!</v>
      </c>
      <c r="E42" s="232" t="e">
        <f>E38+E41</f>
        <v>#REF!</v>
      </c>
      <c r="F42" s="232" t="e">
        <f>F38+F41</f>
        <v>#REF!</v>
      </c>
      <c r="G42" s="233" t="e">
        <f>G38+G41</f>
        <v>#REF!</v>
      </c>
    </row>
    <row r="43" spans="1:9" ht="21.95" customHeight="1">
      <c r="A43" s="655" t="s">
        <v>189</v>
      </c>
      <c r="B43" s="655"/>
      <c r="C43" s="22"/>
      <c r="D43" s="22"/>
      <c r="E43" s="22"/>
      <c r="F43" s="22"/>
      <c r="G43" s="22"/>
    </row>
    <row r="44" spans="1:9" ht="21.6" customHeight="1">
      <c r="A44" s="654" t="s">
        <v>200</v>
      </c>
      <c r="B44" s="654"/>
      <c r="C44" s="23"/>
      <c r="D44" s="23"/>
      <c r="E44" s="23"/>
      <c r="F44" s="23"/>
      <c r="G44" s="23"/>
    </row>
    <row r="45" spans="1:9" ht="30" customHeight="1" thickBot="1">
      <c r="A45" s="652" t="s">
        <v>177</v>
      </c>
      <c r="B45" s="653"/>
      <c r="C45" s="27" t="s">
        <v>242</v>
      </c>
      <c r="D45" s="27" t="s">
        <v>178</v>
      </c>
      <c r="E45" s="27" t="s">
        <v>179</v>
      </c>
      <c r="F45" s="27" t="s">
        <v>180</v>
      </c>
      <c r="G45" s="28" t="s">
        <v>181</v>
      </c>
    </row>
    <row r="46" spans="1:9" ht="21.95" customHeight="1" thickTop="1">
      <c r="A46" s="659" t="s">
        <v>184</v>
      </c>
      <c r="B46" s="660"/>
      <c r="C46" s="25" t="e">
        <f>HLOOKUP(I46,#REF!,2,FALSE)</f>
        <v>#REF!</v>
      </c>
      <c r="D46" s="25" t="e">
        <f>HLOOKUP(I46,#REF!,3,FALSE)</f>
        <v>#REF!</v>
      </c>
      <c r="E46" s="25" t="e">
        <f>HLOOKUP(I46,#REF!,4,FALSE)</f>
        <v>#REF!</v>
      </c>
      <c r="F46" s="25" t="e">
        <f>HLOOKUP(I46,#REF!,5,FALSE)</f>
        <v>#REF!</v>
      </c>
      <c r="G46" s="25" t="e">
        <f>HLOOKUP(I46,#REF!,6,FALSE)</f>
        <v>#REF!</v>
      </c>
      <c r="H46" s="49"/>
      <c r="I46" s="1" t="s">
        <v>65</v>
      </c>
    </row>
    <row r="47" spans="1:9" ht="21.95" customHeight="1">
      <c r="A47" s="658" t="s">
        <v>185</v>
      </c>
      <c r="B47" s="25" t="s">
        <v>186</v>
      </c>
      <c r="C47" s="25" t="e">
        <f>C46</f>
        <v>#REF!</v>
      </c>
      <c r="D47" s="25" t="e">
        <f>VLOOKUP($I46,'1.생잔모형법'!$A$3:$G$17,4,FALSE)</f>
        <v>#N/A</v>
      </c>
      <c r="E47" s="25" t="e">
        <f>VLOOKUP($I46,'1.생잔모형법'!$A$3:$G$17,5,FALSE)</f>
        <v>#N/A</v>
      </c>
      <c r="F47" s="25" t="e">
        <f>VLOOKUP($I46,'1.생잔모형법'!$A$3:$G$17,4,FALSE)</f>
        <v>#N/A</v>
      </c>
      <c r="G47" s="25" t="e">
        <f>VLOOKUP($I46,'1.생잔모형법'!$A$3:$G$17,7,FALSE)</f>
        <v>#N/A</v>
      </c>
    </row>
    <row r="48" spans="1:9" ht="21.95" customHeight="1">
      <c r="A48" s="658"/>
      <c r="B48" s="38" t="s">
        <v>187</v>
      </c>
      <c r="C48" s="25" t="e">
        <f>HLOOKUP(I46,#REF!,2,FALSE)</f>
        <v>#REF!</v>
      </c>
      <c r="D48" s="25" t="e">
        <f>HLOOKUP(I46,#REF!,3,FALSE)</f>
        <v>#REF!</v>
      </c>
      <c r="E48" s="25" t="e">
        <f>HLOOKUP(I46,#REF!,4,FALSE)</f>
        <v>#REF!</v>
      </c>
      <c r="F48" s="25" t="e">
        <f>HLOOKUP(I46,#REF!,5,FALSE)</f>
        <v>#REF!</v>
      </c>
      <c r="G48" s="26" t="e">
        <f>HLOOKUP(I46,#REF!,6,FALSE)</f>
        <v>#REF!</v>
      </c>
    </row>
    <row r="49" spans="1:9" ht="21.95" customHeight="1">
      <c r="A49" s="659" t="s">
        <v>188</v>
      </c>
      <c r="B49" s="661"/>
      <c r="C49" s="25"/>
      <c r="D49" s="25"/>
      <c r="E49" s="25"/>
      <c r="F49" s="25"/>
      <c r="G49" s="26"/>
    </row>
    <row r="50" spans="1:9" ht="21.95" customHeight="1">
      <c r="A50" s="656" t="s">
        <v>208</v>
      </c>
      <c r="B50" s="657"/>
      <c r="C50" s="232" t="e">
        <f>C46+C49</f>
        <v>#REF!</v>
      </c>
      <c r="D50" s="232" t="e">
        <f>D46+D49</f>
        <v>#REF!</v>
      </c>
      <c r="E50" s="232" t="e">
        <f>E46+E49</f>
        <v>#REF!</v>
      </c>
      <c r="F50" s="232" t="e">
        <f>F46+F49</f>
        <v>#REF!</v>
      </c>
      <c r="G50" s="233" t="e">
        <f>G46+G49</f>
        <v>#REF!</v>
      </c>
    </row>
    <row r="51" spans="1:9" ht="21.95" customHeight="1">
      <c r="A51" s="655" t="s">
        <v>189</v>
      </c>
      <c r="B51" s="655"/>
      <c r="C51" s="22"/>
      <c r="D51" s="22"/>
      <c r="E51" s="22"/>
      <c r="F51" s="22"/>
      <c r="G51" s="22"/>
    </row>
    <row r="52" spans="1:9" ht="21.6" customHeight="1">
      <c r="A52" s="654" t="s">
        <v>201</v>
      </c>
      <c r="B52" s="654"/>
      <c r="C52" s="23"/>
      <c r="D52" s="23"/>
      <c r="E52" s="23"/>
      <c r="F52" s="23"/>
      <c r="G52" s="23"/>
    </row>
    <row r="53" spans="1:9" ht="30" customHeight="1" thickBot="1">
      <c r="A53" s="652" t="s">
        <v>177</v>
      </c>
      <c r="B53" s="653"/>
      <c r="C53" s="27" t="s">
        <v>242</v>
      </c>
      <c r="D53" s="27" t="s">
        <v>178</v>
      </c>
      <c r="E53" s="27" t="s">
        <v>179</v>
      </c>
      <c r="F53" s="27" t="s">
        <v>180</v>
      </c>
      <c r="G53" s="28" t="s">
        <v>181</v>
      </c>
    </row>
    <row r="54" spans="1:9" ht="21.95" customHeight="1" thickTop="1">
      <c r="A54" s="659" t="s">
        <v>184</v>
      </c>
      <c r="B54" s="660"/>
      <c r="C54" s="25" t="e">
        <f>HLOOKUP(I54,#REF!,2,FALSE)</f>
        <v>#REF!</v>
      </c>
      <c r="D54" s="25" t="e">
        <f>HLOOKUP(I54,#REF!,3,FALSE)</f>
        <v>#REF!</v>
      </c>
      <c r="E54" s="25" t="e">
        <f>HLOOKUP(I54,#REF!,4,FALSE)</f>
        <v>#REF!</v>
      </c>
      <c r="F54" s="25" t="e">
        <f>HLOOKUP(I54,#REF!,5,FALSE)</f>
        <v>#REF!</v>
      </c>
      <c r="G54" s="25" t="e">
        <f>HLOOKUP(I54,#REF!,6,FALSE)</f>
        <v>#REF!</v>
      </c>
      <c r="H54" s="49"/>
      <c r="I54" s="1" t="s">
        <v>66</v>
      </c>
    </row>
    <row r="55" spans="1:9" ht="21.95" customHeight="1">
      <c r="A55" s="658" t="s">
        <v>185</v>
      </c>
      <c r="B55" s="25" t="s">
        <v>186</v>
      </c>
      <c r="C55" s="25" t="e">
        <f>C54</f>
        <v>#REF!</v>
      </c>
      <c r="D55" s="25" t="e">
        <f>VLOOKUP($I54,'1.생잔모형법'!$A$3:$G$17,4,FALSE)</f>
        <v>#N/A</v>
      </c>
      <c r="E55" s="25" t="e">
        <f>VLOOKUP($I54,'1.생잔모형법'!$A$3:$G$17,5,FALSE)</f>
        <v>#N/A</v>
      </c>
      <c r="F55" s="25" t="e">
        <f>VLOOKUP($I54,'1.생잔모형법'!$A$3:$G$17,4,FALSE)</f>
        <v>#N/A</v>
      </c>
      <c r="G55" s="25" t="e">
        <f>VLOOKUP($I54,'1.생잔모형법'!$A$3:$G$17,7,FALSE)</f>
        <v>#N/A</v>
      </c>
    </row>
    <row r="56" spans="1:9" ht="21.95" customHeight="1">
      <c r="A56" s="658"/>
      <c r="B56" s="38" t="s">
        <v>187</v>
      </c>
      <c r="C56" s="25" t="e">
        <f>HLOOKUP(I54,#REF!,2,FALSE)</f>
        <v>#REF!</v>
      </c>
      <c r="D56" s="25" t="e">
        <f>HLOOKUP(I54,#REF!,3,FALSE)</f>
        <v>#REF!</v>
      </c>
      <c r="E56" s="25" t="e">
        <f>HLOOKUP(I54,#REF!,4,FALSE)</f>
        <v>#REF!</v>
      </c>
      <c r="F56" s="25" t="e">
        <f>HLOOKUP(I54,#REF!,5,FALSE)</f>
        <v>#REF!</v>
      </c>
      <c r="G56" s="26" t="e">
        <f>HLOOKUP(I54,#REF!,6,FALSE)</f>
        <v>#REF!</v>
      </c>
    </row>
    <row r="57" spans="1:9" ht="21.95" customHeight="1">
      <c r="A57" s="659" t="s">
        <v>188</v>
      </c>
      <c r="B57" s="661"/>
      <c r="C57" s="25"/>
      <c r="D57" s="25"/>
      <c r="E57" s="25"/>
      <c r="F57" s="25"/>
      <c r="G57" s="26"/>
    </row>
    <row r="58" spans="1:9" ht="21.95" customHeight="1">
      <c r="A58" s="656" t="s">
        <v>208</v>
      </c>
      <c r="B58" s="657"/>
      <c r="C58" s="232" t="e">
        <f>C54+C57</f>
        <v>#REF!</v>
      </c>
      <c r="D58" s="232" t="e">
        <f>D54+D57</f>
        <v>#REF!</v>
      </c>
      <c r="E58" s="232" t="e">
        <f>E54+E57</f>
        <v>#REF!</v>
      </c>
      <c r="F58" s="232" t="e">
        <f>F54+F57</f>
        <v>#REF!</v>
      </c>
      <c r="G58" s="233" t="e">
        <f>G54+G57</f>
        <v>#REF!</v>
      </c>
    </row>
    <row r="59" spans="1:9" ht="21.95" customHeight="1">
      <c r="A59" s="655" t="s">
        <v>189</v>
      </c>
      <c r="B59" s="655"/>
      <c r="C59" s="22"/>
      <c r="D59" s="22"/>
      <c r="E59" s="22"/>
      <c r="F59" s="22"/>
      <c r="G59" s="22"/>
    </row>
    <row r="60" spans="1:9" ht="21.6" customHeight="1">
      <c r="A60" s="654" t="s">
        <v>202</v>
      </c>
      <c r="B60" s="654"/>
      <c r="C60" s="23"/>
      <c r="D60" s="23"/>
      <c r="E60" s="23"/>
      <c r="F60" s="23"/>
      <c r="G60" s="23"/>
    </row>
    <row r="61" spans="1:9" ht="30" customHeight="1" thickBot="1">
      <c r="A61" s="652" t="s">
        <v>177</v>
      </c>
      <c r="B61" s="653"/>
      <c r="C61" s="27" t="s">
        <v>242</v>
      </c>
      <c r="D61" s="27" t="s">
        <v>178</v>
      </c>
      <c r="E61" s="27" t="s">
        <v>179</v>
      </c>
      <c r="F61" s="27" t="s">
        <v>180</v>
      </c>
      <c r="G61" s="28" t="s">
        <v>181</v>
      </c>
    </row>
    <row r="62" spans="1:9" ht="21.95" customHeight="1" thickTop="1">
      <c r="A62" s="659" t="s">
        <v>184</v>
      </c>
      <c r="B62" s="660"/>
      <c r="C62" s="25" t="e">
        <f>HLOOKUP(I62,#REF!,2,FALSE)</f>
        <v>#REF!</v>
      </c>
      <c r="D62" s="25" t="e">
        <f>HLOOKUP(I62,#REF!,3,FALSE)</f>
        <v>#REF!</v>
      </c>
      <c r="E62" s="25" t="e">
        <f>HLOOKUP(I62,#REF!,4,FALSE)</f>
        <v>#REF!</v>
      </c>
      <c r="F62" s="25" t="e">
        <f>HLOOKUP(I62,#REF!,5,FALSE)</f>
        <v>#REF!</v>
      </c>
      <c r="G62" s="25" t="e">
        <f>HLOOKUP(I62,#REF!,6,FALSE)</f>
        <v>#REF!</v>
      </c>
      <c r="H62" s="49"/>
      <c r="I62" s="1" t="s">
        <v>67</v>
      </c>
    </row>
    <row r="63" spans="1:9" ht="21.95" customHeight="1">
      <c r="A63" s="658" t="s">
        <v>185</v>
      </c>
      <c r="B63" s="25" t="s">
        <v>186</v>
      </c>
      <c r="C63" s="25" t="e">
        <f>C62</f>
        <v>#REF!</v>
      </c>
      <c r="D63" s="25" t="e">
        <f>VLOOKUP($I62,'1.생잔모형법'!$A$3:$G$17,4,FALSE)</f>
        <v>#N/A</v>
      </c>
      <c r="E63" s="25" t="e">
        <f>VLOOKUP($I62,'1.생잔모형법'!$A$3:$G$17,5,FALSE)</f>
        <v>#N/A</v>
      </c>
      <c r="F63" s="25" t="e">
        <f>VLOOKUP($I62,'1.생잔모형법'!$A$3:$G$17,4,FALSE)</f>
        <v>#N/A</v>
      </c>
      <c r="G63" s="25" t="e">
        <f>VLOOKUP($I62,'1.생잔모형법'!$A$3:$G$17,7,FALSE)</f>
        <v>#N/A</v>
      </c>
    </row>
    <row r="64" spans="1:9" ht="21.95" customHeight="1">
      <c r="A64" s="658"/>
      <c r="B64" s="38" t="s">
        <v>187</v>
      </c>
      <c r="C64" s="25" t="e">
        <f>HLOOKUP(I62,#REF!,2,FALSE)</f>
        <v>#REF!</v>
      </c>
      <c r="D64" s="25" t="e">
        <f>HLOOKUP(I62,#REF!,3,FALSE)</f>
        <v>#REF!</v>
      </c>
      <c r="E64" s="25" t="e">
        <f>HLOOKUP(I62,#REF!,4,FALSE)</f>
        <v>#REF!</v>
      </c>
      <c r="F64" s="25" t="e">
        <f>HLOOKUP(I62,#REF!,5,FALSE)</f>
        <v>#REF!</v>
      </c>
      <c r="G64" s="26" t="e">
        <f>HLOOKUP(I62,#REF!,6,FALSE)</f>
        <v>#REF!</v>
      </c>
    </row>
    <row r="65" spans="1:9" ht="21.95" customHeight="1">
      <c r="A65" s="659" t="s">
        <v>188</v>
      </c>
      <c r="B65" s="661"/>
      <c r="C65" s="25"/>
      <c r="D65" s="25" t="e">
        <f>VLOOKUP(I62,#REF!,3,FALSE)</f>
        <v>#REF!</v>
      </c>
      <c r="E65" s="25" t="e">
        <f>VLOOKUP(I62,#REF!,4,FALSE)</f>
        <v>#REF!</v>
      </c>
      <c r="F65" s="25" t="e">
        <f>VLOOKUP(I62,#REF!,5,FALSE)</f>
        <v>#REF!</v>
      </c>
      <c r="G65" s="26" t="e">
        <f>VLOOKUP(I62,#REF!,6,FALSE)</f>
        <v>#REF!</v>
      </c>
    </row>
    <row r="66" spans="1:9" ht="21.95" customHeight="1">
      <c r="A66" s="656" t="s">
        <v>208</v>
      </c>
      <c r="B66" s="657"/>
      <c r="C66" s="232" t="e">
        <f>C62+C65</f>
        <v>#REF!</v>
      </c>
      <c r="D66" s="232" t="e">
        <f>D62+D65</f>
        <v>#REF!</v>
      </c>
      <c r="E66" s="232" t="e">
        <f>E62+E65</f>
        <v>#REF!</v>
      </c>
      <c r="F66" s="232" t="e">
        <f>F62+F65</f>
        <v>#REF!</v>
      </c>
      <c r="G66" s="233" t="e">
        <f>G62+G65</f>
        <v>#REF!</v>
      </c>
    </row>
    <row r="67" spans="1:9" ht="21.95" customHeight="1">
      <c r="A67" s="655" t="s">
        <v>189</v>
      </c>
      <c r="B67" s="655"/>
      <c r="C67" s="22"/>
      <c r="D67" s="22"/>
      <c r="E67" s="22"/>
      <c r="F67" s="22"/>
      <c r="G67" s="22"/>
    </row>
    <row r="68" spans="1:9" ht="21.6" customHeight="1">
      <c r="A68" s="654" t="s">
        <v>203</v>
      </c>
      <c r="B68" s="654"/>
      <c r="C68" s="23"/>
      <c r="D68" s="23"/>
      <c r="E68" s="23"/>
      <c r="F68" s="23"/>
      <c r="G68" s="23"/>
    </row>
    <row r="69" spans="1:9" ht="30" customHeight="1" thickBot="1">
      <c r="A69" s="652" t="s">
        <v>177</v>
      </c>
      <c r="B69" s="653"/>
      <c r="C69" s="27" t="s">
        <v>242</v>
      </c>
      <c r="D69" s="27" t="s">
        <v>178</v>
      </c>
      <c r="E69" s="27" t="s">
        <v>179</v>
      </c>
      <c r="F69" s="27" t="s">
        <v>180</v>
      </c>
      <c r="G69" s="28" t="s">
        <v>181</v>
      </c>
    </row>
    <row r="70" spans="1:9" ht="21.95" customHeight="1" thickTop="1">
      <c r="A70" s="659" t="s">
        <v>184</v>
      </c>
      <c r="B70" s="660"/>
      <c r="C70" s="25" t="e">
        <f>HLOOKUP(I70,#REF!,2,FALSE)</f>
        <v>#REF!</v>
      </c>
      <c r="D70" s="25" t="e">
        <f>HLOOKUP(I70,#REF!,3,FALSE)</f>
        <v>#REF!</v>
      </c>
      <c r="E70" s="25" t="e">
        <f>HLOOKUP(I70,#REF!,4,FALSE)</f>
        <v>#REF!</v>
      </c>
      <c r="F70" s="25" t="e">
        <f>HLOOKUP(I70,#REF!,5,FALSE)</f>
        <v>#REF!</v>
      </c>
      <c r="G70" s="25" t="e">
        <f>HLOOKUP(I70,#REF!,6,FALSE)</f>
        <v>#REF!</v>
      </c>
      <c r="H70" s="49"/>
      <c r="I70" s="1" t="s">
        <v>68</v>
      </c>
    </row>
    <row r="71" spans="1:9" ht="21.95" customHeight="1">
      <c r="A71" s="658" t="s">
        <v>185</v>
      </c>
      <c r="B71" s="25" t="s">
        <v>186</v>
      </c>
      <c r="C71" s="25" t="e">
        <f>C70</f>
        <v>#REF!</v>
      </c>
      <c r="D71" s="25" t="e">
        <f>VLOOKUP($I70,'1.생잔모형법'!$A$3:$G$17,4,FALSE)</f>
        <v>#N/A</v>
      </c>
      <c r="E71" s="25" t="e">
        <f>VLOOKUP($I70,'1.생잔모형법'!$A$3:$G$17,5,FALSE)</f>
        <v>#N/A</v>
      </c>
      <c r="F71" s="25" t="e">
        <f>VLOOKUP($I70,'1.생잔모형법'!$A$3:$G$17,4,FALSE)</f>
        <v>#N/A</v>
      </c>
      <c r="G71" s="25" t="e">
        <f>VLOOKUP($I70,'1.생잔모형법'!$A$3:$G$17,7,FALSE)</f>
        <v>#N/A</v>
      </c>
    </row>
    <row r="72" spans="1:9" ht="21.95" customHeight="1">
      <c r="A72" s="658"/>
      <c r="B72" s="38" t="s">
        <v>187</v>
      </c>
      <c r="C72" s="25" t="e">
        <f>HLOOKUP(I70,#REF!,2,FALSE)</f>
        <v>#REF!</v>
      </c>
      <c r="D72" s="25" t="e">
        <f>HLOOKUP(I70,#REF!,3,FALSE)</f>
        <v>#REF!</v>
      </c>
      <c r="E72" s="25" t="e">
        <f>HLOOKUP(I70,#REF!,4,FALSE)</f>
        <v>#REF!</v>
      </c>
      <c r="F72" s="25" t="e">
        <f>HLOOKUP(I70,#REF!,5,FALSE)</f>
        <v>#REF!</v>
      </c>
      <c r="G72" s="26" t="e">
        <f>HLOOKUP(I70,#REF!,6,FALSE)</f>
        <v>#REF!</v>
      </c>
    </row>
    <row r="73" spans="1:9" ht="21.95" customHeight="1">
      <c r="A73" s="659" t="s">
        <v>188</v>
      </c>
      <c r="B73" s="661"/>
      <c r="C73" s="25"/>
      <c r="D73" s="25"/>
      <c r="E73" s="25"/>
      <c r="F73" s="25"/>
      <c r="G73" s="26"/>
    </row>
    <row r="74" spans="1:9" ht="21.95" customHeight="1">
      <c r="A74" s="656" t="s">
        <v>208</v>
      </c>
      <c r="B74" s="657"/>
      <c r="C74" s="232" t="e">
        <f>C70+C73</f>
        <v>#REF!</v>
      </c>
      <c r="D74" s="232" t="e">
        <f>D70+D73</f>
        <v>#REF!</v>
      </c>
      <c r="E74" s="232" t="e">
        <f>E70+E73</f>
        <v>#REF!</v>
      </c>
      <c r="F74" s="232" t="e">
        <f>F70+F73</f>
        <v>#REF!</v>
      </c>
      <c r="G74" s="233" t="e">
        <f>G70+G73</f>
        <v>#REF!</v>
      </c>
    </row>
    <row r="75" spans="1:9" ht="21.95" customHeight="1">
      <c r="A75" s="655" t="s">
        <v>189</v>
      </c>
      <c r="B75" s="655"/>
      <c r="C75" s="22"/>
      <c r="D75" s="22"/>
      <c r="E75" s="22"/>
      <c r="F75" s="22"/>
      <c r="G75" s="22"/>
    </row>
    <row r="76" spans="1:9" ht="21.6" customHeight="1">
      <c r="A76" s="654" t="s">
        <v>204</v>
      </c>
      <c r="B76" s="654"/>
      <c r="C76" s="23"/>
      <c r="D76" s="23"/>
      <c r="E76" s="23"/>
      <c r="F76" s="23"/>
      <c r="G76" s="23"/>
    </row>
    <row r="77" spans="1:9" ht="30" customHeight="1" thickBot="1">
      <c r="A77" s="652" t="s">
        <v>177</v>
      </c>
      <c r="B77" s="653"/>
      <c r="C77" s="27" t="s">
        <v>242</v>
      </c>
      <c r="D77" s="27" t="s">
        <v>178</v>
      </c>
      <c r="E77" s="27" t="s">
        <v>179</v>
      </c>
      <c r="F77" s="27" t="s">
        <v>180</v>
      </c>
      <c r="G77" s="28" t="s">
        <v>181</v>
      </c>
    </row>
    <row r="78" spans="1:9" ht="21.95" customHeight="1" thickTop="1">
      <c r="A78" s="659" t="s">
        <v>184</v>
      </c>
      <c r="B78" s="660"/>
      <c r="C78" s="25" t="e">
        <f>HLOOKUP(I78,#REF!,2,FALSE)</f>
        <v>#REF!</v>
      </c>
      <c r="D78" s="25" t="e">
        <f>HLOOKUP(I78,#REF!,3,FALSE)</f>
        <v>#REF!</v>
      </c>
      <c r="E78" s="25" t="e">
        <f>HLOOKUP(I78,#REF!,4,FALSE)</f>
        <v>#REF!</v>
      </c>
      <c r="F78" s="25" t="e">
        <f>HLOOKUP(I78,#REF!,5,FALSE)</f>
        <v>#REF!</v>
      </c>
      <c r="G78" s="25" t="e">
        <f>HLOOKUP(I78,#REF!,6,FALSE)</f>
        <v>#REF!</v>
      </c>
      <c r="H78" s="49"/>
      <c r="I78" s="1" t="s">
        <v>69</v>
      </c>
    </row>
    <row r="79" spans="1:9" ht="21.95" customHeight="1">
      <c r="A79" s="658" t="s">
        <v>185</v>
      </c>
      <c r="B79" s="25" t="s">
        <v>186</v>
      </c>
      <c r="C79" s="25" t="e">
        <f>C78</f>
        <v>#REF!</v>
      </c>
      <c r="D79" s="25" t="e">
        <f>VLOOKUP($I78,'1.생잔모형법'!$A$3:$G$17,4,FALSE)</f>
        <v>#N/A</v>
      </c>
      <c r="E79" s="25" t="e">
        <f>VLOOKUP($I78,'1.생잔모형법'!$A$3:$G$17,5,FALSE)</f>
        <v>#N/A</v>
      </c>
      <c r="F79" s="25" t="e">
        <f>VLOOKUP($I78,'1.생잔모형법'!$A$3:$G$17,4,FALSE)</f>
        <v>#N/A</v>
      </c>
      <c r="G79" s="25" t="e">
        <f>VLOOKUP($I78,'1.생잔모형법'!$A$3:$G$17,7,FALSE)</f>
        <v>#N/A</v>
      </c>
    </row>
    <row r="80" spans="1:9" ht="21.95" customHeight="1">
      <c r="A80" s="658"/>
      <c r="B80" s="38" t="s">
        <v>187</v>
      </c>
      <c r="C80" s="25" t="e">
        <f>HLOOKUP(I78,#REF!,2,FALSE)</f>
        <v>#REF!</v>
      </c>
      <c r="D80" s="25" t="e">
        <f>HLOOKUP(I78,#REF!,3,FALSE)</f>
        <v>#REF!</v>
      </c>
      <c r="E80" s="25" t="e">
        <f>HLOOKUP(I78,#REF!,4,FALSE)</f>
        <v>#REF!</v>
      </c>
      <c r="F80" s="25" t="e">
        <f>HLOOKUP(I78,#REF!,5,FALSE)</f>
        <v>#REF!</v>
      </c>
      <c r="G80" s="26" t="e">
        <f>HLOOKUP(I78,#REF!,6,FALSE)</f>
        <v>#REF!</v>
      </c>
    </row>
    <row r="81" spans="1:9" ht="21.95" customHeight="1">
      <c r="A81" s="659" t="s">
        <v>188</v>
      </c>
      <c r="B81" s="661"/>
      <c r="C81" s="25"/>
      <c r="D81" s="25" t="e">
        <f>VLOOKUP(I78,#REF!,3,FALSE)</f>
        <v>#REF!</v>
      </c>
      <c r="E81" s="25" t="e">
        <f>VLOOKUP(I78,#REF!,4,FALSE)</f>
        <v>#REF!</v>
      </c>
      <c r="F81" s="25" t="e">
        <f>VLOOKUP(I78,#REF!,5,FALSE)</f>
        <v>#REF!</v>
      </c>
      <c r="G81" s="26" t="e">
        <f>VLOOKUP(I78,#REF!,6,FALSE)</f>
        <v>#REF!</v>
      </c>
    </row>
    <row r="82" spans="1:9" ht="21.95" customHeight="1">
      <c r="A82" s="656" t="s">
        <v>208</v>
      </c>
      <c r="B82" s="657"/>
      <c r="C82" s="232" t="e">
        <f>C78+C81</f>
        <v>#REF!</v>
      </c>
      <c r="D82" s="232" t="e">
        <f>D78+D81</f>
        <v>#REF!</v>
      </c>
      <c r="E82" s="232" t="e">
        <f>E78+E81</f>
        <v>#REF!</v>
      </c>
      <c r="F82" s="232" t="e">
        <f>F78+F81</f>
        <v>#REF!</v>
      </c>
      <c r="G82" s="233" t="e">
        <f>G78+G81</f>
        <v>#REF!</v>
      </c>
    </row>
    <row r="83" spans="1:9" ht="21.95" customHeight="1">
      <c r="A83" s="655" t="s">
        <v>189</v>
      </c>
      <c r="B83" s="655"/>
      <c r="C83" s="22"/>
      <c r="D83" s="22"/>
      <c r="E83" s="22"/>
      <c r="F83" s="22"/>
      <c r="G83" s="22"/>
    </row>
    <row r="84" spans="1:9" ht="21.6" customHeight="1">
      <c r="A84" s="654" t="s">
        <v>205</v>
      </c>
      <c r="B84" s="654"/>
      <c r="C84" s="23"/>
      <c r="D84" s="23"/>
      <c r="E84" s="23"/>
      <c r="F84" s="23"/>
      <c r="G84" s="23"/>
    </row>
    <row r="85" spans="1:9" ht="30" customHeight="1" thickBot="1">
      <c r="A85" s="652" t="s">
        <v>177</v>
      </c>
      <c r="B85" s="653"/>
      <c r="C85" s="27" t="s">
        <v>242</v>
      </c>
      <c r="D85" s="27" t="s">
        <v>178</v>
      </c>
      <c r="E85" s="27" t="s">
        <v>179</v>
      </c>
      <c r="F85" s="27" t="s">
        <v>180</v>
      </c>
      <c r="G85" s="28" t="s">
        <v>181</v>
      </c>
    </row>
    <row r="86" spans="1:9" ht="21.95" customHeight="1" thickTop="1">
      <c r="A86" s="659" t="s">
        <v>184</v>
      </c>
      <c r="B86" s="660"/>
      <c r="C86" s="25" t="e">
        <f>HLOOKUP(I86,#REF!,2,FALSE)</f>
        <v>#REF!</v>
      </c>
      <c r="D86" s="25" t="e">
        <f>HLOOKUP(I86,#REF!,3,FALSE)</f>
        <v>#REF!</v>
      </c>
      <c r="E86" s="25" t="e">
        <f>HLOOKUP(I86,#REF!,4,FALSE)</f>
        <v>#REF!</v>
      </c>
      <c r="F86" s="25" t="e">
        <f>HLOOKUP(I86,#REF!,5,FALSE)</f>
        <v>#REF!</v>
      </c>
      <c r="G86" s="25" t="e">
        <f>HLOOKUP(I86,#REF!,6,FALSE)</f>
        <v>#REF!</v>
      </c>
      <c r="H86" s="49"/>
      <c r="I86" s="1" t="s">
        <v>70</v>
      </c>
    </row>
    <row r="87" spans="1:9" ht="21.95" customHeight="1">
      <c r="A87" s="658" t="s">
        <v>185</v>
      </c>
      <c r="B87" s="25" t="s">
        <v>186</v>
      </c>
      <c r="C87" s="25" t="e">
        <f>C86</f>
        <v>#REF!</v>
      </c>
      <c r="D87" s="25" t="e">
        <f>VLOOKUP($I86,'1.생잔모형법'!$A$3:$G$17,4,FALSE)</f>
        <v>#N/A</v>
      </c>
      <c r="E87" s="25" t="e">
        <f>VLOOKUP($I86,'1.생잔모형법'!$A$3:$G$17,5,FALSE)</f>
        <v>#N/A</v>
      </c>
      <c r="F87" s="25" t="e">
        <f>VLOOKUP($I86,'1.생잔모형법'!$A$3:$G$17,4,FALSE)</f>
        <v>#N/A</v>
      </c>
      <c r="G87" s="25" t="e">
        <f>VLOOKUP($I86,'1.생잔모형법'!$A$3:$G$17,7,FALSE)</f>
        <v>#N/A</v>
      </c>
    </row>
    <row r="88" spans="1:9" ht="21.95" customHeight="1">
      <c r="A88" s="658"/>
      <c r="B88" s="38" t="s">
        <v>187</v>
      </c>
      <c r="C88" s="25" t="e">
        <f>HLOOKUP(I86,#REF!,2,FALSE)</f>
        <v>#REF!</v>
      </c>
      <c r="D88" s="25" t="e">
        <f>HLOOKUP(I86,#REF!,3,FALSE)</f>
        <v>#REF!</v>
      </c>
      <c r="E88" s="25" t="e">
        <f>HLOOKUP(I86,#REF!,4,FALSE)</f>
        <v>#REF!</v>
      </c>
      <c r="F88" s="25" t="e">
        <f>HLOOKUP(I86,#REF!,5,FALSE)</f>
        <v>#REF!</v>
      </c>
      <c r="G88" s="26" t="e">
        <f>HLOOKUP(I86,#REF!,6,FALSE)</f>
        <v>#REF!</v>
      </c>
    </row>
    <row r="89" spans="1:9" ht="21.95" customHeight="1">
      <c r="A89" s="659" t="s">
        <v>188</v>
      </c>
      <c r="B89" s="661"/>
      <c r="C89" s="25"/>
      <c r="D89" s="25" t="e">
        <f>VLOOKUP(I86,#REF!,3,FALSE)</f>
        <v>#REF!</v>
      </c>
      <c r="E89" s="25" t="e">
        <f>VLOOKUP(I86,#REF!,4,FALSE)</f>
        <v>#REF!</v>
      </c>
      <c r="F89" s="25" t="e">
        <f>VLOOKUP(I86,#REF!,5,FALSE)</f>
        <v>#REF!</v>
      </c>
      <c r="G89" s="26" t="e">
        <f>VLOOKUP(I86,#REF!,6,FALSE)</f>
        <v>#REF!</v>
      </c>
    </row>
    <row r="90" spans="1:9" ht="21.95" customHeight="1">
      <c r="A90" s="656" t="s">
        <v>208</v>
      </c>
      <c r="B90" s="657"/>
      <c r="C90" s="232" t="e">
        <f>C86+C89</f>
        <v>#REF!</v>
      </c>
      <c r="D90" s="232" t="e">
        <f>D86+D89</f>
        <v>#REF!</v>
      </c>
      <c r="E90" s="232" t="e">
        <f>E86+E89</f>
        <v>#REF!</v>
      </c>
      <c r="F90" s="232" t="e">
        <f>F86+F89</f>
        <v>#REF!</v>
      </c>
      <c r="G90" s="233" t="e">
        <f>G86+G89</f>
        <v>#REF!</v>
      </c>
    </row>
    <row r="91" spans="1:9" ht="21.95" customHeight="1">
      <c r="A91" s="655" t="s">
        <v>189</v>
      </c>
      <c r="B91" s="655"/>
      <c r="C91" s="22"/>
      <c r="D91" s="22"/>
      <c r="E91" s="22"/>
      <c r="F91" s="22"/>
      <c r="G91" s="22"/>
    </row>
    <row r="92" spans="1:9" ht="21.6" customHeight="1">
      <c r="A92" s="654" t="s">
        <v>206</v>
      </c>
      <c r="B92" s="654"/>
      <c r="C92" s="23"/>
      <c r="D92" s="23"/>
      <c r="E92" s="23"/>
      <c r="F92" s="23"/>
      <c r="G92" s="23"/>
    </row>
    <row r="93" spans="1:9" ht="30" customHeight="1" thickBot="1">
      <c r="A93" s="652" t="s">
        <v>177</v>
      </c>
      <c r="B93" s="653"/>
      <c r="C93" s="27" t="s">
        <v>242</v>
      </c>
      <c r="D93" s="27" t="s">
        <v>178</v>
      </c>
      <c r="E93" s="27" t="s">
        <v>179</v>
      </c>
      <c r="F93" s="27" t="s">
        <v>180</v>
      </c>
      <c r="G93" s="28" t="s">
        <v>181</v>
      </c>
    </row>
    <row r="94" spans="1:9" ht="21.95" customHeight="1" thickTop="1">
      <c r="A94" s="659" t="s">
        <v>184</v>
      </c>
      <c r="B94" s="660"/>
      <c r="C94" s="25" t="e">
        <f>HLOOKUP(I94,#REF!,2,FALSE)</f>
        <v>#REF!</v>
      </c>
      <c r="D94" s="25" t="e">
        <f>HLOOKUP(I94,#REF!,3,FALSE)</f>
        <v>#REF!</v>
      </c>
      <c r="E94" s="25" t="e">
        <f>HLOOKUP(I94,#REF!,4,FALSE)</f>
        <v>#REF!</v>
      </c>
      <c r="F94" s="25" t="e">
        <f>HLOOKUP(I94,#REF!,5,FALSE)</f>
        <v>#REF!</v>
      </c>
      <c r="G94" s="25" t="e">
        <f>HLOOKUP(I94,#REF!,6,FALSE)</f>
        <v>#REF!</v>
      </c>
      <c r="H94" s="49"/>
      <c r="I94" s="1" t="s">
        <v>71</v>
      </c>
    </row>
    <row r="95" spans="1:9" ht="21.95" customHeight="1">
      <c r="A95" s="658" t="s">
        <v>185</v>
      </c>
      <c r="B95" s="25" t="s">
        <v>186</v>
      </c>
      <c r="C95" s="25" t="e">
        <f>C94</f>
        <v>#REF!</v>
      </c>
      <c r="D95" s="25" t="e">
        <f>VLOOKUP($I94,'1.생잔모형법'!$A$3:$G$17,4,FALSE)</f>
        <v>#N/A</v>
      </c>
      <c r="E95" s="25" t="e">
        <f>VLOOKUP($I94,'1.생잔모형법'!$A$3:$G$17,5,FALSE)</f>
        <v>#N/A</v>
      </c>
      <c r="F95" s="25" t="e">
        <f>VLOOKUP($I94,'1.생잔모형법'!$A$3:$G$17,4,FALSE)</f>
        <v>#N/A</v>
      </c>
      <c r="G95" s="25" t="e">
        <f>VLOOKUP($I94,'1.생잔모형법'!$A$3:$G$17,7,FALSE)</f>
        <v>#N/A</v>
      </c>
    </row>
    <row r="96" spans="1:9" ht="21.95" customHeight="1">
      <c r="A96" s="658"/>
      <c r="B96" s="38" t="s">
        <v>187</v>
      </c>
      <c r="C96" s="25" t="e">
        <f>HLOOKUP(I94,#REF!,2,FALSE)</f>
        <v>#REF!</v>
      </c>
      <c r="D96" s="25" t="e">
        <f>HLOOKUP(I94,#REF!,3,FALSE)</f>
        <v>#REF!</v>
      </c>
      <c r="E96" s="25" t="e">
        <f>HLOOKUP(I94,#REF!,4,FALSE)</f>
        <v>#REF!</v>
      </c>
      <c r="F96" s="25" t="e">
        <f>HLOOKUP(I94,#REF!,5,FALSE)</f>
        <v>#REF!</v>
      </c>
      <c r="G96" s="26" t="e">
        <f>HLOOKUP(I94,#REF!,6,FALSE)</f>
        <v>#REF!</v>
      </c>
    </row>
    <row r="97" spans="1:7" ht="21.95" customHeight="1">
      <c r="A97" s="659" t="s">
        <v>188</v>
      </c>
      <c r="B97" s="661"/>
      <c r="C97" s="25"/>
      <c r="D97" s="25"/>
      <c r="E97" s="25"/>
      <c r="F97" s="25"/>
      <c r="G97" s="26"/>
    </row>
    <row r="98" spans="1:7" ht="21.95" customHeight="1">
      <c r="A98" s="656" t="s">
        <v>207</v>
      </c>
      <c r="B98" s="657"/>
      <c r="C98" s="232" t="e">
        <f>C94+C97</f>
        <v>#REF!</v>
      </c>
      <c r="D98" s="232" t="e">
        <f>D94+D97</f>
        <v>#REF!</v>
      </c>
      <c r="E98" s="232" t="e">
        <f>E94+E97</f>
        <v>#REF!</v>
      </c>
      <c r="F98" s="232" t="e">
        <f>F94+F97</f>
        <v>#REF!</v>
      </c>
      <c r="G98" s="233" t="e">
        <f>G94+G97</f>
        <v>#REF!</v>
      </c>
    </row>
    <row r="99" spans="1:7" ht="21.95" customHeight="1">
      <c r="A99" s="655" t="s">
        <v>189</v>
      </c>
      <c r="B99" s="655"/>
      <c r="C99" s="22"/>
      <c r="D99" s="22"/>
      <c r="E99" s="22"/>
      <c r="F99" s="22"/>
      <c r="G99" s="22"/>
    </row>
    <row r="100" spans="1:7" ht="21.6" customHeight="1">
      <c r="A100" s="23"/>
      <c r="B100" s="23"/>
      <c r="C100" s="23"/>
      <c r="D100" s="23"/>
      <c r="E100" s="23"/>
      <c r="F100" s="23"/>
      <c r="G100" s="23"/>
    </row>
    <row r="101" spans="1:7" ht="21.6" customHeight="1">
      <c r="A101" s="23"/>
      <c r="B101" s="23"/>
      <c r="C101" s="23"/>
      <c r="D101" s="23"/>
      <c r="E101" s="23"/>
      <c r="F101" s="23"/>
      <c r="G101" s="23"/>
    </row>
    <row r="102" spans="1:7" ht="21.6" customHeight="1">
      <c r="A102" s="23"/>
      <c r="B102" s="23"/>
      <c r="C102" s="23"/>
      <c r="D102" s="23"/>
      <c r="E102" s="23"/>
      <c r="F102" s="23"/>
      <c r="G102" s="23"/>
    </row>
  </sheetData>
  <mergeCells count="79">
    <mergeCell ref="A46:B46"/>
    <mergeCell ref="A31:A32"/>
    <mergeCell ref="A42:B42"/>
    <mergeCell ref="A43:B43"/>
    <mergeCell ref="A38:B38"/>
    <mergeCell ref="A41:B41"/>
    <mergeCell ref="A39:A40"/>
    <mergeCell ref="A44:B44"/>
    <mergeCell ref="A36:B36"/>
    <mergeCell ref="A37:B37"/>
    <mergeCell ref="A29:B29"/>
    <mergeCell ref="A30:B30"/>
    <mergeCell ref="A22:B22"/>
    <mergeCell ref="A26:B26"/>
    <mergeCell ref="A23:A24"/>
    <mergeCell ref="A27:B27"/>
    <mergeCell ref="A1:B1"/>
    <mergeCell ref="A18:B18"/>
    <mergeCell ref="A35:B35"/>
    <mergeCell ref="A33:B33"/>
    <mergeCell ref="A34:B34"/>
    <mergeCell ref="A25:B25"/>
    <mergeCell ref="A3:B3"/>
    <mergeCell ref="A19:B19"/>
    <mergeCell ref="A14:B14"/>
    <mergeCell ref="A5:A13"/>
    <mergeCell ref="A4:B4"/>
    <mergeCell ref="A17:B17"/>
    <mergeCell ref="A15:A16"/>
    <mergeCell ref="A20:B20"/>
    <mergeCell ref="A21:B21"/>
    <mergeCell ref="A28:B28"/>
    <mergeCell ref="A53:B53"/>
    <mergeCell ref="A99:B99"/>
    <mergeCell ref="A93:B93"/>
    <mergeCell ref="A98:B98"/>
    <mergeCell ref="A86:B86"/>
    <mergeCell ref="A97:B97"/>
    <mergeCell ref="A87:A88"/>
    <mergeCell ref="A89:B89"/>
    <mergeCell ref="A95:A96"/>
    <mergeCell ref="A90:B90"/>
    <mergeCell ref="A92:B92"/>
    <mergeCell ref="A94:B94"/>
    <mergeCell ref="A77:B77"/>
    <mergeCell ref="A78:B78"/>
    <mergeCell ref="A79:A80"/>
    <mergeCell ref="A81:B81"/>
    <mergeCell ref="A47:A48"/>
    <mergeCell ref="A45:B45"/>
    <mergeCell ref="A52:B52"/>
    <mergeCell ref="A63:A64"/>
    <mergeCell ref="A65:B65"/>
    <mergeCell ref="A62:B62"/>
    <mergeCell ref="A55:A56"/>
    <mergeCell ref="A60:B60"/>
    <mergeCell ref="A61:B61"/>
    <mergeCell ref="A57:B57"/>
    <mergeCell ref="A50:B50"/>
    <mergeCell ref="A59:B59"/>
    <mergeCell ref="A49:B49"/>
    <mergeCell ref="A51:B51"/>
    <mergeCell ref="A54:B54"/>
    <mergeCell ref="A58:B58"/>
    <mergeCell ref="A66:B66"/>
    <mergeCell ref="A71:A72"/>
    <mergeCell ref="A70:B70"/>
    <mergeCell ref="A75:B75"/>
    <mergeCell ref="A76:B76"/>
    <mergeCell ref="A73:B73"/>
    <mergeCell ref="A74:B74"/>
    <mergeCell ref="A67:B67"/>
    <mergeCell ref="A69:B69"/>
    <mergeCell ref="A68:B68"/>
    <mergeCell ref="A85:B85"/>
    <mergeCell ref="A84:B84"/>
    <mergeCell ref="A83:B83"/>
    <mergeCell ref="A82:B82"/>
    <mergeCell ref="A91:B91"/>
  </mergeCells>
  <phoneticPr fontId="10" type="noConversion"/>
  <printOptions horizontalCentered="1"/>
  <pageMargins left="0.35433070866141736" right="0.35433070866141736" top="0.70866141732283472" bottom="0.70866141732283472" header="0.51181102362204722" footer="0.51181102362204722"/>
  <pageSetup paperSize="9" scale="95" orientation="portrait" r:id="rId1"/>
  <headerFooter alignWithMargins="0"/>
  <rowBreaks count="2" manualBreakCount="2">
    <brk id="35" max="6" man="1"/>
    <brk id="67" max="6" man="1"/>
  </rowBreaks>
</worksheet>
</file>

<file path=xl/worksheets/sheet5.xml><?xml version="1.0" encoding="utf-8"?>
<worksheet xmlns="http://schemas.openxmlformats.org/spreadsheetml/2006/main" xmlns:r="http://schemas.openxmlformats.org/officeDocument/2006/relationships">
  <sheetPr codeName="Sheet30">
    <tabColor indexed="43"/>
  </sheetPr>
  <dimension ref="A1:AO204"/>
  <sheetViews>
    <sheetView workbookViewId="0"/>
  </sheetViews>
  <sheetFormatPr defaultRowHeight="15" customHeight="1"/>
  <cols>
    <col min="1" max="1" width="8.88671875" style="55"/>
    <col min="2" max="2" width="9.21875" style="55" customWidth="1"/>
    <col min="3" max="3" width="9.5546875" style="55" customWidth="1"/>
    <col min="4" max="4" width="9" style="55" customWidth="1"/>
    <col min="5" max="5" width="11.33203125" style="55" customWidth="1"/>
    <col min="6" max="6" width="9.44140625" style="55" customWidth="1"/>
    <col min="7" max="7" width="15.109375" style="55" bestFit="1" customWidth="1"/>
    <col min="8" max="8" width="12.88671875" style="55" bestFit="1" customWidth="1"/>
    <col min="9" max="9" width="11.5546875" style="55" bestFit="1" customWidth="1"/>
    <col min="10" max="11" width="8.88671875" style="55"/>
    <col min="12" max="41" width="6.77734375" style="55" customWidth="1"/>
    <col min="42" max="16384" width="8.88671875" style="55"/>
  </cols>
  <sheetData>
    <row r="1" spans="1:13" ht="15" customHeight="1">
      <c r="A1" s="54" t="s">
        <v>255</v>
      </c>
    </row>
    <row r="2" spans="1:13" ht="15" customHeight="1">
      <c r="A2" s="54"/>
    </row>
    <row r="3" spans="1:13" ht="15" customHeight="1">
      <c r="A3" s="56" t="s">
        <v>74</v>
      </c>
      <c r="B3" s="57"/>
    </row>
    <row r="4" spans="1:13" ht="15" customHeight="1">
      <c r="A4" s="58" t="s">
        <v>32</v>
      </c>
      <c r="B4" s="59" t="s">
        <v>40</v>
      </c>
      <c r="C4" s="59" t="s">
        <v>33</v>
      </c>
      <c r="D4" s="60"/>
      <c r="E4" s="60"/>
      <c r="F4" s="61"/>
      <c r="G4" s="62"/>
      <c r="H4" s="63" t="s">
        <v>250</v>
      </c>
      <c r="I4" s="64">
        <f>RSQ(I5:I15,B5:B15)</f>
        <v>0.97710425309326432</v>
      </c>
    </row>
    <row r="5" spans="1:13" ht="15" customHeight="1">
      <c r="A5" s="176">
        <v>1997</v>
      </c>
      <c r="B5" s="180">
        <f>+송정동20년!B14</f>
        <v>6952</v>
      </c>
      <c r="C5" s="177">
        <v>0</v>
      </c>
      <c r="D5" s="178"/>
      <c r="E5" s="178"/>
      <c r="F5" s="179"/>
      <c r="G5" s="262"/>
      <c r="H5" s="263"/>
      <c r="I5" s="70">
        <f t="shared" ref="I5:I33" si="0">$E$6*C5+$E$7</f>
        <v>6952</v>
      </c>
    </row>
    <row r="6" spans="1:13" ht="15" customHeight="1">
      <c r="A6" s="65" t="e">
        <f>#REF!</f>
        <v>#REF!</v>
      </c>
      <c r="B6" s="180">
        <f>+송정동20년!B15</f>
        <v>6698</v>
      </c>
      <c r="C6" s="67">
        <f>+C5+1</f>
        <v>1</v>
      </c>
      <c r="D6" s="53" t="s">
        <v>75</v>
      </c>
      <c r="E6" s="68">
        <f>(B15-B5)/C15</f>
        <v>-176.9</v>
      </c>
      <c r="F6" s="69"/>
      <c r="G6" s="53"/>
      <c r="H6" s="69"/>
      <c r="I6" s="70">
        <f t="shared" si="0"/>
        <v>6775.1</v>
      </c>
      <c r="J6" s="71">
        <v>570570</v>
      </c>
      <c r="K6" s="55">
        <v>570570</v>
      </c>
      <c r="L6" s="55">
        <v>766</v>
      </c>
    </row>
    <row r="7" spans="1:13" ht="15" customHeight="1">
      <c r="A7" s="65" t="e">
        <f>#REF!</f>
        <v>#REF!</v>
      </c>
      <c r="B7" s="180">
        <f>+송정동20년!B16</f>
        <v>6610</v>
      </c>
      <c r="C7" s="67">
        <f t="shared" ref="C7:C33" si="1">C6+1</f>
        <v>2</v>
      </c>
      <c r="D7" s="53" t="s">
        <v>76</v>
      </c>
      <c r="E7" s="72">
        <f>B5</f>
        <v>6952</v>
      </c>
      <c r="F7" s="69"/>
      <c r="G7" s="53"/>
      <c r="H7" s="69"/>
      <c r="I7" s="70">
        <f t="shared" si="0"/>
        <v>6598.2</v>
      </c>
      <c r="J7" s="71">
        <v>583230</v>
      </c>
      <c r="K7" s="55">
        <v>583230</v>
      </c>
      <c r="L7" s="55">
        <v>1094</v>
      </c>
    </row>
    <row r="8" spans="1:13" ht="15" customHeight="1">
      <c r="A8" s="65" t="e">
        <f>#REF!</f>
        <v>#REF!</v>
      </c>
      <c r="B8" s="180">
        <f>+송정동20년!B17</f>
        <v>6347</v>
      </c>
      <c r="C8" s="67">
        <f t="shared" si="1"/>
        <v>3</v>
      </c>
      <c r="D8" s="53" t="s">
        <v>77</v>
      </c>
      <c r="E8" s="73">
        <f>I4</f>
        <v>0.97710425309326432</v>
      </c>
      <c r="F8" s="69"/>
      <c r="G8" s="53"/>
      <c r="H8" s="69"/>
      <c r="I8" s="70">
        <f t="shared" si="0"/>
        <v>6421.3</v>
      </c>
      <c r="J8" s="71">
        <v>590162</v>
      </c>
      <c r="K8" s="55">
        <v>590162</v>
      </c>
      <c r="L8" s="55">
        <v>1277</v>
      </c>
    </row>
    <row r="9" spans="1:13" ht="15" customHeight="1">
      <c r="A9" s="65" t="e">
        <f>#REF!</f>
        <v>#REF!</v>
      </c>
      <c r="B9" s="180">
        <f>+송정동20년!B18</f>
        <v>6154</v>
      </c>
      <c r="C9" s="67">
        <f t="shared" si="1"/>
        <v>4</v>
      </c>
      <c r="D9" s="53"/>
      <c r="E9" s="53"/>
      <c r="F9" s="69"/>
      <c r="G9" s="53"/>
      <c r="H9" s="69"/>
      <c r="I9" s="70">
        <f t="shared" si="0"/>
        <v>6244.4</v>
      </c>
      <c r="J9" s="71">
        <v>600343</v>
      </c>
      <c r="K9" s="55">
        <v>600343</v>
      </c>
      <c r="L9" s="55">
        <v>1147</v>
      </c>
    </row>
    <row r="10" spans="1:13" ht="15" customHeight="1">
      <c r="A10" s="65" t="e">
        <f>#REF!</f>
        <v>#REF!</v>
      </c>
      <c r="B10" s="180">
        <f>+송정동20년!B19</f>
        <v>5940</v>
      </c>
      <c r="C10" s="67">
        <f t="shared" si="1"/>
        <v>5</v>
      </c>
      <c r="D10" s="53"/>
      <c r="E10" s="53"/>
      <c r="F10" s="69"/>
      <c r="G10" s="53"/>
      <c r="H10" s="69"/>
      <c r="I10" s="70">
        <f t="shared" si="0"/>
        <v>6067.5</v>
      </c>
      <c r="J10" s="71">
        <v>611921</v>
      </c>
      <c r="K10" s="55">
        <v>611921</v>
      </c>
      <c r="L10" s="55">
        <v>1355</v>
      </c>
    </row>
    <row r="11" spans="1:13" ht="15" customHeight="1">
      <c r="A11" s="65" t="e">
        <f>#REF!</f>
        <v>#REF!</v>
      </c>
      <c r="B11" s="180">
        <f>+송정동20년!B20</f>
        <v>5740</v>
      </c>
      <c r="C11" s="67">
        <f t="shared" si="1"/>
        <v>6</v>
      </c>
      <c r="D11" s="53"/>
      <c r="E11" s="53"/>
      <c r="F11" s="69"/>
      <c r="G11" s="53"/>
      <c r="H11" s="69"/>
      <c r="I11" s="70">
        <f t="shared" si="0"/>
        <v>5890.6</v>
      </c>
      <c r="J11" s="74">
        <v>622238</v>
      </c>
      <c r="K11" s="55">
        <v>622238</v>
      </c>
      <c r="L11" s="55">
        <v>1717</v>
      </c>
    </row>
    <row r="12" spans="1:13" ht="15" customHeight="1">
      <c r="A12" s="65" t="e">
        <f>#REF!</f>
        <v>#REF!</v>
      </c>
      <c r="B12" s="180">
        <f>+송정동20년!B21</f>
        <v>5718</v>
      </c>
      <c r="C12" s="67">
        <f t="shared" si="1"/>
        <v>7</v>
      </c>
      <c r="D12" s="53" t="s">
        <v>73</v>
      </c>
      <c r="E12" s="53"/>
      <c r="F12" s="69"/>
      <c r="G12" s="53"/>
      <c r="H12" s="69"/>
      <c r="I12" s="70">
        <f t="shared" si="0"/>
        <v>5713.7</v>
      </c>
      <c r="J12" s="74">
        <v>623897</v>
      </c>
      <c r="K12" s="55">
        <v>623897</v>
      </c>
      <c r="L12" s="55">
        <v>1614</v>
      </c>
    </row>
    <row r="13" spans="1:13" ht="15" customHeight="1">
      <c r="A13" s="65" t="e">
        <f>#REF!</f>
        <v>#REF!</v>
      </c>
      <c r="B13" s="180">
        <f>+송정동20년!B22</f>
        <v>5709</v>
      </c>
      <c r="C13" s="67">
        <f t="shared" si="1"/>
        <v>8</v>
      </c>
      <c r="D13" s="53"/>
      <c r="E13" s="53"/>
      <c r="F13" s="69"/>
      <c r="G13" s="53"/>
      <c r="H13" s="69"/>
      <c r="I13" s="70">
        <f t="shared" si="0"/>
        <v>5536.8</v>
      </c>
      <c r="J13" s="74">
        <v>626069</v>
      </c>
      <c r="K13" s="55">
        <v>626069</v>
      </c>
      <c r="L13" s="55">
        <v>1584</v>
      </c>
    </row>
    <row r="14" spans="1:13" ht="15" customHeight="1">
      <c r="A14" s="65" t="e">
        <f>#REF!</f>
        <v>#REF!</v>
      </c>
      <c r="B14" s="180">
        <f>+송정동20년!B23</f>
        <v>5399</v>
      </c>
      <c r="C14" s="67">
        <f t="shared" si="1"/>
        <v>9</v>
      </c>
      <c r="D14" s="53"/>
      <c r="E14" s="53"/>
      <c r="F14" s="69"/>
      <c r="G14" s="53"/>
      <c r="H14" s="69"/>
      <c r="I14" s="70">
        <f t="shared" si="0"/>
        <v>5359.9</v>
      </c>
      <c r="J14" s="74">
        <v>618816</v>
      </c>
      <c r="K14" s="55">
        <v>620374</v>
      </c>
      <c r="L14" s="75">
        <v>1555</v>
      </c>
      <c r="M14" s="75"/>
    </row>
    <row r="15" spans="1:13" ht="15" customHeight="1" thickBot="1">
      <c r="A15" s="97" t="e">
        <f>#REF!</f>
        <v>#REF!</v>
      </c>
      <c r="B15" s="181">
        <f>+송정동20년!B24</f>
        <v>5183</v>
      </c>
      <c r="C15" s="99">
        <f t="shared" si="1"/>
        <v>10</v>
      </c>
      <c r="D15" s="101"/>
      <c r="E15" s="101"/>
      <c r="F15" s="100"/>
      <c r="G15" s="101"/>
      <c r="H15" s="100"/>
      <c r="I15" s="102">
        <f t="shared" si="0"/>
        <v>5183</v>
      </c>
      <c r="J15" s="74">
        <v>622472</v>
      </c>
      <c r="K15" s="55">
        <v>624260</v>
      </c>
      <c r="L15" s="75">
        <v>1788</v>
      </c>
      <c r="M15" s="75"/>
    </row>
    <row r="16" spans="1:13" ht="15" customHeight="1" thickTop="1">
      <c r="A16" s="80">
        <v>2008</v>
      </c>
      <c r="B16" s="81">
        <f t="shared" ref="B16:B33" si="2">ROUND($E$6*C16+$E$7,0)</f>
        <v>5006</v>
      </c>
      <c r="C16" s="77">
        <f t="shared" si="1"/>
        <v>11</v>
      </c>
      <c r="D16" s="256"/>
      <c r="E16" s="256"/>
      <c r="F16" s="78"/>
      <c r="G16" s="256"/>
      <c r="H16" s="78"/>
      <c r="I16" s="79">
        <f t="shared" si="0"/>
        <v>5006.1000000000004</v>
      </c>
      <c r="K16" s="55">
        <v>623804</v>
      </c>
      <c r="L16" s="75">
        <f>+J16-K16</f>
        <v>-623804</v>
      </c>
      <c r="M16" s="75"/>
    </row>
    <row r="17" spans="1:9" ht="15" customHeight="1">
      <c r="A17" s="80">
        <v>2009</v>
      </c>
      <c r="B17" s="81">
        <f t="shared" si="2"/>
        <v>4829</v>
      </c>
      <c r="C17" s="67">
        <f t="shared" si="1"/>
        <v>12</v>
      </c>
      <c r="D17" s="69"/>
      <c r="E17" s="69"/>
      <c r="F17" s="69"/>
      <c r="G17" s="69"/>
      <c r="H17" s="69"/>
      <c r="I17" s="70">
        <f t="shared" si="0"/>
        <v>4829.2</v>
      </c>
    </row>
    <row r="18" spans="1:9" ht="15" customHeight="1">
      <c r="A18" s="80">
        <v>2010</v>
      </c>
      <c r="B18" s="81">
        <f t="shared" si="2"/>
        <v>4652</v>
      </c>
      <c r="C18" s="82">
        <f t="shared" si="1"/>
        <v>13</v>
      </c>
      <c r="D18" s="69"/>
      <c r="E18" s="69"/>
      <c r="F18" s="69"/>
      <c r="G18" s="69"/>
      <c r="H18" s="69"/>
      <c r="I18" s="70">
        <f t="shared" si="0"/>
        <v>4652.2999999999993</v>
      </c>
    </row>
    <row r="19" spans="1:9" ht="15" customHeight="1">
      <c r="A19" s="80">
        <v>2011</v>
      </c>
      <c r="B19" s="81">
        <f t="shared" si="2"/>
        <v>4475</v>
      </c>
      <c r="C19" s="82">
        <f t="shared" si="1"/>
        <v>14</v>
      </c>
      <c r="D19" s="69"/>
      <c r="E19" s="69"/>
      <c r="F19" s="69"/>
      <c r="G19" s="69"/>
      <c r="H19" s="69"/>
      <c r="I19" s="70">
        <f t="shared" si="0"/>
        <v>4475.3999999999996</v>
      </c>
    </row>
    <row r="20" spans="1:9" ht="15" customHeight="1">
      <c r="A20" s="80">
        <v>2012</v>
      </c>
      <c r="B20" s="81">
        <f t="shared" si="2"/>
        <v>4299</v>
      </c>
      <c r="C20" s="82">
        <f t="shared" si="1"/>
        <v>15</v>
      </c>
      <c r="D20" s="69"/>
      <c r="E20" s="69"/>
      <c r="F20" s="69"/>
      <c r="G20" s="69"/>
      <c r="H20" s="69"/>
      <c r="I20" s="70">
        <f t="shared" si="0"/>
        <v>4298.5</v>
      </c>
    </row>
    <row r="21" spans="1:9" ht="15" customHeight="1">
      <c r="A21" s="80">
        <v>2013</v>
      </c>
      <c r="B21" s="81">
        <f t="shared" si="2"/>
        <v>4122</v>
      </c>
      <c r="C21" s="82">
        <f t="shared" si="1"/>
        <v>16</v>
      </c>
      <c r="D21" s="69"/>
      <c r="E21" s="69"/>
      <c r="F21" s="69"/>
      <c r="G21" s="69"/>
      <c r="H21" s="69"/>
      <c r="I21" s="70">
        <f t="shared" si="0"/>
        <v>4121.6000000000004</v>
      </c>
    </row>
    <row r="22" spans="1:9" ht="15" customHeight="1">
      <c r="A22" s="80">
        <v>2014</v>
      </c>
      <c r="B22" s="81">
        <f t="shared" si="2"/>
        <v>3945</v>
      </c>
      <c r="C22" s="82">
        <f t="shared" si="1"/>
        <v>17</v>
      </c>
      <c r="D22" s="69"/>
      <c r="E22" s="69"/>
      <c r="F22" s="69"/>
      <c r="G22" s="69"/>
      <c r="H22" s="69"/>
      <c r="I22" s="70">
        <f t="shared" si="0"/>
        <v>3944.7</v>
      </c>
    </row>
    <row r="23" spans="1:9" ht="15" customHeight="1">
      <c r="A23" s="80">
        <v>2015</v>
      </c>
      <c r="B23" s="81">
        <f t="shared" si="2"/>
        <v>3768</v>
      </c>
      <c r="C23" s="82">
        <f t="shared" si="1"/>
        <v>18</v>
      </c>
      <c r="D23" s="69"/>
      <c r="E23" s="69"/>
      <c r="F23" s="69"/>
      <c r="G23" s="69"/>
      <c r="H23" s="69"/>
      <c r="I23" s="70">
        <f t="shared" si="0"/>
        <v>3767.7999999999997</v>
      </c>
    </row>
    <row r="24" spans="1:9" ht="15" customHeight="1">
      <c r="A24" s="80">
        <v>2016</v>
      </c>
      <c r="B24" s="81">
        <f t="shared" si="2"/>
        <v>3591</v>
      </c>
      <c r="C24" s="82">
        <f t="shared" si="1"/>
        <v>19</v>
      </c>
      <c r="D24" s="69"/>
      <c r="E24" s="69"/>
      <c r="F24" s="69"/>
      <c r="G24" s="69"/>
      <c r="H24" s="69"/>
      <c r="I24" s="70">
        <f t="shared" si="0"/>
        <v>3590.9</v>
      </c>
    </row>
    <row r="25" spans="1:9" ht="15" customHeight="1">
      <c r="A25" s="80">
        <v>2017</v>
      </c>
      <c r="B25" s="81">
        <f t="shared" si="2"/>
        <v>3414</v>
      </c>
      <c r="C25" s="82">
        <f t="shared" si="1"/>
        <v>20</v>
      </c>
      <c r="D25" s="69"/>
      <c r="E25" s="69"/>
      <c r="F25" s="69"/>
      <c r="G25" s="69"/>
      <c r="H25" s="69"/>
      <c r="I25" s="70">
        <f t="shared" si="0"/>
        <v>3414</v>
      </c>
    </row>
    <row r="26" spans="1:9" ht="15" customHeight="1">
      <c r="A26" s="80">
        <v>2018</v>
      </c>
      <c r="B26" s="81">
        <f t="shared" si="2"/>
        <v>3237</v>
      </c>
      <c r="C26" s="82">
        <f t="shared" si="1"/>
        <v>21</v>
      </c>
      <c r="D26" s="69"/>
      <c r="E26" s="69"/>
      <c r="F26" s="69"/>
      <c r="G26" s="69"/>
      <c r="H26" s="69"/>
      <c r="I26" s="70">
        <f t="shared" si="0"/>
        <v>3237.1</v>
      </c>
    </row>
    <row r="27" spans="1:9" ht="15" customHeight="1">
      <c r="A27" s="80">
        <v>2019</v>
      </c>
      <c r="B27" s="81">
        <f t="shared" si="2"/>
        <v>3060</v>
      </c>
      <c r="C27" s="82">
        <f t="shared" si="1"/>
        <v>22</v>
      </c>
      <c r="D27" s="69"/>
      <c r="E27" s="69"/>
      <c r="F27" s="69"/>
      <c r="G27" s="69"/>
      <c r="H27" s="69"/>
      <c r="I27" s="70">
        <f t="shared" si="0"/>
        <v>3060.2</v>
      </c>
    </row>
    <row r="28" spans="1:9" ht="15" customHeight="1">
      <c r="A28" s="80">
        <v>2020</v>
      </c>
      <c r="B28" s="81">
        <f t="shared" si="2"/>
        <v>2883</v>
      </c>
      <c r="C28" s="82">
        <f t="shared" si="1"/>
        <v>23</v>
      </c>
      <c r="D28" s="69"/>
      <c r="E28" s="69"/>
      <c r="F28" s="69"/>
      <c r="G28" s="69"/>
      <c r="H28" s="69"/>
      <c r="I28" s="70">
        <f t="shared" si="0"/>
        <v>2883.2999999999997</v>
      </c>
    </row>
    <row r="29" spans="1:9" ht="15" customHeight="1">
      <c r="A29" s="80">
        <v>2021</v>
      </c>
      <c r="B29" s="81">
        <f t="shared" si="2"/>
        <v>2706</v>
      </c>
      <c r="C29" s="82">
        <f t="shared" si="1"/>
        <v>24</v>
      </c>
      <c r="D29" s="69"/>
      <c r="E29" s="69"/>
      <c r="F29" s="69"/>
      <c r="G29" s="69"/>
      <c r="H29" s="69"/>
      <c r="I29" s="70">
        <f t="shared" si="0"/>
        <v>2706.3999999999996</v>
      </c>
    </row>
    <row r="30" spans="1:9" ht="15" customHeight="1">
      <c r="A30" s="80">
        <v>2022</v>
      </c>
      <c r="B30" s="81">
        <f t="shared" si="2"/>
        <v>2530</v>
      </c>
      <c r="C30" s="82">
        <f t="shared" si="1"/>
        <v>25</v>
      </c>
      <c r="D30" s="69"/>
      <c r="E30" s="69"/>
      <c r="F30" s="69"/>
      <c r="G30" s="69"/>
      <c r="H30" s="69"/>
      <c r="I30" s="70">
        <f t="shared" si="0"/>
        <v>2529.5</v>
      </c>
    </row>
    <row r="31" spans="1:9" ht="15" customHeight="1">
      <c r="A31" s="80">
        <v>2023</v>
      </c>
      <c r="B31" s="81">
        <f t="shared" si="2"/>
        <v>2353</v>
      </c>
      <c r="C31" s="82">
        <f t="shared" si="1"/>
        <v>26</v>
      </c>
      <c r="D31" s="69"/>
      <c r="E31" s="69"/>
      <c r="F31" s="69"/>
      <c r="G31" s="69"/>
      <c r="H31" s="69"/>
      <c r="I31" s="70">
        <f t="shared" si="0"/>
        <v>2352.5999999999995</v>
      </c>
    </row>
    <row r="32" spans="1:9" ht="15" customHeight="1">
      <c r="A32" s="80">
        <v>2024</v>
      </c>
      <c r="B32" s="81">
        <f t="shared" si="2"/>
        <v>2176</v>
      </c>
      <c r="C32" s="67">
        <f t="shared" si="1"/>
        <v>27</v>
      </c>
      <c r="D32" s="83"/>
      <c r="E32" s="69"/>
      <c r="F32" s="69"/>
      <c r="G32" s="69"/>
      <c r="H32" s="84"/>
      <c r="I32" s="70">
        <f t="shared" si="0"/>
        <v>2175.6999999999998</v>
      </c>
    </row>
    <row r="33" spans="1:9" ht="15" customHeight="1">
      <c r="A33" s="85">
        <v>2025</v>
      </c>
      <c r="B33" s="86">
        <f t="shared" si="2"/>
        <v>1999</v>
      </c>
      <c r="C33" s="87">
        <f t="shared" si="1"/>
        <v>28</v>
      </c>
      <c r="D33" s="88"/>
      <c r="E33" s="89"/>
      <c r="F33" s="89"/>
      <c r="G33" s="89"/>
      <c r="H33" s="90"/>
      <c r="I33" s="91">
        <f t="shared" si="0"/>
        <v>1998.8000000000002</v>
      </c>
    </row>
    <row r="34" spans="1:9" ht="15" customHeight="1">
      <c r="A34" s="56" t="s">
        <v>78</v>
      </c>
      <c r="B34" s="92"/>
      <c r="I34" s="89"/>
    </row>
    <row r="35" spans="1:9" ht="15" customHeight="1">
      <c r="A35" s="58" t="s">
        <v>32</v>
      </c>
      <c r="B35" s="59" t="s">
        <v>40</v>
      </c>
      <c r="C35" s="59" t="s">
        <v>33</v>
      </c>
      <c r="D35" s="60"/>
      <c r="E35" s="60"/>
      <c r="F35" s="61"/>
      <c r="G35" s="62"/>
      <c r="H35" s="63" t="s">
        <v>250</v>
      </c>
      <c r="I35" s="64">
        <f>RSQ(I36:I46,B36:B46)</f>
        <v>0.97710425309326465</v>
      </c>
    </row>
    <row r="36" spans="1:9" ht="15" customHeight="1">
      <c r="A36" s="65">
        <f t="shared" ref="A36:B46" si="3">A5</f>
        <v>1997</v>
      </c>
      <c r="B36" s="93">
        <f t="shared" si="3"/>
        <v>6952</v>
      </c>
      <c r="C36" s="67">
        <v>0</v>
      </c>
      <c r="D36" s="53"/>
      <c r="E36" s="53"/>
      <c r="F36" s="69"/>
      <c r="G36" s="264"/>
      <c r="H36" s="265"/>
      <c r="I36" s="94">
        <f t="shared" ref="I36:I64" si="4">$E$37*C36+$E$38</f>
        <v>6878</v>
      </c>
    </row>
    <row r="37" spans="1:9" ht="15" customHeight="1">
      <c r="A37" s="65" t="e">
        <f t="shared" si="3"/>
        <v>#REF!</v>
      </c>
      <c r="B37" s="93">
        <f t="shared" si="3"/>
        <v>6698</v>
      </c>
      <c r="C37" s="67">
        <f>+C36+1</f>
        <v>1</v>
      </c>
      <c r="D37" s="53" t="s">
        <v>75</v>
      </c>
      <c r="E37" s="68">
        <f>INDEX(LINEST(B36:B46,C36:C46),1)</f>
        <v>-167.41818181818181</v>
      </c>
      <c r="F37" s="69"/>
      <c r="G37" s="53"/>
      <c r="H37" s="69"/>
      <c r="I37" s="70">
        <f t="shared" si="4"/>
        <v>6710.5818181818186</v>
      </c>
    </row>
    <row r="38" spans="1:9" ht="15" customHeight="1">
      <c r="A38" s="65" t="e">
        <f t="shared" si="3"/>
        <v>#REF!</v>
      </c>
      <c r="B38" s="93">
        <f t="shared" si="3"/>
        <v>6610</v>
      </c>
      <c r="C38" s="67">
        <f t="shared" ref="C38:C64" si="5">C37+1</f>
        <v>2</v>
      </c>
      <c r="D38" s="53" t="s">
        <v>76</v>
      </c>
      <c r="E38" s="72">
        <f>INDEX(LINEST(B36:B46,C36:C46),2)</f>
        <v>6878</v>
      </c>
      <c r="F38" s="69"/>
      <c r="G38" s="53"/>
      <c r="H38" s="69"/>
      <c r="I38" s="70">
        <f t="shared" si="4"/>
        <v>6543.1636363636362</v>
      </c>
    </row>
    <row r="39" spans="1:9" ht="15" customHeight="1">
      <c r="A39" s="65" t="e">
        <f t="shared" si="3"/>
        <v>#REF!</v>
      </c>
      <c r="B39" s="93">
        <f t="shared" si="3"/>
        <v>6347</v>
      </c>
      <c r="C39" s="67">
        <f t="shared" si="5"/>
        <v>3</v>
      </c>
      <c r="D39" s="53" t="s">
        <v>77</v>
      </c>
      <c r="E39" s="73">
        <f>I35</f>
        <v>0.97710425309326465</v>
      </c>
      <c r="F39" s="69"/>
      <c r="G39" s="53"/>
      <c r="H39" s="69"/>
      <c r="I39" s="70">
        <f t="shared" si="4"/>
        <v>6375.7454545454548</v>
      </c>
    </row>
    <row r="40" spans="1:9" ht="15" customHeight="1">
      <c r="A40" s="65" t="e">
        <f t="shared" si="3"/>
        <v>#REF!</v>
      </c>
      <c r="B40" s="93">
        <f t="shared" si="3"/>
        <v>6154</v>
      </c>
      <c r="C40" s="67">
        <f t="shared" si="5"/>
        <v>4</v>
      </c>
      <c r="D40" s="53"/>
      <c r="E40" s="53"/>
      <c r="F40" s="69"/>
      <c r="G40" s="53"/>
      <c r="H40" s="69"/>
      <c r="I40" s="70">
        <f t="shared" si="4"/>
        <v>6208.3272727272724</v>
      </c>
    </row>
    <row r="41" spans="1:9" ht="15" customHeight="1">
      <c r="A41" s="65" t="e">
        <f t="shared" si="3"/>
        <v>#REF!</v>
      </c>
      <c r="B41" s="93">
        <f t="shared" si="3"/>
        <v>5940</v>
      </c>
      <c r="C41" s="67">
        <f t="shared" si="5"/>
        <v>5</v>
      </c>
      <c r="D41" s="53"/>
      <c r="E41" s="53"/>
      <c r="F41" s="69"/>
      <c r="G41" s="95"/>
      <c r="H41" s="69"/>
      <c r="I41" s="70">
        <f t="shared" si="4"/>
        <v>6040.909090909091</v>
      </c>
    </row>
    <row r="42" spans="1:9" ht="15" customHeight="1">
      <c r="A42" s="65" t="e">
        <f t="shared" si="3"/>
        <v>#REF!</v>
      </c>
      <c r="B42" s="93">
        <f t="shared" si="3"/>
        <v>5740</v>
      </c>
      <c r="C42" s="67">
        <f t="shared" si="5"/>
        <v>6</v>
      </c>
      <c r="D42" s="53"/>
      <c r="E42" s="53"/>
      <c r="F42" s="69"/>
      <c r="G42" s="53"/>
      <c r="H42" s="69"/>
      <c r="I42" s="70">
        <f t="shared" si="4"/>
        <v>5873.4909090909096</v>
      </c>
    </row>
    <row r="43" spans="1:9" ht="15" customHeight="1">
      <c r="A43" s="65" t="e">
        <f t="shared" si="3"/>
        <v>#REF!</v>
      </c>
      <c r="B43" s="93">
        <f t="shared" si="3"/>
        <v>5718</v>
      </c>
      <c r="C43" s="67">
        <f t="shared" si="5"/>
        <v>7</v>
      </c>
      <c r="D43" s="53" t="s">
        <v>73</v>
      </c>
      <c r="E43" s="53"/>
      <c r="F43" s="69"/>
      <c r="G43" s="53"/>
      <c r="H43" s="69"/>
      <c r="I43" s="70">
        <f t="shared" si="4"/>
        <v>5706.0727272727272</v>
      </c>
    </row>
    <row r="44" spans="1:9" ht="15" customHeight="1">
      <c r="A44" s="65" t="e">
        <f t="shared" si="3"/>
        <v>#REF!</v>
      </c>
      <c r="B44" s="93">
        <f t="shared" si="3"/>
        <v>5709</v>
      </c>
      <c r="C44" s="67">
        <f t="shared" si="5"/>
        <v>8</v>
      </c>
      <c r="D44" s="53"/>
      <c r="E44" s="53"/>
      <c r="F44" s="69"/>
      <c r="G44" s="53"/>
      <c r="H44" s="69"/>
      <c r="I44" s="70">
        <f t="shared" si="4"/>
        <v>5538.6545454545458</v>
      </c>
    </row>
    <row r="45" spans="1:9" ht="15" customHeight="1">
      <c r="A45" s="65" t="e">
        <f t="shared" si="3"/>
        <v>#REF!</v>
      </c>
      <c r="B45" s="93">
        <f t="shared" si="3"/>
        <v>5399</v>
      </c>
      <c r="C45" s="67">
        <f t="shared" si="5"/>
        <v>9</v>
      </c>
      <c r="D45" s="53"/>
      <c r="E45" s="53"/>
      <c r="F45" s="69"/>
      <c r="G45" s="53"/>
      <c r="H45" s="69"/>
      <c r="I45" s="70">
        <f t="shared" si="4"/>
        <v>5371.2363636363634</v>
      </c>
    </row>
    <row r="46" spans="1:9" ht="15" customHeight="1" thickBot="1">
      <c r="A46" s="97" t="e">
        <f t="shared" si="3"/>
        <v>#REF!</v>
      </c>
      <c r="B46" s="98">
        <f t="shared" si="3"/>
        <v>5183</v>
      </c>
      <c r="C46" s="99">
        <f t="shared" si="5"/>
        <v>10</v>
      </c>
      <c r="D46" s="100"/>
      <c r="E46" s="100"/>
      <c r="F46" s="100"/>
      <c r="G46" s="101"/>
      <c r="H46" s="101"/>
      <c r="I46" s="102">
        <f t="shared" si="4"/>
        <v>5203.818181818182</v>
      </c>
    </row>
    <row r="47" spans="1:9" ht="15" customHeight="1" thickTop="1">
      <c r="A47" s="80">
        <v>2008</v>
      </c>
      <c r="B47" s="81">
        <f t="shared" ref="B47:B64" si="6">ROUND(E$37*C47+E$38,0)</f>
        <v>5036</v>
      </c>
      <c r="C47" s="77">
        <f t="shared" si="5"/>
        <v>11</v>
      </c>
      <c r="D47" s="78"/>
      <c r="E47" s="78"/>
      <c r="F47" s="78"/>
      <c r="G47" s="256"/>
      <c r="H47" s="256"/>
      <c r="I47" s="79">
        <f t="shared" si="4"/>
        <v>5036.3999999999996</v>
      </c>
    </row>
    <row r="48" spans="1:9" ht="15" customHeight="1">
      <c r="A48" s="80">
        <v>2009</v>
      </c>
      <c r="B48" s="81">
        <f t="shared" si="6"/>
        <v>4869</v>
      </c>
      <c r="C48" s="67">
        <f t="shared" si="5"/>
        <v>12</v>
      </c>
      <c r="D48" s="69"/>
      <c r="E48" s="69"/>
      <c r="F48" s="69"/>
      <c r="G48" s="69"/>
      <c r="H48" s="69"/>
      <c r="I48" s="70">
        <f t="shared" si="4"/>
        <v>4868.9818181818182</v>
      </c>
    </row>
    <row r="49" spans="1:9" ht="15" customHeight="1">
      <c r="A49" s="80">
        <v>2010</v>
      </c>
      <c r="B49" s="81">
        <f t="shared" si="6"/>
        <v>4702</v>
      </c>
      <c r="C49" s="82">
        <f t="shared" si="5"/>
        <v>13</v>
      </c>
      <c r="D49" s="69"/>
      <c r="E49" s="69"/>
      <c r="F49" s="69"/>
      <c r="G49" s="69"/>
      <c r="H49" s="69"/>
      <c r="I49" s="70">
        <f t="shared" si="4"/>
        <v>4701.5636363636368</v>
      </c>
    </row>
    <row r="50" spans="1:9" ht="15" customHeight="1">
      <c r="A50" s="80">
        <v>2011</v>
      </c>
      <c r="B50" s="81">
        <f t="shared" si="6"/>
        <v>4534</v>
      </c>
      <c r="C50" s="82">
        <f t="shared" si="5"/>
        <v>14</v>
      </c>
      <c r="D50" s="69"/>
      <c r="E50" s="69"/>
      <c r="F50" s="69"/>
      <c r="G50" s="69"/>
      <c r="H50" s="69"/>
      <c r="I50" s="70">
        <f t="shared" si="4"/>
        <v>4534.1454545454544</v>
      </c>
    </row>
    <row r="51" spans="1:9" ht="15" customHeight="1">
      <c r="A51" s="80">
        <v>2012</v>
      </c>
      <c r="B51" s="81">
        <f t="shared" si="6"/>
        <v>4367</v>
      </c>
      <c r="C51" s="82">
        <f t="shared" si="5"/>
        <v>15</v>
      </c>
      <c r="D51" s="69"/>
      <c r="E51" s="69"/>
      <c r="F51" s="69"/>
      <c r="G51" s="69"/>
      <c r="H51" s="69"/>
      <c r="I51" s="70">
        <f t="shared" si="4"/>
        <v>4366.727272727273</v>
      </c>
    </row>
    <row r="52" spans="1:9" ht="15" customHeight="1">
      <c r="A52" s="80">
        <v>2013</v>
      </c>
      <c r="B52" s="81">
        <f t="shared" si="6"/>
        <v>4199</v>
      </c>
      <c r="C52" s="82">
        <f t="shared" si="5"/>
        <v>16</v>
      </c>
      <c r="D52" s="69"/>
      <c r="E52" s="69"/>
      <c r="F52" s="69"/>
      <c r="G52" s="69"/>
      <c r="H52" s="69"/>
      <c r="I52" s="70">
        <f t="shared" si="4"/>
        <v>4199.3090909090915</v>
      </c>
    </row>
    <row r="53" spans="1:9" ht="15" customHeight="1">
      <c r="A53" s="80">
        <v>2014</v>
      </c>
      <c r="B53" s="81">
        <f t="shared" si="6"/>
        <v>4032</v>
      </c>
      <c r="C53" s="82">
        <f t="shared" si="5"/>
        <v>17</v>
      </c>
      <c r="D53" s="69"/>
      <c r="E53" s="69"/>
      <c r="F53" s="69"/>
      <c r="G53" s="69"/>
      <c r="H53" s="69"/>
      <c r="I53" s="70">
        <f t="shared" si="4"/>
        <v>4031.8909090909092</v>
      </c>
    </row>
    <row r="54" spans="1:9" ht="15" customHeight="1">
      <c r="A54" s="80">
        <v>2015</v>
      </c>
      <c r="B54" s="81">
        <f t="shared" si="6"/>
        <v>3864</v>
      </c>
      <c r="C54" s="82">
        <f t="shared" si="5"/>
        <v>18</v>
      </c>
      <c r="D54" s="69"/>
      <c r="E54" s="69"/>
      <c r="F54" s="69"/>
      <c r="G54" s="69"/>
      <c r="H54" s="69"/>
      <c r="I54" s="70">
        <f t="shared" si="4"/>
        <v>3864.4727272727273</v>
      </c>
    </row>
    <row r="55" spans="1:9" ht="15" customHeight="1">
      <c r="A55" s="80">
        <v>2016</v>
      </c>
      <c r="B55" s="81">
        <f t="shared" si="6"/>
        <v>3697</v>
      </c>
      <c r="C55" s="82">
        <f t="shared" si="5"/>
        <v>19</v>
      </c>
      <c r="D55" s="69"/>
      <c r="E55" s="69"/>
      <c r="F55" s="69"/>
      <c r="G55" s="69"/>
      <c r="H55" s="69"/>
      <c r="I55" s="70">
        <f t="shared" si="4"/>
        <v>3697.0545454545459</v>
      </c>
    </row>
    <row r="56" spans="1:9" ht="15" customHeight="1">
      <c r="A56" s="80">
        <v>2017</v>
      </c>
      <c r="B56" s="81">
        <f t="shared" si="6"/>
        <v>3530</v>
      </c>
      <c r="C56" s="82">
        <f t="shared" si="5"/>
        <v>20</v>
      </c>
      <c r="D56" s="69"/>
      <c r="E56" s="69"/>
      <c r="F56" s="69"/>
      <c r="G56" s="69"/>
      <c r="H56" s="69"/>
      <c r="I56" s="70">
        <f t="shared" si="4"/>
        <v>3529.636363636364</v>
      </c>
    </row>
    <row r="57" spans="1:9" ht="15" customHeight="1">
      <c r="A57" s="80">
        <v>2018</v>
      </c>
      <c r="B57" s="81">
        <f t="shared" si="6"/>
        <v>3362</v>
      </c>
      <c r="C57" s="82">
        <f t="shared" si="5"/>
        <v>21</v>
      </c>
      <c r="D57" s="69"/>
      <c r="E57" s="69"/>
      <c r="F57" s="69"/>
      <c r="G57" s="69"/>
      <c r="H57" s="69"/>
      <c r="I57" s="70">
        <f t="shared" si="4"/>
        <v>3362.2181818181821</v>
      </c>
    </row>
    <row r="58" spans="1:9" ht="15" customHeight="1">
      <c r="A58" s="80">
        <v>2019</v>
      </c>
      <c r="B58" s="81">
        <f t="shared" si="6"/>
        <v>3195</v>
      </c>
      <c r="C58" s="82">
        <f t="shared" si="5"/>
        <v>22</v>
      </c>
      <c r="D58" s="69"/>
      <c r="E58" s="69"/>
      <c r="F58" s="69"/>
      <c r="G58" s="69"/>
      <c r="H58" s="69"/>
      <c r="I58" s="70">
        <f t="shared" si="4"/>
        <v>3194.8</v>
      </c>
    </row>
    <row r="59" spans="1:9" ht="15" customHeight="1">
      <c r="A59" s="80">
        <v>2020</v>
      </c>
      <c r="B59" s="81">
        <f t="shared" si="6"/>
        <v>3027</v>
      </c>
      <c r="C59" s="82">
        <f t="shared" si="5"/>
        <v>23</v>
      </c>
      <c r="D59" s="69"/>
      <c r="E59" s="69"/>
      <c r="F59" s="69"/>
      <c r="G59" s="69"/>
      <c r="H59" s="69"/>
      <c r="I59" s="70">
        <f t="shared" si="4"/>
        <v>3027.3818181818183</v>
      </c>
    </row>
    <row r="60" spans="1:9" ht="15" customHeight="1">
      <c r="A60" s="80">
        <v>2021</v>
      </c>
      <c r="B60" s="81">
        <f t="shared" si="6"/>
        <v>2860</v>
      </c>
      <c r="C60" s="82">
        <f t="shared" si="5"/>
        <v>24</v>
      </c>
      <c r="D60" s="69"/>
      <c r="E60" s="69"/>
      <c r="F60" s="69"/>
      <c r="G60" s="69"/>
      <c r="H60" s="69"/>
      <c r="I60" s="70">
        <f t="shared" si="4"/>
        <v>2859.9636363636364</v>
      </c>
    </row>
    <row r="61" spans="1:9" ht="15" customHeight="1">
      <c r="A61" s="80">
        <v>2022</v>
      </c>
      <c r="B61" s="81">
        <f t="shared" si="6"/>
        <v>2693</v>
      </c>
      <c r="C61" s="82">
        <f t="shared" si="5"/>
        <v>25</v>
      </c>
      <c r="D61" s="69"/>
      <c r="E61" s="69"/>
      <c r="F61" s="69"/>
      <c r="G61" s="69"/>
      <c r="H61" s="69"/>
      <c r="I61" s="70">
        <f t="shared" si="4"/>
        <v>2692.545454545455</v>
      </c>
    </row>
    <row r="62" spans="1:9" ht="15" customHeight="1">
      <c r="A62" s="80">
        <v>2023</v>
      </c>
      <c r="B62" s="81">
        <f t="shared" si="6"/>
        <v>2525</v>
      </c>
      <c r="C62" s="82">
        <f t="shared" si="5"/>
        <v>26</v>
      </c>
      <c r="D62" s="69"/>
      <c r="E62" s="69"/>
      <c r="F62" s="69"/>
      <c r="G62" s="69"/>
      <c r="H62" s="69"/>
      <c r="I62" s="70">
        <f t="shared" si="4"/>
        <v>2525.1272727272726</v>
      </c>
    </row>
    <row r="63" spans="1:9" ht="15" customHeight="1">
      <c r="A63" s="80">
        <v>2024</v>
      </c>
      <c r="B63" s="81">
        <f t="shared" si="6"/>
        <v>2358</v>
      </c>
      <c r="C63" s="67">
        <f t="shared" si="5"/>
        <v>27</v>
      </c>
      <c r="D63" s="69"/>
      <c r="E63" s="69"/>
      <c r="F63" s="69"/>
      <c r="G63" s="69"/>
      <c r="H63" s="69"/>
      <c r="I63" s="70">
        <f t="shared" si="4"/>
        <v>2357.7090909090912</v>
      </c>
    </row>
    <row r="64" spans="1:9" ht="15" customHeight="1">
      <c r="A64" s="85">
        <v>2025</v>
      </c>
      <c r="B64" s="86">
        <f t="shared" si="6"/>
        <v>2190</v>
      </c>
      <c r="C64" s="87">
        <f t="shared" si="5"/>
        <v>28</v>
      </c>
      <c r="D64" s="89"/>
      <c r="E64" s="89"/>
      <c r="F64" s="89"/>
      <c r="G64" s="89"/>
      <c r="H64" s="89"/>
      <c r="I64" s="91">
        <f t="shared" si="4"/>
        <v>2190.2909090909097</v>
      </c>
    </row>
    <row r="65" spans="1:11" ht="15" customHeight="1">
      <c r="A65" s="56" t="s">
        <v>79</v>
      </c>
      <c r="B65" s="57"/>
    </row>
    <row r="66" spans="1:11" ht="15" customHeight="1">
      <c r="A66" s="58" t="s">
        <v>32</v>
      </c>
      <c r="B66" s="59" t="s">
        <v>40</v>
      </c>
      <c r="C66" s="59" t="s">
        <v>34</v>
      </c>
      <c r="D66" s="59" t="s">
        <v>33</v>
      </c>
      <c r="E66" s="103"/>
      <c r="F66" s="60"/>
      <c r="G66" s="61"/>
      <c r="H66" s="63" t="s">
        <v>250</v>
      </c>
      <c r="I66" s="64">
        <f>RSQ(I67:I77,B67:B77)</f>
        <v>0.9809271985153295</v>
      </c>
    </row>
    <row r="67" spans="1:11" ht="15" customHeight="1">
      <c r="A67" s="65">
        <v>1997</v>
      </c>
      <c r="B67" s="104">
        <f t="shared" ref="B67:B77" si="7">B5</f>
        <v>6952</v>
      </c>
      <c r="C67" s="105">
        <f t="shared" ref="C67:C95" si="8">LN(B67)</f>
        <v>8.8467846669452275</v>
      </c>
      <c r="D67" s="67">
        <v>0</v>
      </c>
      <c r="E67" s="106"/>
      <c r="F67" s="53"/>
      <c r="G67" s="69"/>
      <c r="H67" s="265"/>
      <c r="I67" s="109">
        <f t="shared" ref="I67:I95" si="9">ROUND($F$69*(1+$F$68)^(D67),1)</f>
        <v>6952</v>
      </c>
    </row>
    <row r="68" spans="1:11" ht="15" customHeight="1">
      <c r="A68" s="65" t="e">
        <f t="shared" ref="A68:A77" si="10">A6</f>
        <v>#REF!</v>
      </c>
      <c r="B68" s="104">
        <f t="shared" si="7"/>
        <v>6698</v>
      </c>
      <c r="C68" s="105">
        <f t="shared" si="8"/>
        <v>8.8095642533541501</v>
      </c>
      <c r="D68" s="67">
        <f>+D67+1</f>
        <v>1</v>
      </c>
      <c r="E68" s="106" t="s">
        <v>37</v>
      </c>
      <c r="F68" s="73">
        <f>ROUND((B77/B67)^(1/D77)-1,5)</f>
        <v>-2.894E-2</v>
      </c>
      <c r="G68" s="107"/>
      <c r="H68" s="108"/>
      <c r="I68" s="109">
        <f t="shared" si="9"/>
        <v>6750.8</v>
      </c>
    </row>
    <row r="69" spans="1:11" ht="15" customHeight="1">
      <c r="A69" s="65" t="e">
        <f t="shared" si="10"/>
        <v>#REF!</v>
      </c>
      <c r="B69" s="104">
        <f t="shared" si="7"/>
        <v>6610</v>
      </c>
      <c r="C69" s="105">
        <f t="shared" si="8"/>
        <v>8.7963389328457318</v>
      </c>
      <c r="D69" s="67">
        <f t="shared" ref="D69:D95" si="11">D68+1</f>
        <v>2</v>
      </c>
      <c r="E69" s="106" t="s">
        <v>80</v>
      </c>
      <c r="F69" s="110">
        <f>B67</f>
        <v>6952</v>
      </c>
      <c r="G69" s="107"/>
      <c r="H69" s="108"/>
      <c r="I69" s="109">
        <f t="shared" si="9"/>
        <v>6555.4</v>
      </c>
      <c r="K69" s="111"/>
    </row>
    <row r="70" spans="1:11" ht="15" customHeight="1">
      <c r="A70" s="65" t="e">
        <f t="shared" si="10"/>
        <v>#REF!</v>
      </c>
      <c r="B70" s="104">
        <f t="shared" si="7"/>
        <v>6347</v>
      </c>
      <c r="C70" s="105">
        <f t="shared" si="8"/>
        <v>8.7557375393064696</v>
      </c>
      <c r="D70" s="67">
        <f t="shared" si="11"/>
        <v>3</v>
      </c>
      <c r="E70" s="106" t="s">
        <v>77</v>
      </c>
      <c r="F70" s="73">
        <f>I66</f>
        <v>0.9809271985153295</v>
      </c>
      <c r="G70" s="108"/>
      <c r="H70" s="108"/>
      <c r="I70" s="109">
        <f t="shared" si="9"/>
        <v>6365.7</v>
      </c>
    </row>
    <row r="71" spans="1:11" ht="15" customHeight="1">
      <c r="A71" s="65" t="e">
        <f t="shared" si="10"/>
        <v>#REF!</v>
      </c>
      <c r="B71" s="104">
        <f t="shared" si="7"/>
        <v>6154</v>
      </c>
      <c r="C71" s="105">
        <f t="shared" si="8"/>
        <v>8.7248575558819876</v>
      </c>
      <c r="D71" s="67">
        <f t="shared" si="11"/>
        <v>4</v>
      </c>
      <c r="E71" s="106"/>
      <c r="F71" s="73"/>
      <c r="G71" s="108"/>
      <c r="H71" s="108"/>
      <c r="I71" s="109">
        <f t="shared" si="9"/>
        <v>6181.5</v>
      </c>
    </row>
    <row r="72" spans="1:11" ht="15" customHeight="1">
      <c r="A72" s="65" t="e">
        <f t="shared" si="10"/>
        <v>#REF!</v>
      </c>
      <c r="B72" s="104">
        <f t="shared" si="7"/>
        <v>5940</v>
      </c>
      <c r="C72" s="105">
        <f t="shared" si="8"/>
        <v>8.6894644123566902</v>
      </c>
      <c r="D72" s="67">
        <f t="shared" si="11"/>
        <v>5</v>
      </c>
      <c r="E72" s="106" t="s">
        <v>81</v>
      </c>
      <c r="F72" s="72"/>
      <c r="G72" s="108"/>
      <c r="H72" s="108"/>
      <c r="I72" s="109">
        <f t="shared" si="9"/>
        <v>6002.6</v>
      </c>
    </row>
    <row r="73" spans="1:11" ht="15" customHeight="1">
      <c r="A73" s="65" t="e">
        <f t="shared" si="10"/>
        <v>#REF!</v>
      </c>
      <c r="B73" s="104">
        <f t="shared" si="7"/>
        <v>5740</v>
      </c>
      <c r="C73" s="105">
        <f t="shared" si="8"/>
        <v>8.6552144893136127</v>
      </c>
      <c r="D73" s="67">
        <f t="shared" si="11"/>
        <v>6</v>
      </c>
      <c r="E73" s="112"/>
      <c r="F73" s="113"/>
      <c r="G73" s="108"/>
      <c r="H73" s="108"/>
      <c r="I73" s="109">
        <f t="shared" si="9"/>
        <v>5828.9</v>
      </c>
    </row>
    <row r="74" spans="1:11" ht="15" customHeight="1">
      <c r="A74" s="65" t="e">
        <f t="shared" si="10"/>
        <v>#REF!</v>
      </c>
      <c r="B74" s="104">
        <f t="shared" si="7"/>
        <v>5718</v>
      </c>
      <c r="C74" s="105">
        <f t="shared" si="8"/>
        <v>8.6513743728822572</v>
      </c>
      <c r="D74" s="67">
        <f t="shared" si="11"/>
        <v>7</v>
      </c>
      <c r="E74" s="114"/>
      <c r="F74" s="113"/>
      <c r="G74" s="108"/>
      <c r="H74" s="108"/>
      <c r="I74" s="109">
        <f t="shared" si="9"/>
        <v>5660.2</v>
      </c>
    </row>
    <row r="75" spans="1:11" ht="15" customHeight="1">
      <c r="A75" s="65" t="e">
        <f t="shared" si="10"/>
        <v>#REF!</v>
      </c>
      <c r="B75" s="104">
        <f t="shared" si="7"/>
        <v>5709</v>
      </c>
      <c r="C75" s="105">
        <f t="shared" si="8"/>
        <v>8.64979915596426</v>
      </c>
      <c r="D75" s="67">
        <f t="shared" si="11"/>
        <v>8</v>
      </c>
      <c r="E75" s="114"/>
      <c r="F75" s="113"/>
      <c r="G75" s="108"/>
      <c r="H75" s="108"/>
      <c r="I75" s="109">
        <f t="shared" si="9"/>
        <v>5496.4</v>
      </c>
    </row>
    <row r="76" spans="1:11" ht="15" customHeight="1">
      <c r="A76" s="65" t="e">
        <f t="shared" si="10"/>
        <v>#REF!</v>
      </c>
      <c r="B76" s="104">
        <f t="shared" si="7"/>
        <v>5399</v>
      </c>
      <c r="C76" s="105">
        <f t="shared" si="8"/>
        <v>8.5939690302182878</v>
      </c>
      <c r="D76" s="67">
        <f t="shared" si="11"/>
        <v>9</v>
      </c>
      <c r="E76" s="108"/>
      <c r="F76" s="108"/>
      <c r="G76" s="115"/>
      <c r="H76" s="108"/>
      <c r="I76" s="109">
        <f t="shared" si="9"/>
        <v>5337.3</v>
      </c>
    </row>
    <row r="77" spans="1:11" s="100" customFormat="1" ht="15" customHeight="1" thickBot="1">
      <c r="A77" s="97" t="e">
        <f t="shared" si="10"/>
        <v>#REF!</v>
      </c>
      <c r="B77" s="116">
        <f t="shared" si="7"/>
        <v>5183</v>
      </c>
      <c r="C77" s="117">
        <f t="shared" si="8"/>
        <v>8.5531393181897073</v>
      </c>
      <c r="D77" s="99">
        <f t="shared" si="11"/>
        <v>10</v>
      </c>
      <c r="E77" s="118"/>
      <c r="F77" s="118"/>
      <c r="G77" s="119"/>
      <c r="H77" s="118"/>
      <c r="I77" s="120">
        <f t="shared" si="9"/>
        <v>5182.8999999999996</v>
      </c>
    </row>
    <row r="78" spans="1:11" s="78" customFormat="1" ht="15" customHeight="1" thickTop="1">
      <c r="A78" s="80">
        <v>2008</v>
      </c>
      <c r="B78" s="81">
        <f t="shared" ref="B78:B95" si="12">ROUND(F$69*(1+F$68)^D78,0)</f>
        <v>5033</v>
      </c>
      <c r="C78" s="121">
        <f t="shared" si="8"/>
        <v>8.5237715067763595</v>
      </c>
      <c r="D78" s="77">
        <f t="shared" si="11"/>
        <v>11</v>
      </c>
      <c r="E78" s="259"/>
      <c r="F78" s="259"/>
      <c r="G78" s="260"/>
      <c r="H78" s="259"/>
      <c r="I78" s="123">
        <f t="shared" si="9"/>
        <v>5032.8999999999996</v>
      </c>
    </row>
    <row r="79" spans="1:11" ht="15" customHeight="1">
      <c r="A79" s="80">
        <v>2009</v>
      </c>
      <c r="B79" s="81">
        <f t="shared" si="12"/>
        <v>4887</v>
      </c>
      <c r="C79" s="105">
        <f t="shared" si="8"/>
        <v>8.4943338972701543</v>
      </c>
      <c r="D79" s="67">
        <f t="shared" si="11"/>
        <v>12</v>
      </c>
      <c r="E79" s="83"/>
      <c r="F79" s="69"/>
      <c r="G79" s="69"/>
      <c r="H79" s="69"/>
      <c r="I79" s="109">
        <f t="shared" si="9"/>
        <v>4887.2</v>
      </c>
    </row>
    <row r="80" spans="1:11" ht="15" customHeight="1">
      <c r="A80" s="80">
        <v>2010</v>
      </c>
      <c r="B80" s="81">
        <f t="shared" si="12"/>
        <v>4746</v>
      </c>
      <c r="C80" s="105">
        <f t="shared" si="8"/>
        <v>8.4650574369957088</v>
      </c>
      <c r="D80" s="67">
        <f t="shared" si="11"/>
        <v>13</v>
      </c>
      <c r="E80" s="83"/>
      <c r="F80" s="69"/>
      <c r="G80" s="69"/>
      <c r="H80" s="69"/>
      <c r="I80" s="109">
        <f t="shared" si="9"/>
        <v>4745.8</v>
      </c>
    </row>
    <row r="81" spans="1:9" ht="15" customHeight="1">
      <c r="A81" s="80">
        <v>2011</v>
      </c>
      <c r="B81" s="81">
        <f t="shared" si="12"/>
        <v>4608</v>
      </c>
      <c r="C81" s="105">
        <f t="shared" si="8"/>
        <v>8.4355492023757268</v>
      </c>
      <c r="D81" s="67">
        <f t="shared" si="11"/>
        <v>14</v>
      </c>
      <c r="E81" s="83"/>
      <c r="F81" s="69"/>
      <c r="G81" s="69"/>
      <c r="H81" s="69"/>
      <c r="I81" s="109">
        <f t="shared" si="9"/>
        <v>4608.3999999999996</v>
      </c>
    </row>
    <row r="82" spans="1:9" ht="15" customHeight="1">
      <c r="A82" s="80">
        <v>2012</v>
      </c>
      <c r="B82" s="81">
        <f t="shared" si="12"/>
        <v>4475</v>
      </c>
      <c r="C82" s="105">
        <f t="shared" si="8"/>
        <v>8.4062616307089559</v>
      </c>
      <c r="D82" s="67">
        <f t="shared" si="11"/>
        <v>15</v>
      </c>
      <c r="E82" s="83"/>
      <c r="F82" s="69"/>
      <c r="G82" s="69"/>
      <c r="H82" s="69"/>
      <c r="I82" s="109">
        <f t="shared" si="9"/>
        <v>4475.1000000000004</v>
      </c>
    </row>
    <row r="83" spans="1:9" ht="15" customHeight="1">
      <c r="A83" s="80">
        <v>2013</v>
      </c>
      <c r="B83" s="81">
        <f t="shared" si="12"/>
        <v>4346</v>
      </c>
      <c r="C83" s="105">
        <f t="shared" si="8"/>
        <v>8.3770111608163749</v>
      </c>
      <c r="D83" s="67">
        <f t="shared" si="11"/>
        <v>16</v>
      </c>
      <c r="E83" s="83"/>
      <c r="F83" s="69"/>
      <c r="G83" s="69"/>
      <c r="H83" s="69"/>
      <c r="I83" s="109">
        <f t="shared" si="9"/>
        <v>4345.6000000000004</v>
      </c>
    </row>
    <row r="84" spans="1:9" ht="15" customHeight="1">
      <c r="A84" s="80">
        <v>2014</v>
      </c>
      <c r="B84" s="81">
        <f t="shared" si="12"/>
        <v>4220</v>
      </c>
      <c r="C84" s="105">
        <f t="shared" si="8"/>
        <v>8.3475904070300579</v>
      </c>
      <c r="D84" s="67">
        <f t="shared" si="11"/>
        <v>17</v>
      </c>
      <c r="E84" s="83"/>
      <c r="F84" s="69"/>
      <c r="G84" s="69"/>
      <c r="H84" s="69"/>
      <c r="I84" s="109">
        <f t="shared" si="9"/>
        <v>4219.8</v>
      </c>
    </row>
    <row r="85" spans="1:9" ht="15" customHeight="1">
      <c r="A85" s="80">
        <v>2015</v>
      </c>
      <c r="B85" s="81">
        <f t="shared" si="12"/>
        <v>4098</v>
      </c>
      <c r="C85" s="105">
        <f t="shared" si="8"/>
        <v>8.3182543287988455</v>
      </c>
      <c r="D85" s="67">
        <f t="shared" si="11"/>
        <v>18</v>
      </c>
      <c r="E85" s="83"/>
      <c r="F85" s="69"/>
      <c r="G85" s="69"/>
      <c r="H85" s="69"/>
      <c r="I85" s="109">
        <f t="shared" si="9"/>
        <v>4097.7</v>
      </c>
    </row>
    <row r="86" spans="1:9" ht="15" customHeight="1">
      <c r="A86" s="80">
        <v>2016</v>
      </c>
      <c r="B86" s="81">
        <f t="shared" si="12"/>
        <v>3979</v>
      </c>
      <c r="C86" s="105">
        <f t="shared" si="8"/>
        <v>8.2887858104269281</v>
      </c>
      <c r="D86" s="67">
        <f t="shared" si="11"/>
        <v>19</v>
      </c>
      <c r="E86" s="83"/>
      <c r="F86" s="69"/>
      <c r="G86" s="69"/>
      <c r="H86" s="69"/>
      <c r="I86" s="109">
        <f t="shared" si="9"/>
        <v>3979.1</v>
      </c>
    </row>
    <row r="87" spans="1:9" ht="15" customHeight="1">
      <c r="A87" s="80">
        <v>2017</v>
      </c>
      <c r="B87" s="81">
        <f t="shared" si="12"/>
        <v>3864</v>
      </c>
      <c r="C87" s="105">
        <f t="shared" si="8"/>
        <v>8.2594581953324084</v>
      </c>
      <c r="D87" s="67">
        <f t="shared" si="11"/>
        <v>20</v>
      </c>
      <c r="E87" s="83"/>
      <c r="F87" s="69"/>
      <c r="G87" s="69"/>
      <c r="H87" s="69"/>
      <c r="I87" s="109">
        <f t="shared" si="9"/>
        <v>3863.9</v>
      </c>
    </row>
    <row r="88" spans="1:9" ht="15" customHeight="1">
      <c r="A88" s="80">
        <v>2018</v>
      </c>
      <c r="B88" s="81">
        <f t="shared" si="12"/>
        <v>3752</v>
      </c>
      <c r="C88" s="105">
        <f t="shared" si="8"/>
        <v>8.2300443101261145</v>
      </c>
      <c r="D88" s="67">
        <f t="shared" si="11"/>
        <v>21</v>
      </c>
      <c r="E88" s="83"/>
      <c r="F88" s="69"/>
      <c r="G88" s="69"/>
      <c r="H88" s="69"/>
      <c r="I88" s="109">
        <f t="shared" si="9"/>
        <v>3752.1</v>
      </c>
    </row>
    <row r="89" spans="1:9" ht="15" customHeight="1">
      <c r="A89" s="80">
        <v>2019</v>
      </c>
      <c r="B89" s="81">
        <f t="shared" si="12"/>
        <v>3644</v>
      </c>
      <c r="C89" s="105">
        <f t="shared" si="8"/>
        <v>8.200837258379849</v>
      </c>
      <c r="D89" s="67">
        <f t="shared" si="11"/>
        <v>22</v>
      </c>
      <c r="E89" s="83"/>
      <c r="F89" s="69"/>
      <c r="G89" s="69"/>
      <c r="H89" s="69"/>
      <c r="I89" s="109">
        <f t="shared" si="9"/>
        <v>3643.5</v>
      </c>
    </row>
    <row r="90" spans="1:9" ht="15" customHeight="1">
      <c r="A90" s="80">
        <v>2020</v>
      </c>
      <c r="B90" s="81">
        <f t="shared" si="12"/>
        <v>3538</v>
      </c>
      <c r="C90" s="105">
        <f t="shared" si="8"/>
        <v>8.1713168747197304</v>
      </c>
      <c r="D90" s="67">
        <f t="shared" si="11"/>
        <v>23</v>
      </c>
      <c r="E90" s="83"/>
      <c r="F90" s="69"/>
      <c r="G90" s="69"/>
      <c r="H90" s="69"/>
      <c r="I90" s="109">
        <f t="shared" si="9"/>
        <v>3538.1</v>
      </c>
    </row>
    <row r="91" spans="1:9" ht="15" customHeight="1">
      <c r="A91" s="80">
        <v>2021</v>
      </c>
      <c r="B91" s="81">
        <f t="shared" si="12"/>
        <v>3436</v>
      </c>
      <c r="C91" s="105">
        <f t="shared" si="8"/>
        <v>8.1420632831041466</v>
      </c>
      <c r="D91" s="67">
        <f t="shared" si="11"/>
        <v>24</v>
      </c>
      <c r="E91" s="83"/>
      <c r="F91" s="69"/>
      <c r="G91" s="69"/>
      <c r="H91" s="69"/>
      <c r="I91" s="109">
        <f t="shared" si="9"/>
        <v>3435.7</v>
      </c>
    </row>
    <row r="92" spans="1:9" ht="15" customHeight="1">
      <c r="A92" s="80">
        <v>2022</v>
      </c>
      <c r="B92" s="81">
        <f t="shared" si="12"/>
        <v>3336</v>
      </c>
      <c r="C92" s="105">
        <f t="shared" si="8"/>
        <v>8.1125277634786368</v>
      </c>
      <c r="D92" s="67">
        <f t="shared" si="11"/>
        <v>25</v>
      </c>
      <c r="E92" s="83"/>
      <c r="F92" s="69"/>
      <c r="G92" s="69"/>
      <c r="H92" s="69"/>
      <c r="I92" s="109">
        <f t="shared" si="9"/>
        <v>3336.3</v>
      </c>
    </row>
    <row r="93" spans="1:9" ht="15" customHeight="1">
      <c r="A93" s="80">
        <v>2023</v>
      </c>
      <c r="B93" s="81">
        <f t="shared" si="12"/>
        <v>3240</v>
      </c>
      <c r="C93" s="105">
        <f t="shared" si="8"/>
        <v>8.0833286087863758</v>
      </c>
      <c r="D93" s="67">
        <f t="shared" si="11"/>
        <v>26</v>
      </c>
      <c r="E93" s="83"/>
      <c r="F93" s="69"/>
      <c r="G93" s="69"/>
      <c r="H93" s="69"/>
      <c r="I93" s="109">
        <f t="shared" si="9"/>
        <v>3239.7</v>
      </c>
    </row>
    <row r="94" spans="1:9" ht="15" customHeight="1">
      <c r="A94" s="80">
        <v>2024</v>
      </c>
      <c r="B94" s="81">
        <f t="shared" si="12"/>
        <v>3146</v>
      </c>
      <c r="C94" s="105">
        <f t="shared" si="8"/>
        <v>8.053887083618223</v>
      </c>
      <c r="D94" s="67">
        <f t="shared" si="11"/>
        <v>27</v>
      </c>
      <c r="E94" s="69"/>
      <c r="F94" s="69"/>
      <c r="G94" s="69"/>
      <c r="H94" s="69"/>
      <c r="I94" s="109">
        <f t="shared" si="9"/>
        <v>3146</v>
      </c>
    </row>
    <row r="95" spans="1:9" ht="15" customHeight="1">
      <c r="A95" s="85">
        <v>2025</v>
      </c>
      <c r="B95" s="86">
        <f t="shared" si="12"/>
        <v>3055</v>
      </c>
      <c r="C95" s="124">
        <f t="shared" si="8"/>
        <v>8.0245348716056952</v>
      </c>
      <c r="D95" s="87">
        <f t="shared" si="11"/>
        <v>28</v>
      </c>
      <c r="E95" s="89"/>
      <c r="F95" s="89"/>
      <c r="G95" s="89"/>
      <c r="H95" s="89"/>
      <c r="I95" s="125">
        <f t="shared" si="9"/>
        <v>3054.9</v>
      </c>
    </row>
    <row r="96" spans="1:9" ht="15" customHeight="1">
      <c r="A96" s="56" t="s">
        <v>82</v>
      </c>
      <c r="B96" s="57"/>
    </row>
    <row r="97" spans="1:9" ht="15" customHeight="1">
      <c r="A97" s="58" t="s">
        <v>32</v>
      </c>
      <c r="B97" s="59" t="s">
        <v>40</v>
      </c>
      <c r="C97" s="59" t="s">
        <v>83</v>
      </c>
      <c r="D97" s="59" t="s">
        <v>33</v>
      </c>
      <c r="E97" s="59" t="s">
        <v>35</v>
      </c>
      <c r="F97" s="103"/>
      <c r="G97" s="60"/>
      <c r="H97" s="63" t="s">
        <v>250</v>
      </c>
      <c r="I97" s="64" t="e">
        <f>RSQ(I98:I108,B98:B108)</f>
        <v>#VALUE!</v>
      </c>
    </row>
    <row r="98" spans="1:9" ht="15" customHeight="1">
      <c r="A98" s="65">
        <v>1997</v>
      </c>
      <c r="B98" s="104">
        <f t="shared" ref="B98:B108" si="13">B5</f>
        <v>6952</v>
      </c>
      <c r="C98" s="126"/>
      <c r="D98" s="67">
        <v>0</v>
      </c>
      <c r="E98" s="67"/>
      <c r="F98" s="106"/>
      <c r="G98" s="53"/>
      <c r="H98" s="265"/>
      <c r="I98" s="276" t="e">
        <f>$B$98+$G$103*D98^$G$99</f>
        <v>#VALUE!</v>
      </c>
    </row>
    <row r="99" spans="1:9" ht="15" customHeight="1">
      <c r="A99" s="65" t="e">
        <f t="shared" ref="A99:A108" si="14">A6</f>
        <v>#REF!</v>
      </c>
      <c r="B99" s="104">
        <f t="shared" si="13"/>
        <v>6698</v>
      </c>
      <c r="C99" s="126" t="e">
        <f t="shared" ref="C99:C108" si="15">LN(-B$98+B99)</f>
        <v>#NUM!</v>
      </c>
      <c r="D99" s="67">
        <f>+D98+1</f>
        <v>1</v>
      </c>
      <c r="E99" s="67">
        <f t="shared" ref="E99:E108" si="16">LN(D99)</f>
        <v>0</v>
      </c>
      <c r="F99" s="106" t="s">
        <v>75</v>
      </c>
      <c r="G99" s="73" t="e">
        <f>INDEX(LINEST(C99:C108,E99:E108),1)</f>
        <v>#VALUE!</v>
      </c>
      <c r="H99" s="127"/>
      <c r="I99" s="278" t="e">
        <f>$B$98+$G$103*D99^$G$99</f>
        <v>#VALUE!</v>
      </c>
    </row>
    <row r="100" spans="1:9" ht="15" customHeight="1">
      <c r="A100" s="65" t="e">
        <f t="shared" si="14"/>
        <v>#REF!</v>
      </c>
      <c r="B100" s="104">
        <f t="shared" si="13"/>
        <v>6610</v>
      </c>
      <c r="C100" s="126" t="e">
        <f t="shared" si="15"/>
        <v>#NUM!</v>
      </c>
      <c r="D100" s="67">
        <f t="shared" ref="D100:D126" si="17">D99+1</f>
        <v>2</v>
      </c>
      <c r="E100" s="67">
        <f t="shared" si="16"/>
        <v>0.69314718055994529</v>
      </c>
      <c r="F100" s="106" t="s">
        <v>76</v>
      </c>
      <c r="G100" s="73" t="e">
        <f>INDEX(LINEST(C99:C108,E99:E108),2)</f>
        <v>#VALUE!</v>
      </c>
      <c r="H100" s="129" t="s">
        <v>84</v>
      </c>
      <c r="I100" s="128" t="e">
        <f t="shared" ref="I100:I126" si="18">$B$98+$G$103*D100^$G$99</f>
        <v>#VALUE!</v>
      </c>
    </row>
    <row r="101" spans="1:9" ht="15" customHeight="1">
      <c r="A101" s="65" t="e">
        <f t="shared" si="14"/>
        <v>#REF!</v>
      </c>
      <c r="B101" s="104">
        <f t="shared" si="13"/>
        <v>6347</v>
      </c>
      <c r="C101" s="126" t="e">
        <f t="shared" si="15"/>
        <v>#NUM!</v>
      </c>
      <c r="D101" s="67">
        <f t="shared" si="17"/>
        <v>3</v>
      </c>
      <c r="E101" s="67">
        <f t="shared" si="16"/>
        <v>1.0986122886681098</v>
      </c>
      <c r="F101" s="69"/>
      <c r="G101" s="130"/>
      <c r="H101" s="127"/>
      <c r="I101" s="128" t="e">
        <f t="shared" si="18"/>
        <v>#VALUE!</v>
      </c>
    </row>
    <row r="102" spans="1:9" ht="15" customHeight="1">
      <c r="A102" s="65" t="e">
        <f t="shared" si="14"/>
        <v>#REF!</v>
      </c>
      <c r="B102" s="104">
        <f t="shared" si="13"/>
        <v>6154</v>
      </c>
      <c r="C102" s="126" t="e">
        <f t="shared" si="15"/>
        <v>#NUM!</v>
      </c>
      <c r="D102" s="67">
        <f t="shared" si="17"/>
        <v>4</v>
      </c>
      <c r="E102" s="67">
        <f t="shared" si="16"/>
        <v>1.3862943611198906</v>
      </c>
      <c r="F102" s="106" t="s">
        <v>77</v>
      </c>
      <c r="G102" s="73" t="e">
        <f>I97</f>
        <v>#VALUE!</v>
      </c>
      <c r="H102" s="127"/>
      <c r="I102" s="128" t="e">
        <f t="shared" si="18"/>
        <v>#VALUE!</v>
      </c>
    </row>
    <row r="103" spans="1:9" ht="15" customHeight="1">
      <c r="A103" s="65" t="e">
        <f t="shared" si="14"/>
        <v>#REF!</v>
      </c>
      <c r="B103" s="104">
        <f t="shared" si="13"/>
        <v>5940</v>
      </c>
      <c r="C103" s="126" t="e">
        <f t="shared" si="15"/>
        <v>#NUM!</v>
      </c>
      <c r="D103" s="67">
        <f t="shared" si="17"/>
        <v>5</v>
      </c>
      <c r="E103" s="67">
        <f t="shared" si="16"/>
        <v>1.6094379124341003</v>
      </c>
      <c r="F103" s="106" t="s">
        <v>38</v>
      </c>
      <c r="G103" s="131" t="e">
        <f>EXP(G100)</f>
        <v>#VALUE!</v>
      </c>
      <c r="H103" s="127"/>
      <c r="I103" s="128" t="e">
        <f t="shared" si="18"/>
        <v>#VALUE!</v>
      </c>
    </row>
    <row r="104" spans="1:9" ht="15" customHeight="1">
      <c r="A104" s="65" t="e">
        <f t="shared" si="14"/>
        <v>#REF!</v>
      </c>
      <c r="B104" s="104">
        <f t="shared" si="13"/>
        <v>5740</v>
      </c>
      <c r="C104" s="126" t="e">
        <f t="shared" si="15"/>
        <v>#NUM!</v>
      </c>
      <c r="D104" s="67">
        <f t="shared" si="17"/>
        <v>6</v>
      </c>
      <c r="E104" s="67">
        <f t="shared" si="16"/>
        <v>1.791759469228055</v>
      </c>
      <c r="F104" s="106"/>
      <c r="G104" s="53"/>
      <c r="H104" s="127"/>
      <c r="I104" s="128" t="e">
        <f t="shared" si="18"/>
        <v>#VALUE!</v>
      </c>
    </row>
    <row r="105" spans="1:9" ht="15" customHeight="1">
      <c r="A105" s="65" t="e">
        <f t="shared" si="14"/>
        <v>#REF!</v>
      </c>
      <c r="B105" s="104">
        <f t="shared" si="13"/>
        <v>5718</v>
      </c>
      <c r="C105" s="126" t="e">
        <f t="shared" si="15"/>
        <v>#NUM!</v>
      </c>
      <c r="D105" s="67">
        <f t="shared" si="17"/>
        <v>7</v>
      </c>
      <c r="E105" s="67">
        <f t="shared" si="16"/>
        <v>1.9459101490553132</v>
      </c>
      <c r="F105" s="106"/>
      <c r="G105" s="53"/>
      <c r="H105" s="127"/>
      <c r="I105" s="128" t="e">
        <f t="shared" si="18"/>
        <v>#VALUE!</v>
      </c>
    </row>
    <row r="106" spans="1:9" ht="15" customHeight="1">
      <c r="A106" s="65" t="e">
        <f t="shared" si="14"/>
        <v>#REF!</v>
      </c>
      <c r="B106" s="104">
        <f t="shared" si="13"/>
        <v>5709</v>
      </c>
      <c r="C106" s="126" t="e">
        <f t="shared" si="15"/>
        <v>#NUM!</v>
      </c>
      <c r="D106" s="67">
        <f t="shared" si="17"/>
        <v>8</v>
      </c>
      <c r="E106" s="67">
        <f t="shared" si="16"/>
        <v>2.0794415416798357</v>
      </c>
      <c r="F106" s="132" t="s">
        <v>85</v>
      </c>
      <c r="G106" s="53"/>
      <c r="H106" s="127"/>
      <c r="I106" s="128" t="e">
        <f t="shared" si="18"/>
        <v>#VALUE!</v>
      </c>
    </row>
    <row r="107" spans="1:9" ht="15" customHeight="1">
      <c r="A107" s="65" t="e">
        <f t="shared" si="14"/>
        <v>#REF!</v>
      </c>
      <c r="B107" s="104">
        <f t="shared" si="13"/>
        <v>5399</v>
      </c>
      <c r="C107" s="126" t="e">
        <f t="shared" si="15"/>
        <v>#NUM!</v>
      </c>
      <c r="D107" s="67">
        <f t="shared" si="17"/>
        <v>9</v>
      </c>
      <c r="E107" s="67">
        <f t="shared" si="16"/>
        <v>2.1972245773362196</v>
      </c>
      <c r="F107" s="132" t="s">
        <v>86</v>
      </c>
      <c r="G107" s="53"/>
      <c r="H107" s="127"/>
      <c r="I107" s="128" t="e">
        <f t="shared" si="18"/>
        <v>#VALUE!</v>
      </c>
    </row>
    <row r="108" spans="1:9" s="100" customFormat="1" ht="15" customHeight="1" thickBot="1">
      <c r="A108" s="97" t="e">
        <f t="shared" si="14"/>
        <v>#REF!</v>
      </c>
      <c r="B108" s="116">
        <f t="shared" si="13"/>
        <v>5183</v>
      </c>
      <c r="C108" s="126" t="e">
        <f t="shared" si="15"/>
        <v>#NUM!</v>
      </c>
      <c r="D108" s="99">
        <f t="shared" si="17"/>
        <v>10</v>
      </c>
      <c r="E108" s="99">
        <f t="shared" si="16"/>
        <v>2.3025850929940459</v>
      </c>
      <c r="F108" s="182"/>
      <c r="G108" s="101"/>
      <c r="H108" s="143"/>
      <c r="I108" s="144" t="e">
        <f t="shared" si="18"/>
        <v>#VALUE!</v>
      </c>
    </row>
    <row r="109" spans="1:9" s="78" customFormat="1" ht="15" customHeight="1" thickTop="1">
      <c r="A109" s="80">
        <v>2008</v>
      </c>
      <c r="B109" s="81" t="e">
        <f t="shared" ref="B109:B126" si="19">ROUND(LOOKUP(0,D$99:D$109,B$99:B$109)+G$103*D109^G$99,0)</f>
        <v>#N/A</v>
      </c>
      <c r="C109" s="257"/>
      <c r="D109" s="77">
        <f t="shared" si="17"/>
        <v>11</v>
      </c>
      <c r="E109" s="77"/>
      <c r="F109" s="266"/>
      <c r="G109" s="256"/>
      <c r="H109" s="258"/>
      <c r="I109" s="133" t="e">
        <f t="shared" si="18"/>
        <v>#VALUE!</v>
      </c>
    </row>
    <row r="110" spans="1:9" ht="15" customHeight="1">
      <c r="A110" s="80">
        <v>2009</v>
      </c>
      <c r="B110" s="81" t="e">
        <f t="shared" si="19"/>
        <v>#N/A</v>
      </c>
      <c r="C110" s="134"/>
      <c r="D110" s="67">
        <f t="shared" si="17"/>
        <v>12</v>
      </c>
      <c r="E110" s="67"/>
      <c r="F110" s="83"/>
      <c r="G110" s="69"/>
      <c r="H110" s="84"/>
      <c r="I110" s="128" t="e">
        <f t="shared" si="18"/>
        <v>#VALUE!</v>
      </c>
    </row>
    <row r="111" spans="1:9" ht="15" customHeight="1">
      <c r="A111" s="80">
        <v>2010</v>
      </c>
      <c r="B111" s="81" t="e">
        <f t="shared" si="19"/>
        <v>#N/A</v>
      </c>
      <c r="C111" s="134"/>
      <c r="D111" s="67">
        <f t="shared" si="17"/>
        <v>13</v>
      </c>
      <c r="E111" s="67"/>
      <c r="F111" s="83"/>
      <c r="G111" s="69"/>
      <c r="H111" s="84"/>
      <c r="I111" s="128" t="e">
        <f t="shared" si="18"/>
        <v>#VALUE!</v>
      </c>
    </row>
    <row r="112" spans="1:9" ht="15" customHeight="1">
      <c r="A112" s="80">
        <v>2011</v>
      </c>
      <c r="B112" s="81" t="e">
        <f t="shared" si="19"/>
        <v>#N/A</v>
      </c>
      <c r="C112" s="134"/>
      <c r="D112" s="67">
        <f t="shared" si="17"/>
        <v>14</v>
      </c>
      <c r="E112" s="67"/>
      <c r="F112" s="83"/>
      <c r="G112" s="69"/>
      <c r="H112" s="84"/>
      <c r="I112" s="128" t="e">
        <f t="shared" si="18"/>
        <v>#VALUE!</v>
      </c>
    </row>
    <row r="113" spans="1:9" ht="15" customHeight="1">
      <c r="A113" s="80">
        <v>2012</v>
      </c>
      <c r="B113" s="81" t="e">
        <f t="shared" si="19"/>
        <v>#N/A</v>
      </c>
      <c r="C113" s="134"/>
      <c r="D113" s="67">
        <f t="shared" si="17"/>
        <v>15</v>
      </c>
      <c r="E113" s="67"/>
      <c r="F113" s="83"/>
      <c r="G113" s="69"/>
      <c r="H113" s="84"/>
      <c r="I113" s="128" t="e">
        <f t="shared" si="18"/>
        <v>#VALUE!</v>
      </c>
    </row>
    <row r="114" spans="1:9" ht="15" customHeight="1">
      <c r="A114" s="80">
        <v>2013</v>
      </c>
      <c r="B114" s="81" t="e">
        <f t="shared" si="19"/>
        <v>#N/A</v>
      </c>
      <c r="C114" s="134"/>
      <c r="D114" s="67">
        <f t="shared" si="17"/>
        <v>16</v>
      </c>
      <c r="E114" s="67"/>
      <c r="F114" s="83"/>
      <c r="G114" s="69"/>
      <c r="H114" s="84"/>
      <c r="I114" s="128" t="e">
        <f t="shared" si="18"/>
        <v>#VALUE!</v>
      </c>
    </row>
    <row r="115" spans="1:9" ht="15" customHeight="1">
      <c r="A115" s="80">
        <v>2014</v>
      </c>
      <c r="B115" s="81" t="e">
        <f t="shared" si="19"/>
        <v>#N/A</v>
      </c>
      <c r="C115" s="134"/>
      <c r="D115" s="67">
        <f t="shared" si="17"/>
        <v>17</v>
      </c>
      <c r="E115" s="67"/>
      <c r="F115" s="83"/>
      <c r="G115" s="69"/>
      <c r="H115" s="84"/>
      <c r="I115" s="128" t="e">
        <f t="shared" si="18"/>
        <v>#VALUE!</v>
      </c>
    </row>
    <row r="116" spans="1:9" ht="15" customHeight="1">
      <c r="A116" s="80">
        <v>2015</v>
      </c>
      <c r="B116" s="81" t="e">
        <f t="shared" si="19"/>
        <v>#N/A</v>
      </c>
      <c r="C116" s="134"/>
      <c r="D116" s="67">
        <f t="shared" si="17"/>
        <v>18</v>
      </c>
      <c r="E116" s="67"/>
      <c r="F116" s="83"/>
      <c r="G116" s="69"/>
      <c r="H116" s="84"/>
      <c r="I116" s="128" t="e">
        <f t="shared" si="18"/>
        <v>#VALUE!</v>
      </c>
    </row>
    <row r="117" spans="1:9" ht="15" customHeight="1">
      <c r="A117" s="80">
        <v>2016</v>
      </c>
      <c r="B117" s="81" t="e">
        <f t="shared" si="19"/>
        <v>#N/A</v>
      </c>
      <c r="C117" s="134"/>
      <c r="D117" s="67">
        <f t="shared" si="17"/>
        <v>19</v>
      </c>
      <c r="E117" s="67"/>
      <c r="F117" s="83"/>
      <c r="G117" s="69"/>
      <c r="H117" s="84"/>
      <c r="I117" s="128" t="e">
        <f t="shared" si="18"/>
        <v>#VALUE!</v>
      </c>
    </row>
    <row r="118" spans="1:9" ht="15" customHeight="1">
      <c r="A118" s="80">
        <v>2017</v>
      </c>
      <c r="B118" s="81" t="e">
        <f t="shared" si="19"/>
        <v>#N/A</v>
      </c>
      <c r="C118" s="134"/>
      <c r="D118" s="67">
        <f t="shared" si="17"/>
        <v>20</v>
      </c>
      <c r="E118" s="67"/>
      <c r="F118" s="83"/>
      <c r="G118" s="69"/>
      <c r="H118" s="84"/>
      <c r="I118" s="128" t="e">
        <f t="shared" si="18"/>
        <v>#VALUE!</v>
      </c>
    </row>
    <row r="119" spans="1:9" ht="15" customHeight="1">
      <c r="A119" s="80">
        <v>2018</v>
      </c>
      <c r="B119" s="81" t="e">
        <f t="shared" si="19"/>
        <v>#N/A</v>
      </c>
      <c r="C119" s="134"/>
      <c r="D119" s="67">
        <f t="shared" si="17"/>
        <v>21</v>
      </c>
      <c r="E119" s="67"/>
      <c r="F119" s="83"/>
      <c r="G119" s="69"/>
      <c r="H119" s="84"/>
      <c r="I119" s="128" t="e">
        <f t="shared" si="18"/>
        <v>#VALUE!</v>
      </c>
    </row>
    <row r="120" spans="1:9" ht="15" customHeight="1">
      <c r="A120" s="80">
        <v>2019</v>
      </c>
      <c r="B120" s="81" t="e">
        <f t="shared" si="19"/>
        <v>#N/A</v>
      </c>
      <c r="C120" s="134"/>
      <c r="D120" s="67">
        <f t="shared" si="17"/>
        <v>22</v>
      </c>
      <c r="E120" s="67"/>
      <c r="F120" s="83"/>
      <c r="G120" s="69"/>
      <c r="H120" s="84"/>
      <c r="I120" s="128" t="e">
        <f t="shared" si="18"/>
        <v>#VALUE!</v>
      </c>
    </row>
    <row r="121" spans="1:9" ht="15" customHeight="1">
      <c r="A121" s="80">
        <v>2020</v>
      </c>
      <c r="B121" s="81" t="e">
        <f t="shared" si="19"/>
        <v>#N/A</v>
      </c>
      <c r="C121" s="134"/>
      <c r="D121" s="67">
        <f t="shared" si="17"/>
        <v>23</v>
      </c>
      <c r="E121" s="67"/>
      <c r="F121" s="83"/>
      <c r="G121" s="69"/>
      <c r="H121" s="84"/>
      <c r="I121" s="128" t="e">
        <f t="shared" si="18"/>
        <v>#VALUE!</v>
      </c>
    </row>
    <row r="122" spans="1:9" ht="15" customHeight="1">
      <c r="A122" s="80">
        <v>2021</v>
      </c>
      <c r="B122" s="81" t="e">
        <f t="shared" si="19"/>
        <v>#N/A</v>
      </c>
      <c r="C122" s="134"/>
      <c r="D122" s="67">
        <f t="shared" si="17"/>
        <v>24</v>
      </c>
      <c r="E122" s="67"/>
      <c r="F122" s="83"/>
      <c r="G122" s="69"/>
      <c r="H122" s="84"/>
      <c r="I122" s="128" t="e">
        <f t="shared" si="18"/>
        <v>#VALUE!</v>
      </c>
    </row>
    <row r="123" spans="1:9" ht="15" customHeight="1">
      <c r="A123" s="80">
        <v>2022</v>
      </c>
      <c r="B123" s="81" t="e">
        <f t="shared" si="19"/>
        <v>#N/A</v>
      </c>
      <c r="C123" s="134"/>
      <c r="D123" s="67">
        <f t="shared" si="17"/>
        <v>25</v>
      </c>
      <c r="E123" s="67"/>
      <c r="F123" s="83"/>
      <c r="G123" s="69"/>
      <c r="H123" s="84"/>
      <c r="I123" s="128" t="e">
        <f t="shared" si="18"/>
        <v>#VALUE!</v>
      </c>
    </row>
    <row r="124" spans="1:9" ht="15" customHeight="1">
      <c r="A124" s="80">
        <v>2023</v>
      </c>
      <c r="B124" s="81" t="e">
        <f t="shared" si="19"/>
        <v>#N/A</v>
      </c>
      <c r="C124" s="134"/>
      <c r="D124" s="67">
        <f t="shared" si="17"/>
        <v>26</v>
      </c>
      <c r="E124" s="67"/>
      <c r="F124" s="83"/>
      <c r="G124" s="69"/>
      <c r="H124" s="84"/>
      <c r="I124" s="128" t="e">
        <f t="shared" si="18"/>
        <v>#VALUE!</v>
      </c>
    </row>
    <row r="125" spans="1:9" ht="15" customHeight="1">
      <c r="A125" s="80">
        <v>2024</v>
      </c>
      <c r="B125" s="81" t="e">
        <f t="shared" si="19"/>
        <v>#N/A</v>
      </c>
      <c r="C125" s="135"/>
      <c r="D125" s="67">
        <f t="shared" si="17"/>
        <v>27</v>
      </c>
      <c r="E125" s="67"/>
      <c r="F125" s="69"/>
      <c r="G125" s="69"/>
      <c r="H125" s="69"/>
      <c r="I125" s="136" t="e">
        <f t="shared" si="18"/>
        <v>#VALUE!</v>
      </c>
    </row>
    <row r="126" spans="1:9" ht="15" customHeight="1">
      <c r="A126" s="85">
        <v>2025</v>
      </c>
      <c r="B126" s="86" t="e">
        <f t="shared" si="19"/>
        <v>#N/A</v>
      </c>
      <c r="C126" s="137"/>
      <c r="D126" s="87">
        <f t="shared" si="17"/>
        <v>28</v>
      </c>
      <c r="E126" s="87"/>
      <c r="F126" s="89"/>
      <c r="G126" s="89"/>
      <c r="H126" s="89"/>
      <c r="I126" s="138" t="e">
        <f t="shared" si="18"/>
        <v>#VALUE!</v>
      </c>
    </row>
    <row r="127" spans="1:9" ht="15" customHeight="1">
      <c r="A127" s="56" t="s">
        <v>87</v>
      </c>
      <c r="B127" s="57"/>
    </row>
    <row r="128" spans="1:9" ht="15" customHeight="1">
      <c r="A128" s="58" t="s">
        <v>32</v>
      </c>
      <c r="B128" s="59" t="s">
        <v>40</v>
      </c>
      <c r="C128" s="59" t="s">
        <v>36</v>
      </c>
      <c r="D128" s="59" t="s">
        <v>33</v>
      </c>
      <c r="E128" s="103"/>
      <c r="F128" s="60"/>
      <c r="G128" s="61"/>
      <c r="H128" s="63" t="s">
        <v>250</v>
      </c>
      <c r="I128" s="64">
        <f>RSQ(I129:I139,B129:B139)</f>
        <v>0.97808120364629814</v>
      </c>
    </row>
    <row r="129" spans="1:9" ht="15" customHeight="1">
      <c r="A129" s="65">
        <v>1997</v>
      </c>
      <c r="B129" s="104">
        <f t="shared" ref="B129:B139" si="20">+B5</f>
        <v>6952</v>
      </c>
      <c r="C129" s="126">
        <f t="shared" ref="C129:C139" si="21">LN(F$133/B129-1)</f>
        <v>0</v>
      </c>
      <c r="D129" s="67">
        <v>0</v>
      </c>
      <c r="E129" s="106"/>
      <c r="F129" s="53"/>
      <c r="G129" s="69"/>
      <c r="H129" s="265"/>
      <c r="I129" s="267">
        <f t="shared" ref="I129:I157" si="22">$F$133/(1+EXP($F$131+$F$130*D129))</f>
        <v>6884.3748363689783</v>
      </c>
    </row>
    <row r="130" spans="1:9" ht="15" customHeight="1">
      <c r="A130" s="65" t="e">
        <f t="shared" ref="A130:A139" si="23">A6</f>
        <v>#REF!</v>
      </c>
      <c r="B130" s="104">
        <f t="shared" si="20"/>
        <v>6698</v>
      </c>
      <c r="C130" s="126">
        <f t="shared" si="21"/>
        <v>7.3105037953888827E-2</v>
      </c>
      <c r="D130" s="67">
        <f>+D129+1</f>
        <v>1</v>
      </c>
      <c r="E130" s="106" t="s">
        <v>75</v>
      </c>
      <c r="F130" s="139">
        <f>INDEX(LINEST(C129:C139,D129:D139),1)</f>
        <v>4.914945251774791E-2</v>
      </c>
      <c r="G130" s="140" t="s">
        <v>88</v>
      </c>
      <c r="H130" s="127"/>
      <c r="I130" s="128">
        <f t="shared" si="22"/>
        <v>6713.6226953154628</v>
      </c>
    </row>
    <row r="131" spans="1:9" ht="15" customHeight="1">
      <c r="A131" s="65" t="e">
        <f t="shared" si="23"/>
        <v>#REF!</v>
      </c>
      <c r="B131" s="104">
        <f t="shared" si="20"/>
        <v>6610</v>
      </c>
      <c r="C131" s="126">
        <f t="shared" si="21"/>
        <v>9.8468438522893678E-2</v>
      </c>
      <c r="D131" s="67">
        <f t="shared" ref="D131:D157" si="24">D130+1</f>
        <v>2</v>
      </c>
      <c r="E131" s="106" t="s">
        <v>76</v>
      </c>
      <c r="F131" s="139">
        <f>INDEX(LINEST(C129:C139,D129:D139),2)</f>
        <v>1.945549387786713E-2</v>
      </c>
      <c r="G131" s="69"/>
      <c r="H131" s="127"/>
      <c r="I131" s="128">
        <f t="shared" si="22"/>
        <v>6543.1580204980646</v>
      </c>
    </row>
    <row r="132" spans="1:9" ht="15" customHeight="1">
      <c r="A132" s="65" t="e">
        <f t="shared" si="23"/>
        <v>#REF!</v>
      </c>
      <c r="B132" s="104">
        <f t="shared" si="20"/>
        <v>6347</v>
      </c>
      <c r="C132" s="126">
        <f t="shared" si="21"/>
        <v>0.17449202571424993</v>
      </c>
      <c r="D132" s="67">
        <f t="shared" si="24"/>
        <v>3</v>
      </c>
      <c r="E132" s="106" t="s">
        <v>77</v>
      </c>
      <c r="F132" s="73">
        <f>I128</f>
        <v>0.97808120364629814</v>
      </c>
      <c r="G132" s="69"/>
      <c r="H132" s="127"/>
      <c r="I132" s="128">
        <f t="shared" si="22"/>
        <v>6373.1852541632315</v>
      </c>
    </row>
    <row r="133" spans="1:9" ht="15" customHeight="1">
      <c r="A133" s="65" t="e">
        <f t="shared" si="23"/>
        <v>#REF!</v>
      </c>
      <c r="B133" s="104">
        <f t="shared" si="20"/>
        <v>6154</v>
      </c>
      <c r="C133" s="126">
        <f t="shared" si="21"/>
        <v>0.23059056646540568</v>
      </c>
      <c r="D133" s="67">
        <f t="shared" si="24"/>
        <v>4</v>
      </c>
      <c r="E133" s="106" t="s">
        <v>39</v>
      </c>
      <c r="F133" s="110">
        <f>MAX(B129:B139)*2</f>
        <v>13904</v>
      </c>
      <c r="G133" s="69"/>
      <c r="H133" s="127"/>
      <c r="I133" s="128">
        <f t="shared" si="22"/>
        <v>6203.906477377167</v>
      </c>
    </row>
    <row r="134" spans="1:9" ht="15" customHeight="1">
      <c r="A134" s="65" t="e">
        <f t="shared" si="23"/>
        <v>#REF!</v>
      </c>
      <c r="B134" s="104">
        <f t="shared" si="20"/>
        <v>5940</v>
      </c>
      <c r="C134" s="126">
        <f t="shared" si="21"/>
        <v>0.29322225282739617</v>
      </c>
      <c r="D134" s="67">
        <f t="shared" si="24"/>
        <v>5</v>
      </c>
      <c r="E134" s="106"/>
      <c r="F134" s="53"/>
      <c r="G134" s="69"/>
      <c r="H134" s="127"/>
      <c r="I134" s="128">
        <f t="shared" si="22"/>
        <v>6035.520457442366</v>
      </c>
    </row>
    <row r="135" spans="1:9" ht="15" customHeight="1">
      <c r="A135" s="65" t="e">
        <f t="shared" si="23"/>
        <v>#REF!</v>
      </c>
      <c r="B135" s="104">
        <f t="shared" si="20"/>
        <v>5740</v>
      </c>
      <c r="C135" s="126">
        <f t="shared" si="21"/>
        <v>0.35227503461612331</v>
      </c>
      <c r="D135" s="67">
        <f t="shared" si="24"/>
        <v>6</v>
      </c>
      <c r="E135" s="106"/>
      <c r="F135" s="53"/>
      <c r="G135" s="69"/>
      <c r="H135" s="127"/>
      <c r="I135" s="128">
        <f t="shared" si="22"/>
        <v>5868.2217287676249</v>
      </c>
    </row>
    <row r="136" spans="1:9" ht="15" customHeight="1">
      <c r="A136" s="65" t="e">
        <f t="shared" si="23"/>
        <v>#REF!</v>
      </c>
      <c r="B136" s="104">
        <f t="shared" si="20"/>
        <v>5718</v>
      </c>
      <c r="C136" s="126">
        <f t="shared" si="21"/>
        <v>0.35880628417009108</v>
      </c>
      <c r="D136" s="67">
        <f t="shared" si="24"/>
        <v>7</v>
      </c>
      <c r="E136" s="132" t="s">
        <v>89</v>
      </c>
      <c r="F136" s="53"/>
      <c r="G136" s="69"/>
      <c r="H136" s="127"/>
      <c r="I136" s="128">
        <f t="shared" si="22"/>
        <v>5702.1997160617102</v>
      </c>
    </row>
    <row r="137" spans="1:9" ht="15" customHeight="1">
      <c r="A137" s="65" t="e">
        <f t="shared" si="23"/>
        <v>#REF!</v>
      </c>
      <c r="B137" s="104">
        <f t="shared" si="20"/>
        <v>5709</v>
      </c>
      <c r="C137" s="126">
        <f t="shared" si="21"/>
        <v>0.36148033521367084</v>
      </c>
      <c r="D137" s="67">
        <f t="shared" si="24"/>
        <v>8</v>
      </c>
      <c r="E137" s="132" t="s">
        <v>90</v>
      </c>
      <c r="F137" s="53"/>
      <c r="G137" s="69"/>
      <c r="H137" s="127"/>
      <c r="I137" s="128">
        <f t="shared" si="22"/>
        <v>5537.6379080005627</v>
      </c>
    </row>
    <row r="138" spans="1:9" ht="15" customHeight="1">
      <c r="A138" s="65" t="e">
        <f t="shared" si="23"/>
        <v>#REF!</v>
      </c>
      <c r="B138" s="104">
        <f t="shared" si="20"/>
        <v>5399</v>
      </c>
      <c r="C138" s="126">
        <f t="shared" si="21"/>
        <v>0.45444047461167514</v>
      </c>
      <c r="D138" s="67">
        <f t="shared" si="24"/>
        <v>9</v>
      </c>
      <c r="E138" s="132"/>
      <c r="F138" s="53"/>
      <c r="G138" s="69"/>
      <c r="H138" s="127"/>
      <c r="I138" s="128">
        <f t="shared" si="22"/>
        <v>5374.7130886722807</v>
      </c>
    </row>
    <row r="139" spans="1:9" ht="15" customHeight="1" thickBot="1">
      <c r="A139" s="97" t="e">
        <f t="shared" si="23"/>
        <v>#REF!</v>
      </c>
      <c r="B139" s="116">
        <f t="shared" si="20"/>
        <v>5183</v>
      </c>
      <c r="C139" s="141">
        <f t="shared" si="21"/>
        <v>0.52034987103727914</v>
      </c>
      <c r="D139" s="99">
        <f t="shared" si="24"/>
        <v>10</v>
      </c>
      <c r="E139" s="182"/>
      <c r="F139" s="101"/>
      <c r="G139" s="100"/>
      <c r="H139" s="143"/>
      <c r="I139" s="144">
        <f t="shared" si="22"/>
        <v>5213.594633154551</v>
      </c>
    </row>
    <row r="140" spans="1:9" ht="15" customHeight="1" thickTop="1">
      <c r="A140" s="80">
        <v>2008</v>
      </c>
      <c r="B140" s="81">
        <f t="shared" ref="B140:B157" si="25">ROUND(F$133/(1+EXP(F$131+F$130*D140)),0)</f>
        <v>5054</v>
      </c>
      <c r="C140" s="257"/>
      <c r="D140" s="77">
        <f t="shared" si="24"/>
        <v>11</v>
      </c>
      <c r="E140" s="266"/>
      <c r="F140" s="256"/>
      <c r="G140" s="78"/>
      <c r="H140" s="258"/>
      <c r="I140" s="133">
        <f t="shared" si="22"/>
        <v>5054.4438725490299</v>
      </c>
    </row>
    <row r="141" spans="1:9" ht="15" customHeight="1">
      <c r="A141" s="80">
        <v>2009</v>
      </c>
      <c r="B141" s="81">
        <f t="shared" si="25"/>
        <v>4897</v>
      </c>
      <c r="C141" s="134"/>
      <c r="D141" s="67">
        <f t="shared" si="24"/>
        <v>12</v>
      </c>
      <c r="E141" s="83"/>
      <c r="F141" s="69"/>
      <c r="G141" s="69"/>
      <c r="H141" s="84"/>
      <c r="I141" s="128">
        <f t="shared" si="22"/>
        <v>4897.4135327111353</v>
      </c>
    </row>
    <row r="142" spans="1:9" ht="15" customHeight="1">
      <c r="A142" s="80">
        <v>2010</v>
      </c>
      <c r="B142" s="81">
        <f t="shared" si="25"/>
        <v>4743</v>
      </c>
      <c r="C142" s="134"/>
      <c r="D142" s="67">
        <f t="shared" si="24"/>
        <v>13</v>
      </c>
      <c r="E142" s="83"/>
      <c r="F142" s="69"/>
      <c r="G142" s="69"/>
      <c r="H142" s="84"/>
      <c r="I142" s="128">
        <f t="shared" si="22"/>
        <v>4742.6472497969389</v>
      </c>
    </row>
    <row r="143" spans="1:9" ht="15" customHeight="1">
      <c r="A143" s="80">
        <v>2011</v>
      </c>
      <c r="B143" s="81">
        <f t="shared" si="25"/>
        <v>4590</v>
      </c>
      <c r="C143" s="134"/>
      <c r="D143" s="67">
        <f t="shared" si="24"/>
        <v>14</v>
      </c>
      <c r="E143" s="83"/>
      <c r="F143" s="69"/>
      <c r="G143" s="69"/>
      <c r="H143" s="84"/>
      <c r="I143" s="128">
        <f t="shared" si="22"/>
        <v>4590.2791646260548</v>
      </c>
    </row>
    <row r="144" spans="1:9" ht="15" customHeight="1">
      <c r="A144" s="80">
        <v>2012</v>
      </c>
      <c r="B144" s="81">
        <f t="shared" si="25"/>
        <v>4440</v>
      </c>
      <c r="C144" s="134"/>
      <c r="D144" s="67">
        <f t="shared" si="24"/>
        <v>15</v>
      </c>
      <c r="E144" s="83"/>
      <c r="F144" s="69"/>
      <c r="G144" s="69"/>
      <c r="H144" s="84"/>
      <c r="I144" s="128">
        <f t="shared" si="22"/>
        <v>4440.4335967543193</v>
      </c>
    </row>
    <row r="145" spans="1:10" ht="15" customHeight="1">
      <c r="A145" s="80">
        <v>2013</v>
      </c>
      <c r="B145" s="81">
        <f t="shared" si="25"/>
        <v>4293</v>
      </c>
      <c r="C145" s="134"/>
      <c r="D145" s="67">
        <f t="shared" si="24"/>
        <v>16</v>
      </c>
      <c r="E145" s="83"/>
      <c r="F145" s="69"/>
      <c r="G145" s="69"/>
      <c r="H145" s="84"/>
      <c r="I145" s="128">
        <f t="shared" si="22"/>
        <v>4293.2247980845086</v>
      </c>
    </row>
    <row r="146" spans="1:10" ht="15" customHeight="1">
      <c r="A146" s="80">
        <v>2014</v>
      </c>
      <c r="B146" s="81">
        <f t="shared" si="25"/>
        <v>4149</v>
      </c>
      <c r="C146" s="134"/>
      <c r="D146" s="67">
        <f t="shared" si="24"/>
        <v>17</v>
      </c>
      <c r="E146" s="83"/>
      <c r="F146" s="69"/>
      <c r="G146" s="69"/>
      <c r="H146" s="84"/>
      <c r="I146" s="128">
        <f t="shared" si="22"/>
        <v>4148.7567848370127</v>
      </c>
    </row>
    <row r="147" spans="1:10" ht="15" customHeight="1">
      <c r="A147" s="80">
        <v>2015</v>
      </c>
      <c r="B147" s="81">
        <f t="shared" si="25"/>
        <v>4007</v>
      </c>
      <c r="C147" s="134"/>
      <c r="D147" s="67">
        <f t="shared" si="24"/>
        <v>18</v>
      </c>
      <c r="E147" s="83"/>
      <c r="F147" s="69"/>
      <c r="G147" s="69"/>
      <c r="H147" s="84"/>
      <c r="I147" s="128">
        <f t="shared" si="22"/>
        <v>4007.1232457721385</v>
      </c>
    </row>
    <row r="148" spans="1:10" ht="15" customHeight="1">
      <c r="A148" s="80">
        <v>2016</v>
      </c>
      <c r="B148" s="81">
        <f t="shared" si="25"/>
        <v>3868</v>
      </c>
      <c r="C148" s="134"/>
      <c r="D148" s="67">
        <f t="shared" si="24"/>
        <v>19</v>
      </c>
      <c r="E148" s="83"/>
      <c r="F148" s="69"/>
      <c r="G148" s="69"/>
      <c r="H148" s="84"/>
      <c r="I148" s="128">
        <f t="shared" si="22"/>
        <v>3868.4075237154002</v>
      </c>
    </row>
    <row r="149" spans="1:10" ht="15" customHeight="1">
      <c r="A149" s="80">
        <v>2017</v>
      </c>
      <c r="B149" s="81">
        <f t="shared" si="25"/>
        <v>3733</v>
      </c>
      <c r="C149" s="134"/>
      <c r="D149" s="67">
        <f t="shared" si="24"/>
        <v>20</v>
      </c>
      <c r="E149" s="83"/>
      <c r="F149" s="69"/>
      <c r="G149" s="69"/>
      <c r="H149" s="84"/>
      <c r="I149" s="128">
        <f t="shared" si="22"/>
        <v>3732.6826666974348</v>
      </c>
    </row>
    <row r="150" spans="1:10" ht="15" customHeight="1">
      <c r="A150" s="80">
        <v>2018</v>
      </c>
      <c r="B150" s="81">
        <f t="shared" si="25"/>
        <v>3600</v>
      </c>
      <c r="C150" s="134"/>
      <c r="D150" s="67">
        <f t="shared" si="24"/>
        <v>21</v>
      </c>
      <c r="E150" s="83"/>
      <c r="F150" s="69"/>
      <c r="G150" s="69"/>
      <c r="H150" s="84"/>
      <c r="I150" s="128">
        <f t="shared" si="22"/>
        <v>3600.0115443884265</v>
      </c>
    </row>
    <row r="151" spans="1:10" ht="15" customHeight="1">
      <c r="A151" s="80">
        <v>2019</v>
      </c>
      <c r="B151" s="81">
        <f t="shared" si="25"/>
        <v>3470</v>
      </c>
      <c r="C151" s="134"/>
      <c r="D151" s="67">
        <f t="shared" si="24"/>
        <v>22</v>
      </c>
      <c r="E151" s="83"/>
      <c r="F151" s="69"/>
      <c r="G151" s="69"/>
      <c r="H151" s="84"/>
      <c r="I151" s="128">
        <f t="shared" si="22"/>
        <v>3470.4470249873684</v>
      </c>
    </row>
    <row r="152" spans="1:10" ht="15" customHeight="1">
      <c r="A152" s="80">
        <v>2020</v>
      </c>
      <c r="B152" s="81">
        <f t="shared" si="25"/>
        <v>3344</v>
      </c>
      <c r="C152" s="134"/>
      <c r="D152" s="67">
        <f t="shared" si="24"/>
        <v>23</v>
      </c>
      <c r="E152" s="83"/>
      <c r="F152" s="69"/>
      <c r="G152" s="69"/>
      <c r="H152" s="84"/>
      <c r="I152" s="128">
        <f t="shared" si="22"/>
        <v>3344.0322073202983</v>
      </c>
    </row>
    <row r="153" spans="1:10" ht="15" customHeight="1">
      <c r="A153" s="80">
        <v>2021</v>
      </c>
      <c r="B153" s="81">
        <f t="shared" si="25"/>
        <v>3221</v>
      </c>
      <c r="C153" s="134"/>
      <c r="D153" s="67">
        <f t="shared" si="24"/>
        <v>24</v>
      </c>
      <c r="E153" s="83"/>
      <c r="F153" s="69"/>
      <c r="G153" s="69"/>
      <c r="H153" s="84"/>
      <c r="I153" s="128">
        <f t="shared" si="22"/>
        <v>3220.8007026072023</v>
      </c>
    </row>
    <row r="154" spans="1:10" ht="15" customHeight="1">
      <c r="A154" s="80">
        <v>2022</v>
      </c>
      <c r="B154" s="81">
        <f t="shared" si="25"/>
        <v>3101</v>
      </c>
      <c r="C154" s="134"/>
      <c r="D154" s="67">
        <f t="shared" si="24"/>
        <v>25</v>
      </c>
      <c r="E154" s="83"/>
      <c r="F154" s="69"/>
      <c r="G154" s="69"/>
      <c r="H154" s="84"/>
      <c r="I154" s="128">
        <f t="shared" si="22"/>
        <v>3100.77696017064</v>
      </c>
    </row>
    <row r="155" spans="1:10" ht="15" customHeight="1">
      <c r="A155" s="80">
        <v>2023</v>
      </c>
      <c r="B155" s="81">
        <f t="shared" si="25"/>
        <v>2984</v>
      </c>
      <c r="C155" s="134"/>
      <c r="D155" s="67">
        <f t="shared" si="24"/>
        <v>26</v>
      </c>
      <c r="E155" s="83"/>
      <c r="F155" s="69"/>
      <c r="G155" s="69"/>
      <c r="H155" s="84"/>
      <c r="I155" s="128">
        <f t="shared" si="22"/>
        <v>2983.9766312740558</v>
      </c>
    </row>
    <row r="156" spans="1:10" ht="15" customHeight="1">
      <c r="A156" s="80">
        <v>2024</v>
      </c>
      <c r="B156" s="81">
        <f t="shared" si="25"/>
        <v>2870</v>
      </c>
      <c r="C156" s="135"/>
      <c r="D156" s="67">
        <f t="shared" si="24"/>
        <v>27</v>
      </c>
      <c r="E156" s="69"/>
      <c r="F156" s="69"/>
      <c r="G156" s="69"/>
      <c r="H156" s="69"/>
      <c r="I156" s="136">
        <f t="shared" si="22"/>
        <v>2870.4069652864714</v>
      </c>
    </row>
    <row r="157" spans="1:10" ht="15" customHeight="1">
      <c r="A157" s="85">
        <v>2025</v>
      </c>
      <c r="B157" s="86">
        <f t="shared" si="25"/>
        <v>2760</v>
      </c>
      <c r="C157" s="137"/>
      <c r="D157" s="87">
        <f t="shared" si="24"/>
        <v>28</v>
      </c>
      <c r="E157" s="89"/>
      <c r="F157" s="89"/>
      <c r="G157" s="89"/>
      <c r="H157" s="89"/>
      <c r="I157" s="138">
        <f t="shared" si="22"/>
        <v>2760.0672324636275</v>
      </c>
    </row>
    <row r="158" spans="1:10" ht="15" customHeight="1">
      <c r="A158" s="56" t="s">
        <v>251</v>
      </c>
      <c r="B158" s="57"/>
    </row>
    <row r="159" spans="1:10" ht="15" customHeight="1">
      <c r="A159" s="56"/>
      <c r="B159" s="57"/>
    </row>
    <row r="160" spans="1:10" ht="24">
      <c r="A160" s="145" t="s">
        <v>32</v>
      </c>
      <c r="B160" s="146" t="s">
        <v>91</v>
      </c>
      <c r="C160" s="147" t="s">
        <v>72</v>
      </c>
      <c r="D160" s="147" t="s">
        <v>92</v>
      </c>
      <c r="E160" s="147" t="s">
        <v>93</v>
      </c>
      <c r="F160" s="147" t="s">
        <v>94</v>
      </c>
      <c r="G160" s="147" t="s">
        <v>95</v>
      </c>
      <c r="H160" s="148" t="s">
        <v>96</v>
      </c>
      <c r="I160" s="149" t="s">
        <v>252</v>
      </c>
      <c r="J160" s="150" t="s">
        <v>253</v>
      </c>
    </row>
    <row r="161" spans="1:12" ht="20.100000000000001" customHeight="1">
      <c r="A161" s="65">
        <v>2008</v>
      </c>
      <c r="B161" s="151">
        <f t="shared" ref="B161:B178" si="26">B16</f>
        <v>5006</v>
      </c>
      <c r="C161" s="152">
        <f t="shared" ref="C161:C178" si="27">B47</f>
        <v>5036</v>
      </c>
      <c r="D161" s="152">
        <f t="shared" ref="D161:D178" si="28">B78</f>
        <v>5033</v>
      </c>
      <c r="E161" s="268"/>
      <c r="F161" s="152">
        <f t="shared" ref="F161:F178" si="29">B140</f>
        <v>5054</v>
      </c>
      <c r="G161" s="152">
        <f t="shared" ref="G161:G178" si="30">ROUND(AVERAGE(B161:F161),1)</f>
        <v>5032.3</v>
      </c>
      <c r="H161" s="152">
        <f t="shared" ref="H161:H178" si="31">ROUND((SUM(B161:F161)-MAX(B161:F161)-MIN(B161:F161))/(COUNT(B161:F161)-2),1)</f>
        <v>5034.5</v>
      </c>
      <c r="I161" s="153">
        <f t="shared" ref="I161:I178" si="32">ROUND(SUMIF(B$179:H$179,"○",B161:H161),0)</f>
        <v>5032</v>
      </c>
      <c r="J161" s="261"/>
    </row>
    <row r="162" spans="1:12" ht="20.100000000000001" customHeight="1">
      <c r="A162" s="80">
        <v>2009</v>
      </c>
      <c r="B162" s="151">
        <f t="shared" si="26"/>
        <v>4829</v>
      </c>
      <c r="C162" s="152">
        <f t="shared" si="27"/>
        <v>4869</v>
      </c>
      <c r="D162" s="152">
        <f t="shared" si="28"/>
        <v>4887</v>
      </c>
      <c r="E162" s="268"/>
      <c r="F162" s="152">
        <f t="shared" si="29"/>
        <v>4897</v>
      </c>
      <c r="G162" s="152">
        <f t="shared" si="30"/>
        <v>4870.5</v>
      </c>
      <c r="H162" s="152">
        <f t="shared" si="31"/>
        <v>4878</v>
      </c>
      <c r="I162" s="153">
        <f t="shared" si="32"/>
        <v>4871</v>
      </c>
      <c r="J162" s="154"/>
    </row>
    <row r="163" spans="1:12" ht="20.100000000000001" customHeight="1">
      <c r="A163" s="80">
        <v>2010</v>
      </c>
      <c r="B163" s="151">
        <f t="shared" si="26"/>
        <v>4652</v>
      </c>
      <c r="C163" s="152">
        <f t="shared" si="27"/>
        <v>4702</v>
      </c>
      <c r="D163" s="152">
        <f t="shared" si="28"/>
        <v>4746</v>
      </c>
      <c r="E163" s="268"/>
      <c r="F163" s="152">
        <f t="shared" si="29"/>
        <v>4743</v>
      </c>
      <c r="G163" s="152">
        <f t="shared" si="30"/>
        <v>4710.8</v>
      </c>
      <c r="H163" s="152">
        <f t="shared" si="31"/>
        <v>4722.5</v>
      </c>
      <c r="I163" s="153">
        <f t="shared" si="32"/>
        <v>4711</v>
      </c>
      <c r="J163" s="154"/>
    </row>
    <row r="164" spans="1:12" ht="20.100000000000001" customHeight="1">
      <c r="A164" s="80">
        <v>2011</v>
      </c>
      <c r="B164" s="151">
        <f t="shared" si="26"/>
        <v>4475</v>
      </c>
      <c r="C164" s="152">
        <f t="shared" si="27"/>
        <v>4534</v>
      </c>
      <c r="D164" s="152">
        <f t="shared" si="28"/>
        <v>4608</v>
      </c>
      <c r="E164" s="268"/>
      <c r="F164" s="152">
        <f t="shared" si="29"/>
        <v>4590</v>
      </c>
      <c r="G164" s="152">
        <f t="shared" si="30"/>
        <v>4551.8</v>
      </c>
      <c r="H164" s="152">
        <f t="shared" si="31"/>
        <v>4562</v>
      </c>
      <c r="I164" s="153">
        <f t="shared" si="32"/>
        <v>4552</v>
      </c>
      <c r="J164" s="154"/>
    </row>
    <row r="165" spans="1:12" ht="20.100000000000001" customHeight="1">
      <c r="A165" s="80">
        <v>2012</v>
      </c>
      <c r="B165" s="151">
        <f t="shared" si="26"/>
        <v>4299</v>
      </c>
      <c r="C165" s="152">
        <f t="shared" si="27"/>
        <v>4367</v>
      </c>
      <c r="D165" s="152">
        <f t="shared" si="28"/>
        <v>4475</v>
      </c>
      <c r="E165" s="268"/>
      <c r="F165" s="152">
        <f t="shared" si="29"/>
        <v>4440</v>
      </c>
      <c r="G165" s="152">
        <f t="shared" si="30"/>
        <v>4395.3</v>
      </c>
      <c r="H165" s="152">
        <f t="shared" si="31"/>
        <v>4403.5</v>
      </c>
      <c r="I165" s="153">
        <f t="shared" si="32"/>
        <v>4395</v>
      </c>
      <c r="J165" s="154"/>
    </row>
    <row r="166" spans="1:12" ht="20.100000000000001" customHeight="1">
      <c r="A166" s="80">
        <v>2013</v>
      </c>
      <c r="B166" s="151">
        <f t="shared" si="26"/>
        <v>4122</v>
      </c>
      <c r="C166" s="152">
        <f t="shared" si="27"/>
        <v>4199</v>
      </c>
      <c r="D166" s="152">
        <f t="shared" si="28"/>
        <v>4346</v>
      </c>
      <c r="E166" s="268"/>
      <c r="F166" s="152">
        <f t="shared" si="29"/>
        <v>4293</v>
      </c>
      <c r="G166" s="152">
        <f t="shared" si="30"/>
        <v>4240</v>
      </c>
      <c r="H166" s="152">
        <f t="shared" si="31"/>
        <v>4246</v>
      </c>
      <c r="I166" s="153">
        <f t="shared" si="32"/>
        <v>4240</v>
      </c>
      <c r="J166" s="154"/>
    </row>
    <row r="167" spans="1:12" ht="20.100000000000001" customHeight="1">
      <c r="A167" s="80">
        <v>2014</v>
      </c>
      <c r="B167" s="151">
        <f t="shared" si="26"/>
        <v>3945</v>
      </c>
      <c r="C167" s="152">
        <f t="shared" si="27"/>
        <v>4032</v>
      </c>
      <c r="D167" s="152">
        <f t="shared" si="28"/>
        <v>4220</v>
      </c>
      <c r="E167" s="268"/>
      <c r="F167" s="152">
        <f t="shared" si="29"/>
        <v>4149</v>
      </c>
      <c r="G167" s="152">
        <f t="shared" si="30"/>
        <v>4086.5</v>
      </c>
      <c r="H167" s="152">
        <f t="shared" si="31"/>
        <v>4090.5</v>
      </c>
      <c r="I167" s="153">
        <f t="shared" si="32"/>
        <v>4087</v>
      </c>
      <c r="J167" s="154"/>
    </row>
    <row r="168" spans="1:12" ht="20.100000000000001" customHeight="1">
      <c r="A168" s="80">
        <v>2015</v>
      </c>
      <c r="B168" s="151">
        <f t="shared" si="26"/>
        <v>3768</v>
      </c>
      <c r="C168" s="152">
        <f t="shared" si="27"/>
        <v>3864</v>
      </c>
      <c r="D168" s="152">
        <f t="shared" si="28"/>
        <v>4098</v>
      </c>
      <c r="E168" s="268"/>
      <c r="F168" s="152">
        <f t="shared" si="29"/>
        <v>4007</v>
      </c>
      <c r="G168" s="152">
        <f t="shared" si="30"/>
        <v>3934.3</v>
      </c>
      <c r="H168" s="152">
        <f t="shared" si="31"/>
        <v>3935.5</v>
      </c>
      <c r="I168" s="153">
        <f t="shared" si="32"/>
        <v>3934</v>
      </c>
      <c r="J168" s="154"/>
    </row>
    <row r="169" spans="1:12" ht="20.100000000000001" customHeight="1">
      <c r="A169" s="80">
        <v>2016</v>
      </c>
      <c r="B169" s="151">
        <f t="shared" si="26"/>
        <v>3591</v>
      </c>
      <c r="C169" s="152">
        <f t="shared" si="27"/>
        <v>3697</v>
      </c>
      <c r="D169" s="152">
        <f t="shared" si="28"/>
        <v>3979</v>
      </c>
      <c r="E169" s="268"/>
      <c r="F169" s="152">
        <f t="shared" si="29"/>
        <v>3868</v>
      </c>
      <c r="G169" s="152">
        <f t="shared" si="30"/>
        <v>3783.8</v>
      </c>
      <c r="H169" s="152">
        <f t="shared" si="31"/>
        <v>3782.5</v>
      </c>
      <c r="I169" s="153">
        <f t="shared" si="32"/>
        <v>3784</v>
      </c>
      <c r="J169" s="154"/>
    </row>
    <row r="170" spans="1:12" ht="20.100000000000001" customHeight="1">
      <c r="A170" s="80">
        <v>2017</v>
      </c>
      <c r="B170" s="151">
        <f t="shared" si="26"/>
        <v>3414</v>
      </c>
      <c r="C170" s="152">
        <f t="shared" si="27"/>
        <v>3530</v>
      </c>
      <c r="D170" s="152">
        <f t="shared" si="28"/>
        <v>3864</v>
      </c>
      <c r="E170" s="268"/>
      <c r="F170" s="152">
        <f t="shared" si="29"/>
        <v>3733</v>
      </c>
      <c r="G170" s="152">
        <f t="shared" si="30"/>
        <v>3635.3</v>
      </c>
      <c r="H170" s="152">
        <f t="shared" si="31"/>
        <v>3631.5</v>
      </c>
      <c r="I170" s="153">
        <f t="shared" si="32"/>
        <v>3635</v>
      </c>
      <c r="J170" s="154"/>
    </row>
    <row r="171" spans="1:12" ht="20.100000000000001" customHeight="1">
      <c r="A171" s="80">
        <v>2018</v>
      </c>
      <c r="B171" s="151">
        <f t="shared" si="26"/>
        <v>3237</v>
      </c>
      <c r="C171" s="152">
        <f t="shared" si="27"/>
        <v>3362</v>
      </c>
      <c r="D171" s="152">
        <f t="shared" si="28"/>
        <v>3752</v>
      </c>
      <c r="E171" s="268"/>
      <c r="F171" s="152">
        <f t="shared" si="29"/>
        <v>3600</v>
      </c>
      <c r="G171" s="152">
        <f t="shared" si="30"/>
        <v>3487.8</v>
      </c>
      <c r="H171" s="152">
        <f t="shared" si="31"/>
        <v>3481</v>
      </c>
      <c r="I171" s="153">
        <f t="shared" si="32"/>
        <v>3488</v>
      </c>
      <c r="J171" s="154"/>
    </row>
    <row r="172" spans="1:12" ht="20.100000000000001" customHeight="1">
      <c r="A172" s="80">
        <v>2019</v>
      </c>
      <c r="B172" s="151">
        <f t="shared" si="26"/>
        <v>3060</v>
      </c>
      <c r="C172" s="152">
        <f t="shared" si="27"/>
        <v>3195</v>
      </c>
      <c r="D172" s="152">
        <f t="shared" si="28"/>
        <v>3644</v>
      </c>
      <c r="E172" s="268"/>
      <c r="F172" s="152">
        <f t="shared" si="29"/>
        <v>3470</v>
      </c>
      <c r="G172" s="152">
        <f t="shared" si="30"/>
        <v>3342.3</v>
      </c>
      <c r="H172" s="152">
        <f t="shared" si="31"/>
        <v>3332.5</v>
      </c>
      <c r="I172" s="153">
        <f t="shared" si="32"/>
        <v>3342</v>
      </c>
      <c r="J172" s="154"/>
    </row>
    <row r="173" spans="1:12" ht="20.100000000000001" customHeight="1">
      <c r="A173" s="80">
        <v>2020</v>
      </c>
      <c r="B173" s="151">
        <f t="shared" si="26"/>
        <v>2883</v>
      </c>
      <c r="C173" s="152">
        <f t="shared" si="27"/>
        <v>3027</v>
      </c>
      <c r="D173" s="152">
        <f t="shared" si="28"/>
        <v>3538</v>
      </c>
      <c r="E173" s="268"/>
      <c r="F173" s="152">
        <f t="shared" si="29"/>
        <v>3344</v>
      </c>
      <c r="G173" s="152">
        <f t="shared" si="30"/>
        <v>3198</v>
      </c>
      <c r="H173" s="152">
        <f t="shared" si="31"/>
        <v>3185.5</v>
      </c>
      <c r="I173" s="153">
        <f t="shared" si="32"/>
        <v>3198</v>
      </c>
      <c r="J173" s="154"/>
    </row>
    <row r="174" spans="1:12" ht="20.100000000000001" customHeight="1">
      <c r="A174" s="80">
        <v>2021</v>
      </c>
      <c r="B174" s="151">
        <f t="shared" si="26"/>
        <v>2706</v>
      </c>
      <c r="C174" s="152">
        <f t="shared" si="27"/>
        <v>2860</v>
      </c>
      <c r="D174" s="152">
        <f t="shared" si="28"/>
        <v>3436</v>
      </c>
      <c r="E174" s="268"/>
      <c r="F174" s="152">
        <f t="shared" si="29"/>
        <v>3221</v>
      </c>
      <c r="G174" s="152">
        <f t="shared" si="30"/>
        <v>3055.8</v>
      </c>
      <c r="H174" s="152">
        <f t="shared" si="31"/>
        <v>3040.5</v>
      </c>
      <c r="I174" s="153">
        <f t="shared" si="32"/>
        <v>3056</v>
      </c>
      <c r="J174" s="154"/>
    </row>
    <row r="175" spans="1:12" ht="20.100000000000001" customHeight="1">
      <c r="A175" s="80">
        <v>2022</v>
      </c>
      <c r="B175" s="151">
        <f t="shared" si="26"/>
        <v>2530</v>
      </c>
      <c r="C175" s="152">
        <f t="shared" si="27"/>
        <v>2693</v>
      </c>
      <c r="D175" s="152">
        <f t="shared" si="28"/>
        <v>3336</v>
      </c>
      <c r="E175" s="268"/>
      <c r="F175" s="152">
        <f t="shared" si="29"/>
        <v>3101</v>
      </c>
      <c r="G175" s="152">
        <f t="shared" si="30"/>
        <v>2915</v>
      </c>
      <c r="H175" s="152">
        <f t="shared" si="31"/>
        <v>2897</v>
      </c>
      <c r="I175" s="153">
        <f t="shared" si="32"/>
        <v>2915</v>
      </c>
      <c r="J175" s="154"/>
    </row>
    <row r="176" spans="1:12" ht="20.100000000000001" customHeight="1">
      <c r="A176" s="80">
        <v>2023</v>
      </c>
      <c r="B176" s="151">
        <f t="shared" si="26"/>
        <v>2353</v>
      </c>
      <c r="C176" s="152">
        <f t="shared" si="27"/>
        <v>2525</v>
      </c>
      <c r="D176" s="152">
        <f t="shared" si="28"/>
        <v>3240</v>
      </c>
      <c r="E176" s="268"/>
      <c r="F176" s="152">
        <f t="shared" si="29"/>
        <v>2984</v>
      </c>
      <c r="G176" s="152">
        <f t="shared" si="30"/>
        <v>2775.5</v>
      </c>
      <c r="H176" s="152">
        <f t="shared" si="31"/>
        <v>2754.5</v>
      </c>
      <c r="I176" s="153">
        <f t="shared" si="32"/>
        <v>2776</v>
      </c>
      <c r="J176" s="154"/>
      <c r="L176" s="55">
        <v>806200</v>
      </c>
    </row>
    <row r="177" spans="1:41" ht="20.100000000000001" customHeight="1">
      <c r="A177" s="80">
        <v>2024</v>
      </c>
      <c r="B177" s="151">
        <f t="shared" si="26"/>
        <v>2176</v>
      </c>
      <c r="C177" s="152">
        <f t="shared" si="27"/>
        <v>2358</v>
      </c>
      <c r="D177" s="152">
        <f t="shared" si="28"/>
        <v>3146</v>
      </c>
      <c r="E177" s="268"/>
      <c r="F177" s="152">
        <f t="shared" si="29"/>
        <v>2870</v>
      </c>
      <c r="G177" s="152">
        <f t="shared" si="30"/>
        <v>2637.5</v>
      </c>
      <c r="H177" s="152">
        <f t="shared" si="31"/>
        <v>2614</v>
      </c>
      <c r="I177" s="153">
        <f t="shared" si="32"/>
        <v>2638</v>
      </c>
      <c r="J177" s="154"/>
      <c r="K177" s="55">
        <v>51000</v>
      </c>
      <c r="L177" s="75">
        <f>+K177+E177</f>
        <v>51000</v>
      </c>
      <c r="M177" s="75"/>
    </row>
    <row r="178" spans="1:41" ht="20.100000000000001" customHeight="1">
      <c r="A178" s="80">
        <v>2025</v>
      </c>
      <c r="B178" s="151">
        <f t="shared" si="26"/>
        <v>1999</v>
      </c>
      <c r="C178" s="152">
        <f t="shared" si="27"/>
        <v>2190</v>
      </c>
      <c r="D178" s="152">
        <f t="shared" si="28"/>
        <v>3055</v>
      </c>
      <c r="E178" s="268"/>
      <c r="F178" s="152">
        <f t="shared" si="29"/>
        <v>2760</v>
      </c>
      <c r="G178" s="152">
        <f t="shared" si="30"/>
        <v>2501</v>
      </c>
      <c r="H178" s="152">
        <f t="shared" si="31"/>
        <v>2475</v>
      </c>
      <c r="I178" s="153">
        <f t="shared" si="32"/>
        <v>2501</v>
      </c>
      <c r="J178" s="154"/>
      <c r="L178" s="75">
        <f>+L176-L177</f>
        <v>755200</v>
      </c>
      <c r="M178" s="75"/>
    </row>
    <row r="179" spans="1:41" ht="20.100000000000001" customHeight="1">
      <c r="A179" s="155" t="s">
        <v>97</v>
      </c>
      <c r="B179" s="156"/>
      <c r="C179" s="157"/>
      <c r="D179" s="157"/>
      <c r="E179" s="157"/>
      <c r="F179" s="156"/>
      <c r="G179" s="269" t="s">
        <v>254</v>
      </c>
      <c r="H179" s="157"/>
      <c r="I179" s="159"/>
      <c r="J179" s="160"/>
      <c r="K179" s="161"/>
      <c r="L179" s="162">
        <f>B129</f>
        <v>6952</v>
      </c>
      <c r="M179" s="162">
        <f>+B130</f>
        <v>6698</v>
      </c>
      <c r="N179" s="162">
        <f>B131</f>
        <v>6610</v>
      </c>
      <c r="O179" s="161">
        <f>B132</f>
        <v>6347</v>
      </c>
      <c r="P179" s="162">
        <f>B133</f>
        <v>6154</v>
      </c>
      <c r="Q179" s="161">
        <f>B134</f>
        <v>5940</v>
      </c>
      <c r="R179" s="162">
        <f>B135</f>
        <v>5740</v>
      </c>
      <c r="S179" s="162">
        <f>B136</f>
        <v>5718</v>
      </c>
      <c r="T179" s="162">
        <f>B137</f>
        <v>5709</v>
      </c>
      <c r="U179" s="162">
        <f>B138</f>
        <v>5399</v>
      </c>
      <c r="V179" s="162">
        <f>B139</f>
        <v>5183</v>
      </c>
      <c r="W179" s="162">
        <f>B16</f>
        <v>5006</v>
      </c>
      <c r="X179" s="162"/>
      <c r="Y179" s="161"/>
      <c r="Z179" s="161"/>
      <c r="AA179" s="161"/>
      <c r="AB179" s="161"/>
      <c r="AC179" s="161"/>
      <c r="AD179" s="161"/>
      <c r="AE179" s="161"/>
      <c r="AF179" s="161"/>
      <c r="AG179" s="161"/>
      <c r="AH179" s="161"/>
      <c r="AI179" s="161"/>
      <c r="AJ179" s="161"/>
      <c r="AK179" s="161"/>
      <c r="AL179" s="161"/>
      <c r="AM179" s="161"/>
      <c r="AN179" s="161"/>
    </row>
    <row r="180" spans="1:41" ht="20.100000000000001" hidden="1" customHeight="1">
      <c r="A180" s="85"/>
      <c r="B180" s="163"/>
      <c r="C180" s="164"/>
      <c r="D180" s="164"/>
      <c r="E180" s="164"/>
      <c r="F180" s="164"/>
      <c r="G180" s="164"/>
      <c r="H180" s="164"/>
      <c r="I180" s="165"/>
      <c r="J180" s="166"/>
      <c r="K180" s="161"/>
      <c r="L180" s="161"/>
      <c r="M180" s="161"/>
      <c r="N180" s="161"/>
      <c r="O180" s="161"/>
      <c r="P180" s="161"/>
      <c r="Q180" s="161"/>
      <c r="R180" s="161"/>
      <c r="S180" s="161"/>
      <c r="T180" s="161"/>
      <c r="U180" s="161"/>
      <c r="V180" s="161"/>
      <c r="W180" s="161"/>
      <c r="X180" s="161"/>
      <c r="Y180" s="161"/>
      <c r="Z180" s="161"/>
      <c r="AA180" s="161"/>
      <c r="AB180" s="161"/>
      <c r="AC180" s="161"/>
      <c r="AD180" s="161"/>
      <c r="AE180" s="161"/>
      <c r="AF180" s="161"/>
      <c r="AG180" s="161"/>
      <c r="AH180" s="161"/>
      <c r="AI180" s="161"/>
      <c r="AJ180" s="161"/>
      <c r="AK180" s="161"/>
      <c r="AL180" s="161"/>
      <c r="AM180" s="161"/>
      <c r="AN180" s="161"/>
    </row>
    <row r="181" spans="1:41" s="161" customFormat="1" ht="20.100000000000001" customHeight="1">
      <c r="A181" s="167" t="s">
        <v>98</v>
      </c>
      <c r="B181" s="168">
        <f>I4</f>
        <v>0.97710425309326432</v>
      </c>
      <c r="C181" s="169">
        <f>I35</f>
        <v>0.97710425309326465</v>
      </c>
      <c r="D181" s="169">
        <f>I66</f>
        <v>0.9809271985153295</v>
      </c>
      <c r="E181" s="169"/>
      <c r="F181" s="169">
        <f>I128</f>
        <v>0.97808120364629814</v>
      </c>
      <c r="G181" s="170"/>
      <c r="H181" s="171"/>
      <c r="I181" s="172"/>
      <c r="J181" s="173"/>
      <c r="K181" s="174">
        <f>MAX(B181:I181,F181)</f>
        <v>0.9809271985153295</v>
      </c>
      <c r="L181" s="161">
        <v>1997</v>
      </c>
      <c r="M181" s="161">
        <f>+L181+1</f>
        <v>1998</v>
      </c>
      <c r="N181" s="161">
        <f>+M181+1</f>
        <v>1999</v>
      </c>
      <c r="O181" s="161">
        <f t="shared" ref="O181:AN181" si="33">+N181+1</f>
        <v>2000</v>
      </c>
      <c r="P181" s="161">
        <f t="shared" si="33"/>
        <v>2001</v>
      </c>
      <c r="Q181" s="161">
        <f t="shared" si="33"/>
        <v>2002</v>
      </c>
      <c r="R181" s="161">
        <f t="shared" si="33"/>
        <v>2003</v>
      </c>
      <c r="S181" s="161">
        <f t="shared" si="33"/>
        <v>2004</v>
      </c>
      <c r="T181" s="161">
        <f t="shared" si="33"/>
        <v>2005</v>
      </c>
      <c r="U181" s="161">
        <f t="shared" si="33"/>
        <v>2006</v>
      </c>
      <c r="V181" s="161">
        <f t="shared" si="33"/>
        <v>2007</v>
      </c>
      <c r="W181" s="161">
        <f t="shared" si="33"/>
        <v>2008</v>
      </c>
      <c r="X181" s="161">
        <f t="shared" si="33"/>
        <v>2009</v>
      </c>
      <c r="Y181" s="161">
        <f t="shared" si="33"/>
        <v>2010</v>
      </c>
      <c r="Z181" s="161">
        <f t="shared" si="33"/>
        <v>2011</v>
      </c>
      <c r="AA181" s="161">
        <f t="shared" si="33"/>
        <v>2012</v>
      </c>
      <c r="AB181" s="161">
        <f t="shared" si="33"/>
        <v>2013</v>
      </c>
      <c r="AC181" s="161">
        <f t="shared" si="33"/>
        <v>2014</v>
      </c>
      <c r="AD181" s="161">
        <f t="shared" si="33"/>
        <v>2015</v>
      </c>
      <c r="AE181" s="161">
        <f t="shared" si="33"/>
        <v>2016</v>
      </c>
      <c r="AF181" s="161">
        <f t="shared" si="33"/>
        <v>2017</v>
      </c>
      <c r="AG181" s="161">
        <f t="shared" si="33"/>
        <v>2018</v>
      </c>
      <c r="AH181" s="161">
        <f t="shared" si="33"/>
        <v>2019</v>
      </c>
      <c r="AI181" s="161">
        <f t="shared" si="33"/>
        <v>2020</v>
      </c>
      <c r="AJ181" s="161">
        <f t="shared" si="33"/>
        <v>2021</v>
      </c>
      <c r="AK181" s="161">
        <f t="shared" si="33"/>
        <v>2022</v>
      </c>
      <c r="AL181" s="161">
        <f t="shared" si="33"/>
        <v>2023</v>
      </c>
      <c r="AM181" s="161">
        <f t="shared" si="33"/>
        <v>2024</v>
      </c>
      <c r="AN181" s="161">
        <f t="shared" si="33"/>
        <v>2025</v>
      </c>
    </row>
    <row r="182" spans="1:41" ht="20.100000000000001" customHeight="1">
      <c r="K182" s="161" t="s">
        <v>99</v>
      </c>
      <c r="L182" s="161"/>
      <c r="M182" s="161"/>
      <c r="N182" s="161"/>
      <c r="O182" s="161"/>
      <c r="P182" s="161"/>
      <c r="Q182" s="161"/>
      <c r="R182" s="161"/>
      <c r="S182" s="161"/>
      <c r="T182" s="161"/>
      <c r="U182" s="161"/>
      <c r="V182" s="162">
        <f>+V179</f>
        <v>5183</v>
      </c>
      <c r="W182" s="175">
        <f>+B16</f>
        <v>5006</v>
      </c>
      <c r="X182" s="162">
        <f>B17</f>
        <v>4829</v>
      </c>
      <c r="Y182" s="162">
        <f>B18</f>
        <v>4652</v>
      </c>
      <c r="Z182" s="162">
        <f>B19</f>
        <v>4475</v>
      </c>
      <c r="AA182" s="162">
        <f>B20</f>
        <v>4299</v>
      </c>
      <c r="AB182" s="162">
        <f>B21</f>
        <v>4122</v>
      </c>
      <c r="AC182" s="162">
        <f>B22</f>
        <v>3945</v>
      </c>
      <c r="AD182" s="162">
        <f>B23</f>
        <v>3768</v>
      </c>
      <c r="AE182" s="162">
        <f>B24</f>
        <v>3591</v>
      </c>
      <c r="AF182" s="162">
        <f>B25</f>
        <v>3414</v>
      </c>
      <c r="AG182" s="162">
        <f>B26</f>
        <v>3237</v>
      </c>
      <c r="AH182" s="162">
        <f>B27</f>
        <v>3060</v>
      </c>
      <c r="AI182" s="162">
        <f>B28</f>
        <v>2883</v>
      </c>
      <c r="AJ182" s="162">
        <f>B29</f>
        <v>2706</v>
      </c>
      <c r="AK182" s="162">
        <f>B30</f>
        <v>2530</v>
      </c>
      <c r="AL182" s="162">
        <f>B31</f>
        <v>2353</v>
      </c>
      <c r="AM182" s="162">
        <f>B32</f>
        <v>2176</v>
      </c>
      <c r="AN182" s="162">
        <f>B33</f>
        <v>1999</v>
      </c>
      <c r="AO182" s="161" t="s">
        <v>99</v>
      </c>
    </row>
    <row r="183" spans="1:41" ht="20.100000000000001" customHeight="1">
      <c r="K183" s="161" t="s">
        <v>100</v>
      </c>
      <c r="L183" s="161"/>
      <c r="M183" s="161"/>
      <c r="N183" s="161"/>
      <c r="O183" s="161"/>
      <c r="P183" s="161"/>
      <c r="Q183" s="161"/>
      <c r="R183" s="161"/>
      <c r="S183" s="161"/>
      <c r="T183" s="161"/>
      <c r="U183" s="161"/>
      <c r="V183" s="162">
        <f>+V182</f>
        <v>5183</v>
      </c>
      <c r="W183" s="175">
        <f>+B47</f>
        <v>5036</v>
      </c>
      <c r="X183" s="162">
        <f>B48</f>
        <v>4869</v>
      </c>
      <c r="Y183" s="162">
        <f>B49</f>
        <v>4702</v>
      </c>
      <c r="Z183" s="162">
        <f>B50</f>
        <v>4534</v>
      </c>
      <c r="AA183" s="162">
        <f>B51</f>
        <v>4367</v>
      </c>
      <c r="AB183" s="162">
        <f>B52</f>
        <v>4199</v>
      </c>
      <c r="AC183" s="162">
        <f>B53</f>
        <v>4032</v>
      </c>
      <c r="AD183" s="162">
        <f>B54</f>
        <v>3864</v>
      </c>
      <c r="AE183" s="162">
        <f>B55</f>
        <v>3697</v>
      </c>
      <c r="AF183" s="162">
        <f>B56</f>
        <v>3530</v>
      </c>
      <c r="AG183" s="162">
        <f>B57</f>
        <v>3362</v>
      </c>
      <c r="AH183" s="162">
        <f>B58</f>
        <v>3195</v>
      </c>
      <c r="AI183" s="162">
        <f>B59</f>
        <v>3027</v>
      </c>
      <c r="AJ183" s="162">
        <f>B60</f>
        <v>2860</v>
      </c>
      <c r="AK183" s="162">
        <f>B61</f>
        <v>2693</v>
      </c>
      <c r="AL183" s="162">
        <f>B62</f>
        <v>2525</v>
      </c>
      <c r="AM183" s="162">
        <f>B63</f>
        <v>2358</v>
      </c>
      <c r="AN183" s="162">
        <f>B64</f>
        <v>2190</v>
      </c>
      <c r="AO183" s="161" t="s">
        <v>100</v>
      </c>
    </row>
    <row r="184" spans="1:41" ht="20.100000000000001" customHeight="1">
      <c r="K184" s="161" t="s">
        <v>101</v>
      </c>
      <c r="L184" s="161"/>
      <c r="M184" s="161"/>
      <c r="N184" s="161"/>
      <c r="O184" s="161"/>
      <c r="P184" s="161"/>
      <c r="Q184" s="161"/>
      <c r="R184" s="161"/>
      <c r="S184" s="161"/>
      <c r="T184" s="161"/>
      <c r="U184" s="161"/>
      <c r="V184" s="162">
        <f>+V183</f>
        <v>5183</v>
      </c>
      <c r="W184" s="175">
        <f>+B78</f>
        <v>5033</v>
      </c>
      <c r="X184" s="162">
        <f>B79</f>
        <v>4887</v>
      </c>
      <c r="Y184" s="162">
        <f>B80</f>
        <v>4746</v>
      </c>
      <c r="Z184" s="162">
        <f>B81</f>
        <v>4608</v>
      </c>
      <c r="AA184" s="162">
        <f>B82</f>
        <v>4475</v>
      </c>
      <c r="AB184" s="162">
        <f>B83</f>
        <v>4346</v>
      </c>
      <c r="AC184" s="162">
        <f>B84</f>
        <v>4220</v>
      </c>
      <c r="AD184" s="162">
        <f>B85</f>
        <v>4098</v>
      </c>
      <c r="AE184" s="162">
        <f>B86</f>
        <v>3979</v>
      </c>
      <c r="AF184" s="162">
        <f>B87</f>
        <v>3864</v>
      </c>
      <c r="AG184" s="162">
        <f>B88</f>
        <v>3752</v>
      </c>
      <c r="AH184" s="162">
        <f>B89</f>
        <v>3644</v>
      </c>
      <c r="AI184" s="162">
        <f>B90</f>
        <v>3538</v>
      </c>
      <c r="AJ184" s="162">
        <f>B91</f>
        <v>3436</v>
      </c>
      <c r="AK184" s="162">
        <f>B92</f>
        <v>3336</v>
      </c>
      <c r="AL184" s="162">
        <f>B93</f>
        <v>3240</v>
      </c>
      <c r="AM184" s="162">
        <f>B94</f>
        <v>3146</v>
      </c>
      <c r="AN184" s="162">
        <f>B95</f>
        <v>3055</v>
      </c>
      <c r="AO184" s="161" t="s">
        <v>101</v>
      </c>
    </row>
    <row r="185" spans="1:41" ht="20.100000000000001" customHeight="1">
      <c r="K185" s="161" t="s">
        <v>102</v>
      </c>
      <c r="L185" s="161"/>
      <c r="M185" s="161"/>
      <c r="N185" s="161"/>
      <c r="O185" s="161"/>
      <c r="P185" s="161"/>
      <c r="Q185" s="161"/>
      <c r="R185" s="161"/>
      <c r="S185" s="161"/>
      <c r="T185" s="161"/>
      <c r="U185" s="161"/>
      <c r="V185" s="162">
        <f>+V184</f>
        <v>5183</v>
      </c>
      <c r="W185" s="175"/>
      <c r="X185" s="161"/>
      <c r="Y185" s="161"/>
      <c r="Z185" s="161"/>
      <c r="AA185" s="161"/>
      <c r="AB185" s="161"/>
      <c r="AC185" s="161"/>
      <c r="AD185" s="161"/>
      <c r="AE185" s="161"/>
      <c r="AF185" s="161"/>
      <c r="AG185" s="161"/>
      <c r="AH185" s="161"/>
      <c r="AI185" s="161"/>
      <c r="AJ185" s="161"/>
      <c r="AK185" s="161"/>
      <c r="AL185" s="161"/>
      <c r="AM185" s="161"/>
      <c r="AN185" s="161"/>
      <c r="AO185" s="161" t="s">
        <v>102</v>
      </c>
    </row>
    <row r="186" spans="1:41" ht="20.100000000000001" customHeight="1">
      <c r="K186" s="161" t="s">
        <v>103</v>
      </c>
      <c r="L186" s="161"/>
      <c r="M186" s="161"/>
      <c r="N186" s="161"/>
      <c r="O186" s="161"/>
      <c r="P186" s="161"/>
      <c r="Q186" s="161"/>
      <c r="R186" s="161"/>
      <c r="S186" s="161"/>
      <c r="T186" s="161"/>
      <c r="U186" s="161"/>
      <c r="V186" s="162">
        <f>+V185</f>
        <v>5183</v>
      </c>
      <c r="W186" s="175">
        <f>+B140</f>
        <v>5054</v>
      </c>
      <c r="X186" s="162">
        <f>B141</f>
        <v>4897</v>
      </c>
      <c r="Y186" s="162">
        <f>B142</f>
        <v>4743</v>
      </c>
      <c r="Z186" s="162">
        <f>B143</f>
        <v>4590</v>
      </c>
      <c r="AA186" s="162">
        <f>B144</f>
        <v>4440</v>
      </c>
      <c r="AB186" s="162">
        <f>B145</f>
        <v>4293</v>
      </c>
      <c r="AC186" s="162">
        <f>B146</f>
        <v>4149</v>
      </c>
      <c r="AD186" s="162">
        <f>B147</f>
        <v>4007</v>
      </c>
      <c r="AE186" s="162">
        <f>B148</f>
        <v>3868</v>
      </c>
      <c r="AF186" s="162">
        <f>B149</f>
        <v>3733</v>
      </c>
      <c r="AG186" s="162">
        <f>B150</f>
        <v>3600</v>
      </c>
      <c r="AH186" s="162">
        <f>B151</f>
        <v>3470</v>
      </c>
      <c r="AI186" s="162">
        <f>B152</f>
        <v>3344</v>
      </c>
      <c r="AJ186" s="162">
        <f>B153</f>
        <v>3221</v>
      </c>
      <c r="AK186" s="162">
        <f>B154</f>
        <v>3101</v>
      </c>
      <c r="AL186" s="162">
        <f>B155</f>
        <v>2984</v>
      </c>
      <c r="AM186" s="162">
        <f>B156</f>
        <v>2870</v>
      </c>
      <c r="AN186" s="162">
        <f>B157</f>
        <v>2760</v>
      </c>
      <c r="AO186" s="161" t="s">
        <v>103</v>
      </c>
    </row>
    <row r="187" spans="1:41" ht="20.100000000000001" customHeight="1">
      <c r="K187" s="161" t="s">
        <v>95</v>
      </c>
      <c r="L187" s="161"/>
      <c r="M187" s="161"/>
      <c r="N187" s="161"/>
      <c r="O187" s="161"/>
      <c r="P187" s="161"/>
      <c r="Q187" s="161"/>
      <c r="R187" s="161"/>
      <c r="S187" s="161"/>
      <c r="T187" s="161"/>
      <c r="U187" s="161"/>
      <c r="V187" s="162">
        <f>+V186</f>
        <v>5183</v>
      </c>
      <c r="W187" s="175">
        <f>+G161</f>
        <v>5032.3</v>
      </c>
      <c r="X187" s="206">
        <f>+G162</f>
        <v>4870.5</v>
      </c>
      <c r="Y187" s="206">
        <f>+G163</f>
        <v>4710.8</v>
      </c>
      <c r="Z187" s="206">
        <f>+F164</f>
        <v>4590</v>
      </c>
      <c r="AA187" s="206">
        <f>+F165</f>
        <v>4440</v>
      </c>
      <c r="AB187" s="206">
        <f>+F166</f>
        <v>4293</v>
      </c>
      <c r="AC187" s="206">
        <f>+F167</f>
        <v>4149</v>
      </c>
      <c r="AD187" s="206">
        <f>+F168</f>
        <v>4007</v>
      </c>
      <c r="AE187" s="206">
        <f>+F169</f>
        <v>3868</v>
      </c>
      <c r="AF187" s="206">
        <f>+F170</f>
        <v>3733</v>
      </c>
      <c r="AG187" s="206">
        <f>+F171</f>
        <v>3600</v>
      </c>
      <c r="AH187" s="206">
        <f>+F172</f>
        <v>3470</v>
      </c>
      <c r="AI187" s="206">
        <f>+F173</f>
        <v>3344</v>
      </c>
      <c r="AJ187" s="206">
        <f>+F174</f>
        <v>3221</v>
      </c>
      <c r="AK187" s="206">
        <f>+F175</f>
        <v>3101</v>
      </c>
      <c r="AL187" s="206">
        <f>+F176</f>
        <v>2984</v>
      </c>
      <c r="AM187" s="206">
        <f>+F177</f>
        <v>2870</v>
      </c>
      <c r="AN187" s="206">
        <f>+F178</f>
        <v>2760</v>
      </c>
      <c r="AO187" s="161" t="s">
        <v>95</v>
      </c>
    </row>
    <row r="188" spans="1:41" ht="20.100000000000001" customHeight="1"/>
    <row r="189" spans="1:41" ht="20.100000000000001" customHeight="1"/>
    <row r="190" spans="1:41" ht="20.100000000000001" customHeight="1"/>
    <row r="191" spans="1:41" ht="20.100000000000001" customHeight="1"/>
    <row r="192" spans="1:41" ht="20.100000000000001" customHeight="1"/>
    <row r="193" ht="20.100000000000001" customHeight="1"/>
    <row r="194" ht="20.100000000000001" customHeight="1"/>
    <row r="195" ht="20.100000000000001" customHeight="1"/>
    <row r="196" ht="20.100000000000001" customHeight="1"/>
    <row r="197" ht="20.100000000000001" customHeight="1"/>
    <row r="198" ht="20.100000000000001" customHeight="1"/>
    <row r="199" ht="20.100000000000001" customHeight="1"/>
    <row r="200" ht="20.100000000000001" customHeight="1"/>
    <row r="201" ht="20.100000000000001" customHeight="1"/>
    <row r="202" ht="20.100000000000001" customHeight="1"/>
    <row r="203" ht="20.100000000000001" customHeight="1"/>
    <row r="204" ht="20.100000000000001" customHeight="1"/>
  </sheetData>
  <phoneticPr fontId="50" type="noConversion"/>
  <pageMargins left="0.74803149606299213" right="0.74803149606299213" top="0.78740157480314965" bottom="0.78740157480314965" header="0.51181102362204722" footer="0.51181102362204722"/>
  <pageSetup paperSize="9" scale="70" fitToHeight="3"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sheetPr codeName="Sheet32">
    <tabColor indexed="43"/>
  </sheetPr>
  <dimension ref="A1:AO179"/>
  <sheetViews>
    <sheetView workbookViewId="0"/>
  </sheetViews>
  <sheetFormatPr defaultRowHeight="15" customHeight="1"/>
  <cols>
    <col min="1" max="1" width="8.88671875" style="55"/>
    <col min="2" max="2" width="9.21875" style="55" customWidth="1"/>
    <col min="3" max="3" width="9.5546875" style="55" customWidth="1"/>
    <col min="4" max="4" width="9" style="55" customWidth="1"/>
    <col min="5" max="5" width="11.33203125" style="55" customWidth="1"/>
    <col min="6" max="6" width="9.44140625" style="55" customWidth="1"/>
    <col min="7" max="7" width="15.109375" style="55" bestFit="1" customWidth="1"/>
    <col min="8" max="8" width="12.88671875" style="55" bestFit="1" customWidth="1"/>
    <col min="9" max="9" width="11.5546875" style="55" bestFit="1" customWidth="1"/>
    <col min="10" max="16384" width="8.88671875" style="55"/>
  </cols>
  <sheetData>
    <row r="1" spans="1:12" ht="15" customHeight="1">
      <c r="A1" s="54" t="s">
        <v>291</v>
      </c>
    </row>
    <row r="2" spans="1:12" ht="15" customHeight="1">
      <c r="A2" s="54"/>
    </row>
    <row r="3" spans="1:12" ht="15" customHeight="1">
      <c r="A3" s="56" t="s">
        <v>74</v>
      </c>
      <c r="B3" s="57"/>
    </row>
    <row r="4" spans="1:12" ht="15" customHeight="1">
      <c r="A4" s="58" t="s">
        <v>32</v>
      </c>
      <c r="B4" s="59" t="s">
        <v>40</v>
      </c>
      <c r="C4" s="59" t="s">
        <v>33</v>
      </c>
      <c r="D4" s="60"/>
      <c r="E4" s="60"/>
      <c r="F4" s="61"/>
      <c r="G4" s="62"/>
      <c r="H4" s="63" t="s">
        <v>286</v>
      </c>
      <c r="I4" s="64">
        <f>RSQ(I6:I11,B6:B11)</f>
        <v>0.90345870126668393</v>
      </c>
    </row>
    <row r="5" spans="1:12" ht="15" customHeight="1">
      <c r="A5" s="176">
        <v>2002</v>
      </c>
      <c r="B5" s="183">
        <f>+송정동10!B10</f>
        <v>5940</v>
      </c>
      <c r="C5" s="177">
        <v>0</v>
      </c>
      <c r="D5" s="178"/>
      <c r="E5" s="178"/>
      <c r="F5" s="179"/>
      <c r="G5" s="262"/>
      <c r="H5" s="263"/>
      <c r="I5" s="70">
        <f t="shared" ref="I5:I28" si="0">$E$6*C5+$E$7</f>
        <v>5940</v>
      </c>
    </row>
    <row r="6" spans="1:12" ht="15" customHeight="1">
      <c r="A6" s="65">
        <v>2003</v>
      </c>
      <c r="B6" s="184">
        <f>+송정동10!B11</f>
        <v>5740</v>
      </c>
      <c r="C6" s="67">
        <f>+C5+1</f>
        <v>1</v>
      </c>
      <c r="D6" s="53" t="s">
        <v>75</v>
      </c>
      <c r="E6" s="68">
        <f>(B10-B5)/C10</f>
        <v>-151.4</v>
      </c>
      <c r="F6" s="69"/>
      <c r="G6" s="53"/>
      <c r="H6" s="69"/>
      <c r="I6" s="70">
        <f t="shared" si="0"/>
        <v>5788.6</v>
      </c>
      <c r="J6" s="71">
        <v>570570</v>
      </c>
      <c r="K6" s="55">
        <v>570570</v>
      </c>
      <c r="L6" s="55">
        <v>766</v>
      </c>
    </row>
    <row r="7" spans="1:12" ht="15" customHeight="1">
      <c r="A7" s="65">
        <v>2004</v>
      </c>
      <c r="B7" s="184">
        <f>+송정동10!B12</f>
        <v>5718</v>
      </c>
      <c r="C7" s="67">
        <f t="shared" ref="C7:C28" si="1">C6+1</f>
        <v>2</v>
      </c>
      <c r="D7" s="53" t="s">
        <v>76</v>
      </c>
      <c r="E7" s="72">
        <f>B5</f>
        <v>5940</v>
      </c>
      <c r="F7" s="69"/>
      <c r="G7" s="53"/>
      <c r="H7" s="69"/>
      <c r="I7" s="70">
        <f t="shared" si="0"/>
        <v>5637.2</v>
      </c>
      <c r="J7" s="71">
        <v>583230</v>
      </c>
      <c r="K7" s="55">
        <v>583230</v>
      </c>
      <c r="L7" s="55">
        <v>1094</v>
      </c>
    </row>
    <row r="8" spans="1:12" ht="15" customHeight="1">
      <c r="A8" s="65">
        <v>2005</v>
      </c>
      <c r="B8" s="184">
        <f>+송정동10!B13</f>
        <v>5709</v>
      </c>
      <c r="C8" s="67">
        <f t="shared" si="1"/>
        <v>3</v>
      </c>
      <c r="D8" s="53" t="s">
        <v>77</v>
      </c>
      <c r="E8" s="73">
        <f>I4</f>
        <v>0.90345870126668393</v>
      </c>
      <c r="F8" s="69"/>
      <c r="G8" s="53"/>
      <c r="H8" s="69"/>
      <c r="I8" s="70">
        <f t="shared" si="0"/>
        <v>5485.8</v>
      </c>
      <c r="J8" s="71">
        <v>590162</v>
      </c>
      <c r="K8" s="55">
        <v>590162</v>
      </c>
      <c r="L8" s="55">
        <v>1277</v>
      </c>
    </row>
    <row r="9" spans="1:12" ht="15" customHeight="1">
      <c r="A9" s="65">
        <v>2006</v>
      </c>
      <c r="B9" s="184">
        <f>+송정동10!B14</f>
        <v>5399</v>
      </c>
      <c r="C9" s="67">
        <f t="shared" si="1"/>
        <v>4</v>
      </c>
      <c r="D9" s="53"/>
      <c r="E9" s="53"/>
      <c r="F9" s="69"/>
      <c r="G9" s="53"/>
      <c r="H9" s="69"/>
      <c r="I9" s="70">
        <f t="shared" si="0"/>
        <v>5334.4</v>
      </c>
      <c r="J9" s="71">
        <v>600343</v>
      </c>
      <c r="K9" s="55">
        <v>600343</v>
      </c>
      <c r="L9" s="55">
        <v>1147</v>
      </c>
    </row>
    <row r="10" spans="1:12" ht="15" customHeight="1" thickBot="1">
      <c r="A10" s="97">
        <v>2007</v>
      </c>
      <c r="B10" s="185">
        <f>+송정동10!B15</f>
        <v>5183</v>
      </c>
      <c r="C10" s="99">
        <f t="shared" si="1"/>
        <v>5</v>
      </c>
      <c r="D10" s="101" t="s">
        <v>73</v>
      </c>
      <c r="E10" s="101"/>
      <c r="F10" s="100"/>
      <c r="G10" s="101"/>
      <c r="H10" s="100"/>
      <c r="I10" s="102">
        <f t="shared" si="0"/>
        <v>5183</v>
      </c>
      <c r="J10" s="71">
        <v>611921</v>
      </c>
      <c r="K10" s="55">
        <v>611921</v>
      </c>
      <c r="L10" s="55">
        <v>1355</v>
      </c>
    </row>
    <row r="11" spans="1:12" ht="15" customHeight="1" thickTop="1">
      <c r="A11" s="255">
        <v>2008</v>
      </c>
      <c r="B11" s="81">
        <f t="shared" ref="B11:B28" si="2">ROUND($E$6*C11+$E$7,0)</f>
        <v>5032</v>
      </c>
      <c r="C11" s="77">
        <f t="shared" si="1"/>
        <v>6</v>
      </c>
      <c r="D11" s="256"/>
      <c r="E11" s="256"/>
      <c r="F11" s="78"/>
      <c r="G11" s="256"/>
      <c r="H11" s="78"/>
      <c r="I11" s="79">
        <f t="shared" si="0"/>
        <v>5031.6000000000004</v>
      </c>
      <c r="J11" s="74">
        <v>622238</v>
      </c>
      <c r="K11" s="55">
        <v>622238</v>
      </c>
      <c r="L11" s="55">
        <v>1717</v>
      </c>
    </row>
    <row r="12" spans="1:12" ht="15" customHeight="1">
      <c r="A12" s="80">
        <v>2009</v>
      </c>
      <c r="B12" s="81">
        <f t="shared" si="2"/>
        <v>4880</v>
      </c>
      <c r="C12" s="67">
        <f t="shared" si="1"/>
        <v>7</v>
      </c>
      <c r="D12" s="69"/>
      <c r="E12" s="69"/>
      <c r="F12" s="69"/>
      <c r="G12" s="69"/>
      <c r="H12" s="69"/>
      <c r="I12" s="70">
        <f t="shared" si="0"/>
        <v>4880.2</v>
      </c>
    </row>
    <row r="13" spans="1:12" ht="15" customHeight="1">
      <c r="A13" s="186">
        <v>2010</v>
      </c>
      <c r="B13" s="187">
        <f t="shared" si="2"/>
        <v>4729</v>
      </c>
      <c r="C13" s="188">
        <f t="shared" si="1"/>
        <v>8</v>
      </c>
      <c r="D13" s="189"/>
      <c r="E13" s="189"/>
      <c r="F13" s="189"/>
      <c r="G13" s="189"/>
      <c r="H13" s="189"/>
      <c r="I13" s="190">
        <f t="shared" si="0"/>
        <v>4728.8</v>
      </c>
    </row>
    <row r="14" spans="1:12" ht="15" customHeight="1">
      <c r="A14" s="80">
        <v>2011</v>
      </c>
      <c r="B14" s="81">
        <f t="shared" si="2"/>
        <v>4577</v>
      </c>
      <c r="C14" s="82">
        <f t="shared" si="1"/>
        <v>9</v>
      </c>
      <c r="D14" s="69"/>
      <c r="E14" s="69"/>
      <c r="F14" s="69"/>
      <c r="G14" s="69"/>
      <c r="H14" s="69"/>
      <c r="I14" s="70">
        <f t="shared" si="0"/>
        <v>4577.3999999999996</v>
      </c>
    </row>
    <row r="15" spans="1:12" ht="15" customHeight="1">
      <c r="A15" s="80">
        <v>2012</v>
      </c>
      <c r="B15" s="81">
        <f t="shared" si="2"/>
        <v>4426</v>
      </c>
      <c r="C15" s="82">
        <f t="shared" si="1"/>
        <v>10</v>
      </c>
      <c r="D15" s="69"/>
      <c r="E15" s="69"/>
      <c r="F15" s="69"/>
      <c r="G15" s="69"/>
      <c r="H15" s="69"/>
      <c r="I15" s="70">
        <f t="shared" si="0"/>
        <v>4426</v>
      </c>
    </row>
    <row r="16" spans="1:12" ht="15" customHeight="1">
      <c r="A16" s="80">
        <v>2013</v>
      </c>
      <c r="B16" s="81">
        <f t="shared" si="2"/>
        <v>4275</v>
      </c>
      <c r="C16" s="82">
        <f t="shared" si="1"/>
        <v>11</v>
      </c>
      <c r="D16" s="69"/>
      <c r="E16" s="69"/>
      <c r="F16" s="69"/>
      <c r="G16" s="69"/>
      <c r="H16" s="69"/>
      <c r="I16" s="70">
        <f t="shared" si="0"/>
        <v>4274.6000000000004</v>
      </c>
    </row>
    <row r="17" spans="1:9" ht="15" customHeight="1">
      <c r="A17" s="80">
        <v>2014</v>
      </c>
      <c r="B17" s="81">
        <f t="shared" si="2"/>
        <v>4123</v>
      </c>
      <c r="C17" s="82">
        <f t="shared" si="1"/>
        <v>12</v>
      </c>
      <c r="D17" s="69"/>
      <c r="E17" s="69"/>
      <c r="F17" s="69"/>
      <c r="G17" s="69"/>
      <c r="H17" s="69"/>
      <c r="I17" s="70">
        <f t="shared" si="0"/>
        <v>4123.2</v>
      </c>
    </row>
    <row r="18" spans="1:9" ht="15" customHeight="1">
      <c r="A18" s="186">
        <v>2015</v>
      </c>
      <c r="B18" s="187">
        <f t="shared" si="2"/>
        <v>3972</v>
      </c>
      <c r="C18" s="188">
        <f t="shared" si="1"/>
        <v>13</v>
      </c>
      <c r="D18" s="189"/>
      <c r="E18" s="189"/>
      <c r="F18" s="189"/>
      <c r="G18" s="189"/>
      <c r="H18" s="189"/>
      <c r="I18" s="190">
        <f t="shared" si="0"/>
        <v>3971.8</v>
      </c>
    </row>
    <row r="19" spans="1:9" ht="15" customHeight="1">
      <c r="A19" s="80">
        <v>2016</v>
      </c>
      <c r="B19" s="81">
        <f t="shared" si="2"/>
        <v>3820</v>
      </c>
      <c r="C19" s="82">
        <f t="shared" si="1"/>
        <v>14</v>
      </c>
      <c r="D19" s="69"/>
      <c r="E19" s="69"/>
      <c r="F19" s="69"/>
      <c r="G19" s="69"/>
      <c r="H19" s="69"/>
      <c r="I19" s="70">
        <f t="shared" si="0"/>
        <v>3820.4</v>
      </c>
    </row>
    <row r="20" spans="1:9" ht="15" customHeight="1">
      <c r="A20" s="80">
        <v>2017</v>
      </c>
      <c r="B20" s="81">
        <f t="shared" si="2"/>
        <v>3669</v>
      </c>
      <c r="C20" s="82">
        <f t="shared" si="1"/>
        <v>15</v>
      </c>
      <c r="D20" s="69"/>
      <c r="E20" s="69"/>
      <c r="F20" s="69"/>
      <c r="G20" s="69"/>
      <c r="H20" s="69"/>
      <c r="I20" s="70">
        <f t="shared" si="0"/>
        <v>3669</v>
      </c>
    </row>
    <row r="21" spans="1:9" ht="15" customHeight="1">
      <c r="A21" s="80">
        <v>2018</v>
      </c>
      <c r="B21" s="81">
        <f t="shared" si="2"/>
        <v>3518</v>
      </c>
      <c r="C21" s="82">
        <f t="shared" si="1"/>
        <v>16</v>
      </c>
      <c r="D21" s="69"/>
      <c r="E21" s="69"/>
      <c r="F21" s="69"/>
      <c r="G21" s="69"/>
      <c r="H21" s="69"/>
      <c r="I21" s="70">
        <f t="shared" si="0"/>
        <v>3517.6</v>
      </c>
    </row>
    <row r="22" spans="1:9" ht="15" customHeight="1">
      <c r="A22" s="80">
        <v>2019</v>
      </c>
      <c r="B22" s="81">
        <f t="shared" si="2"/>
        <v>3366</v>
      </c>
      <c r="C22" s="82">
        <f t="shared" si="1"/>
        <v>17</v>
      </c>
      <c r="D22" s="69"/>
      <c r="E22" s="69"/>
      <c r="F22" s="69"/>
      <c r="G22" s="69"/>
      <c r="H22" s="69"/>
      <c r="I22" s="70">
        <f t="shared" si="0"/>
        <v>3366.2</v>
      </c>
    </row>
    <row r="23" spans="1:9" ht="15" customHeight="1">
      <c r="A23" s="186">
        <v>2020</v>
      </c>
      <c r="B23" s="187">
        <f t="shared" si="2"/>
        <v>3215</v>
      </c>
      <c r="C23" s="188">
        <f t="shared" si="1"/>
        <v>18</v>
      </c>
      <c r="D23" s="189"/>
      <c r="E23" s="189"/>
      <c r="F23" s="189"/>
      <c r="G23" s="189"/>
      <c r="H23" s="189"/>
      <c r="I23" s="190">
        <f t="shared" si="0"/>
        <v>3214.7999999999997</v>
      </c>
    </row>
    <row r="24" spans="1:9" ht="15" customHeight="1">
      <c r="A24" s="80">
        <v>2021</v>
      </c>
      <c r="B24" s="81">
        <f t="shared" si="2"/>
        <v>3063</v>
      </c>
      <c r="C24" s="82">
        <f t="shared" si="1"/>
        <v>19</v>
      </c>
      <c r="D24" s="69"/>
      <c r="E24" s="69"/>
      <c r="F24" s="69"/>
      <c r="G24" s="69"/>
      <c r="H24" s="69"/>
      <c r="I24" s="70">
        <f t="shared" si="0"/>
        <v>3063.4</v>
      </c>
    </row>
    <row r="25" spans="1:9" ht="15" customHeight="1">
      <c r="A25" s="80">
        <v>2022</v>
      </c>
      <c r="B25" s="81">
        <f t="shared" si="2"/>
        <v>2912</v>
      </c>
      <c r="C25" s="82">
        <f t="shared" si="1"/>
        <v>20</v>
      </c>
      <c r="D25" s="69"/>
      <c r="E25" s="69"/>
      <c r="F25" s="69"/>
      <c r="G25" s="69"/>
      <c r="H25" s="69"/>
      <c r="I25" s="70">
        <f t="shared" si="0"/>
        <v>2912</v>
      </c>
    </row>
    <row r="26" spans="1:9" ht="15" customHeight="1">
      <c r="A26" s="80">
        <v>2023</v>
      </c>
      <c r="B26" s="81">
        <f t="shared" si="2"/>
        <v>2761</v>
      </c>
      <c r="C26" s="82">
        <f t="shared" si="1"/>
        <v>21</v>
      </c>
      <c r="D26" s="69"/>
      <c r="E26" s="69"/>
      <c r="F26" s="69"/>
      <c r="G26" s="69"/>
      <c r="H26" s="69"/>
      <c r="I26" s="70">
        <f t="shared" si="0"/>
        <v>2760.6</v>
      </c>
    </row>
    <row r="27" spans="1:9" ht="15" customHeight="1">
      <c r="A27" s="80">
        <v>2024</v>
      </c>
      <c r="B27" s="81">
        <f t="shared" si="2"/>
        <v>2609</v>
      </c>
      <c r="C27" s="67">
        <f t="shared" si="1"/>
        <v>22</v>
      </c>
      <c r="D27" s="83"/>
      <c r="E27" s="69"/>
      <c r="F27" s="69"/>
      <c r="G27" s="69"/>
      <c r="H27" s="84"/>
      <c r="I27" s="70">
        <f t="shared" si="0"/>
        <v>2609.1999999999998</v>
      </c>
    </row>
    <row r="28" spans="1:9" ht="15" customHeight="1">
      <c r="A28" s="191">
        <v>2025</v>
      </c>
      <c r="B28" s="192">
        <f t="shared" si="2"/>
        <v>2458</v>
      </c>
      <c r="C28" s="193">
        <f t="shared" si="1"/>
        <v>23</v>
      </c>
      <c r="D28" s="194"/>
      <c r="E28" s="195"/>
      <c r="F28" s="195"/>
      <c r="G28" s="195"/>
      <c r="H28" s="196"/>
      <c r="I28" s="197">
        <f t="shared" si="0"/>
        <v>2457.7999999999997</v>
      </c>
    </row>
    <row r="29" spans="1:9" ht="15" customHeight="1">
      <c r="A29" s="56" t="s">
        <v>78</v>
      </c>
      <c r="B29" s="92"/>
      <c r="I29" s="89"/>
    </row>
    <row r="30" spans="1:9" ht="15" customHeight="1">
      <c r="A30" s="58" t="s">
        <v>32</v>
      </c>
      <c r="B30" s="59" t="s">
        <v>40</v>
      </c>
      <c r="C30" s="59" t="s">
        <v>33</v>
      </c>
      <c r="D30" s="60"/>
      <c r="E30" s="60"/>
      <c r="F30" s="61"/>
      <c r="G30" s="62"/>
      <c r="H30" s="63" t="s">
        <v>286</v>
      </c>
      <c r="I30" s="64">
        <f>RSQ(I32:I37,B32:B37)</f>
        <v>0.89325967629627945</v>
      </c>
    </row>
    <row r="31" spans="1:9" ht="15" customHeight="1">
      <c r="A31" s="65">
        <v>2002</v>
      </c>
      <c r="B31" s="93">
        <f t="shared" ref="B31:B36" si="3">B5</f>
        <v>5940</v>
      </c>
      <c r="C31" s="67">
        <v>0</v>
      </c>
      <c r="D31" s="53"/>
      <c r="E31" s="53"/>
      <c r="F31" s="69"/>
      <c r="G31" s="264"/>
      <c r="H31" s="265"/>
      <c r="I31" s="94">
        <f t="shared" ref="I31:I54" si="4">$E$32*C31+$E$33</f>
        <v>5958.9047619047615</v>
      </c>
    </row>
    <row r="32" spans="1:9" ht="15" customHeight="1">
      <c r="A32" s="65">
        <f t="shared" ref="A32:A37" si="5">A6</f>
        <v>2003</v>
      </c>
      <c r="B32" s="93">
        <f t="shared" si="3"/>
        <v>5740</v>
      </c>
      <c r="C32" s="67">
        <f>+C31+1</f>
        <v>1</v>
      </c>
      <c r="D32" s="53" t="s">
        <v>75</v>
      </c>
      <c r="E32" s="68">
        <f>INDEX(LINEST(B31:B36,C31:C36),1)</f>
        <v>-137.62857142857141</v>
      </c>
      <c r="F32" s="69"/>
      <c r="G32" s="53"/>
      <c r="H32" s="69"/>
      <c r="I32" s="70">
        <f t="shared" si="4"/>
        <v>5821.2761904761901</v>
      </c>
    </row>
    <row r="33" spans="1:9" ht="15" customHeight="1">
      <c r="A33" s="65">
        <f t="shared" si="5"/>
        <v>2004</v>
      </c>
      <c r="B33" s="93">
        <f t="shared" si="3"/>
        <v>5718</v>
      </c>
      <c r="C33" s="67">
        <f t="shared" ref="C33:C54" si="6">C32+1</f>
        <v>2</v>
      </c>
      <c r="D33" s="53" t="s">
        <v>76</v>
      </c>
      <c r="E33" s="72">
        <f>INDEX(LINEST(B31:B36,C31:C36),2)</f>
        <v>5958.9047619047615</v>
      </c>
      <c r="F33" s="69"/>
      <c r="G33" s="53"/>
      <c r="H33" s="69"/>
      <c r="I33" s="70">
        <f t="shared" si="4"/>
        <v>5683.6476190476187</v>
      </c>
    </row>
    <row r="34" spans="1:9" ht="15" customHeight="1">
      <c r="A34" s="65">
        <f t="shared" si="5"/>
        <v>2005</v>
      </c>
      <c r="B34" s="93">
        <f t="shared" si="3"/>
        <v>5709</v>
      </c>
      <c r="C34" s="67">
        <f t="shared" si="6"/>
        <v>3</v>
      </c>
      <c r="D34" s="53" t="s">
        <v>77</v>
      </c>
      <c r="E34" s="73">
        <f>I30</f>
        <v>0.89325967629627945</v>
      </c>
      <c r="F34" s="69"/>
      <c r="G34" s="53"/>
      <c r="H34" s="69"/>
      <c r="I34" s="70">
        <f t="shared" si="4"/>
        <v>5546.0190476190473</v>
      </c>
    </row>
    <row r="35" spans="1:9" ht="15" customHeight="1">
      <c r="A35" s="65">
        <f t="shared" si="5"/>
        <v>2006</v>
      </c>
      <c r="B35" s="93">
        <f t="shared" si="3"/>
        <v>5399</v>
      </c>
      <c r="C35" s="67">
        <f t="shared" si="6"/>
        <v>4</v>
      </c>
      <c r="D35" s="53"/>
      <c r="E35" s="53"/>
      <c r="F35" s="69"/>
      <c r="G35" s="53"/>
      <c r="H35" s="69"/>
      <c r="I35" s="70">
        <f t="shared" si="4"/>
        <v>5408.390476190476</v>
      </c>
    </row>
    <row r="36" spans="1:9" ht="15" customHeight="1" thickBot="1">
      <c r="A36" s="97">
        <f t="shared" si="5"/>
        <v>2007</v>
      </c>
      <c r="B36" s="98">
        <f t="shared" si="3"/>
        <v>5183</v>
      </c>
      <c r="C36" s="99">
        <f t="shared" si="6"/>
        <v>5</v>
      </c>
      <c r="D36" s="101" t="s">
        <v>73</v>
      </c>
      <c r="E36" s="101"/>
      <c r="F36" s="100"/>
      <c r="G36" s="270"/>
      <c r="H36" s="100"/>
      <c r="I36" s="102">
        <f t="shared" si="4"/>
        <v>5270.7619047619046</v>
      </c>
    </row>
    <row r="37" spans="1:9" ht="15" customHeight="1" thickTop="1">
      <c r="A37" s="255">
        <f t="shared" si="5"/>
        <v>2008</v>
      </c>
      <c r="B37" s="81">
        <f t="shared" ref="B37:B54" si="7">ROUND(E$32*C37+E$33,0)</f>
        <v>5133</v>
      </c>
      <c r="C37" s="77">
        <f t="shared" si="6"/>
        <v>6</v>
      </c>
      <c r="D37" s="256"/>
      <c r="E37" s="256"/>
      <c r="F37" s="78"/>
      <c r="G37" s="256"/>
      <c r="H37" s="78"/>
      <c r="I37" s="79">
        <f t="shared" si="4"/>
        <v>5133.1333333333332</v>
      </c>
    </row>
    <row r="38" spans="1:9" ht="15" customHeight="1">
      <c r="A38" s="80">
        <v>2009</v>
      </c>
      <c r="B38" s="81">
        <f t="shared" si="7"/>
        <v>4996</v>
      </c>
      <c r="C38" s="67">
        <f t="shared" si="6"/>
        <v>7</v>
      </c>
      <c r="D38" s="69"/>
      <c r="E38" s="69"/>
      <c r="F38" s="69"/>
      <c r="G38" s="69"/>
      <c r="H38" s="69"/>
      <c r="I38" s="70">
        <f t="shared" si="4"/>
        <v>4995.5047619047618</v>
      </c>
    </row>
    <row r="39" spans="1:9" ht="15" customHeight="1">
      <c r="A39" s="186">
        <v>2010</v>
      </c>
      <c r="B39" s="187">
        <f t="shared" si="7"/>
        <v>4858</v>
      </c>
      <c r="C39" s="188">
        <f t="shared" si="6"/>
        <v>8</v>
      </c>
      <c r="D39" s="189"/>
      <c r="E39" s="189"/>
      <c r="F39" s="189"/>
      <c r="G39" s="189"/>
      <c r="H39" s="189"/>
      <c r="I39" s="190">
        <f t="shared" si="4"/>
        <v>4857.8761904761905</v>
      </c>
    </row>
    <row r="40" spans="1:9" ht="15" customHeight="1">
      <c r="A40" s="80">
        <v>2011</v>
      </c>
      <c r="B40" s="81">
        <f t="shared" si="7"/>
        <v>4720</v>
      </c>
      <c r="C40" s="82">
        <f t="shared" si="6"/>
        <v>9</v>
      </c>
      <c r="D40" s="69"/>
      <c r="E40" s="69"/>
      <c r="F40" s="69"/>
      <c r="G40" s="69"/>
      <c r="H40" s="69"/>
      <c r="I40" s="70">
        <f t="shared" si="4"/>
        <v>4720.2476190476191</v>
      </c>
    </row>
    <row r="41" spans="1:9" ht="15" customHeight="1">
      <c r="A41" s="80">
        <v>2012</v>
      </c>
      <c r="B41" s="81">
        <f t="shared" si="7"/>
        <v>4583</v>
      </c>
      <c r="C41" s="82">
        <f t="shared" si="6"/>
        <v>10</v>
      </c>
      <c r="D41" s="69"/>
      <c r="E41" s="69"/>
      <c r="F41" s="69"/>
      <c r="G41" s="69"/>
      <c r="H41" s="69"/>
      <c r="I41" s="70">
        <f t="shared" si="4"/>
        <v>4582.6190476190477</v>
      </c>
    </row>
    <row r="42" spans="1:9" ht="15" customHeight="1">
      <c r="A42" s="80">
        <v>2013</v>
      </c>
      <c r="B42" s="81">
        <f t="shared" si="7"/>
        <v>4445</v>
      </c>
      <c r="C42" s="82">
        <f t="shared" si="6"/>
        <v>11</v>
      </c>
      <c r="D42" s="69"/>
      <c r="E42" s="69"/>
      <c r="F42" s="69"/>
      <c r="G42" s="69"/>
      <c r="H42" s="69"/>
      <c r="I42" s="70">
        <f t="shared" si="4"/>
        <v>4444.9904761904763</v>
      </c>
    </row>
    <row r="43" spans="1:9" ht="15" customHeight="1">
      <c r="A43" s="80">
        <v>2014</v>
      </c>
      <c r="B43" s="81">
        <f t="shared" si="7"/>
        <v>4307</v>
      </c>
      <c r="C43" s="82">
        <f t="shared" si="6"/>
        <v>12</v>
      </c>
      <c r="D43" s="69"/>
      <c r="E43" s="69"/>
      <c r="F43" s="69"/>
      <c r="G43" s="69"/>
      <c r="H43" s="69"/>
      <c r="I43" s="70">
        <f t="shared" si="4"/>
        <v>4307.361904761905</v>
      </c>
    </row>
    <row r="44" spans="1:9" ht="15" customHeight="1">
      <c r="A44" s="186">
        <v>2015</v>
      </c>
      <c r="B44" s="187">
        <f t="shared" si="7"/>
        <v>4170</v>
      </c>
      <c r="C44" s="188">
        <f t="shared" si="6"/>
        <v>13</v>
      </c>
      <c r="D44" s="189"/>
      <c r="E44" s="189"/>
      <c r="F44" s="189"/>
      <c r="G44" s="189"/>
      <c r="H44" s="189"/>
      <c r="I44" s="190">
        <f t="shared" si="4"/>
        <v>4169.7333333333336</v>
      </c>
    </row>
    <row r="45" spans="1:9" ht="15" customHeight="1">
      <c r="A45" s="80">
        <v>2016</v>
      </c>
      <c r="B45" s="81">
        <f t="shared" si="7"/>
        <v>4032</v>
      </c>
      <c r="C45" s="82">
        <f t="shared" si="6"/>
        <v>14</v>
      </c>
      <c r="D45" s="69"/>
      <c r="E45" s="69"/>
      <c r="F45" s="69"/>
      <c r="G45" s="69"/>
      <c r="H45" s="69"/>
      <c r="I45" s="70">
        <f t="shared" si="4"/>
        <v>4032.1047619047617</v>
      </c>
    </row>
    <row r="46" spans="1:9" ht="15" customHeight="1">
      <c r="A46" s="80">
        <v>2017</v>
      </c>
      <c r="B46" s="81">
        <f t="shared" si="7"/>
        <v>3894</v>
      </c>
      <c r="C46" s="82">
        <f t="shared" si="6"/>
        <v>15</v>
      </c>
      <c r="D46" s="69"/>
      <c r="E46" s="69"/>
      <c r="F46" s="69"/>
      <c r="G46" s="69"/>
      <c r="H46" s="69"/>
      <c r="I46" s="70">
        <f t="shared" si="4"/>
        <v>3894.4761904761904</v>
      </c>
    </row>
    <row r="47" spans="1:9" ht="15" customHeight="1">
      <c r="A47" s="80">
        <v>2018</v>
      </c>
      <c r="B47" s="81">
        <f t="shared" si="7"/>
        <v>3757</v>
      </c>
      <c r="C47" s="82">
        <f t="shared" si="6"/>
        <v>16</v>
      </c>
      <c r="D47" s="69"/>
      <c r="E47" s="69"/>
      <c r="F47" s="69"/>
      <c r="G47" s="69"/>
      <c r="H47" s="69"/>
      <c r="I47" s="70">
        <f t="shared" si="4"/>
        <v>3756.847619047619</v>
      </c>
    </row>
    <row r="48" spans="1:9" ht="15" customHeight="1">
      <c r="A48" s="80">
        <v>2019</v>
      </c>
      <c r="B48" s="81">
        <f t="shared" si="7"/>
        <v>3619</v>
      </c>
      <c r="C48" s="82">
        <f t="shared" si="6"/>
        <v>17</v>
      </c>
      <c r="D48" s="69"/>
      <c r="E48" s="69"/>
      <c r="F48" s="69"/>
      <c r="G48" s="69"/>
      <c r="H48" s="69"/>
      <c r="I48" s="70">
        <f t="shared" si="4"/>
        <v>3619.2190476190476</v>
      </c>
    </row>
    <row r="49" spans="1:11" ht="15" customHeight="1">
      <c r="A49" s="186">
        <v>2020</v>
      </c>
      <c r="B49" s="187">
        <f t="shared" si="7"/>
        <v>3482</v>
      </c>
      <c r="C49" s="188">
        <f t="shared" si="6"/>
        <v>18</v>
      </c>
      <c r="D49" s="189"/>
      <c r="E49" s="189"/>
      <c r="F49" s="189"/>
      <c r="G49" s="189"/>
      <c r="H49" s="189"/>
      <c r="I49" s="190">
        <f t="shared" si="4"/>
        <v>3481.5904761904762</v>
      </c>
    </row>
    <row r="50" spans="1:11" ht="15" customHeight="1">
      <c r="A50" s="80">
        <v>2021</v>
      </c>
      <c r="B50" s="81">
        <f t="shared" si="7"/>
        <v>3344</v>
      </c>
      <c r="C50" s="82">
        <f t="shared" si="6"/>
        <v>19</v>
      </c>
      <c r="D50" s="69"/>
      <c r="E50" s="69"/>
      <c r="F50" s="69"/>
      <c r="G50" s="69"/>
      <c r="H50" s="69"/>
      <c r="I50" s="70">
        <f t="shared" si="4"/>
        <v>3343.9619047619049</v>
      </c>
    </row>
    <row r="51" spans="1:11" ht="15" customHeight="1">
      <c r="A51" s="80">
        <v>2022</v>
      </c>
      <c r="B51" s="81">
        <f t="shared" si="7"/>
        <v>3206</v>
      </c>
      <c r="C51" s="82">
        <f t="shared" si="6"/>
        <v>20</v>
      </c>
      <c r="D51" s="69"/>
      <c r="E51" s="69"/>
      <c r="F51" s="69"/>
      <c r="G51" s="69"/>
      <c r="H51" s="69"/>
      <c r="I51" s="70">
        <f t="shared" si="4"/>
        <v>3206.3333333333335</v>
      </c>
    </row>
    <row r="52" spans="1:11" ht="15" customHeight="1">
      <c r="A52" s="80">
        <v>2023</v>
      </c>
      <c r="B52" s="81">
        <f t="shared" si="7"/>
        <v>3069</v>
      </c>
      <c r="C52" s="82">
        <f t="shared" si="6"/>
        <v>21</v>
      </c>
      <c r="D52" s="69"/>
      <c r="E52" s="69"/>
      <c r="F52" s="69"/>
      <c r="G52" s="69"/>
      <c r="H52" s="69"/>
      <c r="I52" s="70">
        <f t="shared" si="4"/>
        <v>3068.7047619047621</v>
      </c>
    </row>
    <row r="53" spans="1:11" ht="15" customHeight="1">
      <c r="A53" s="80">
        <v>2024</v>
      </c>
      <c r="B53" s="81">
        <f t="shared" si="7"/>
        <v>2931</v>
      </c>
      <c r="C53" s="67">
        <f t="shared" si="6"/>
        <v>22</v>
      </c>
      <c r="D53" s="69"/>
      <c r="E53" s="69"/>
      <c r="F53" s="69"/>
      <c r="G53" s="69"/>
      <c r="H53" s="69"/>
      <c r="I53" s="70">
        <f t="shared" si="4"/>
        <v>2931.0761904761907</v>
      </c>
    </row>
    <row r="54" spans="1:11" ht="15" customHeight="1">
      <c r="A54" s="191">
        <v>2025</v>
      </c>
      <c r="B54" s="192">
        <f t="shared" si="7"/>
        <v>2793</v>
      </c>
      <c r="C54" s="193">
        <f t="shared" si="6"/>
        <v>23</v>
      </c>
      <c r="D54" s="195"/>
      <c r="E54" s="195"/>
      <c r="F54" s="195"/>
      <c r="G54" s="195"/>
      <c r="H54" s="195"/>
      <c r="I54" s="197">
        <f t="shared" si="4"/>
        <v>2793.4476190476194</v>
      </c>
    </row>
    <row r="55" spans="1:11" ht="15" customHeight="1">
      <c r="A55" s="56" t="s">
        <v>79</v>
      </c>
      <c r="B55" s="57"/>
    </row>
    <row r="56" spans="1:11" ht="15" customHeight="1">
      <c r="A56" s="58" t="s">
        <v>32</v>
      </c>
      <c r="B56" s="59" t="s">
        <v>40</v>
      </c>
      <c r="C56" s="59" t="s">
        <v>34</v>
      </c>
      <c r="D56" s="59" t="s">
        <v>33</v>
      </c>
      <c r="E56" s="103"/>
      <c r="F56" s="60"/>
      <c r="G56" s="61"/>
      <c r="H56" s="63" t="s">
        <v>286</v>
      </c>
      <c r="I56" s="64">
        <f>RSQ(I58:I63,B58:B63)</f>
        <v>0.89432343772027545</v>
      </c>
    </row>
    <row r="57" spans="1:11" ht="15" customHeight="1">
      <c r="A57" s="65">
        <v>2002</v>
      </c>
      <c r="B57" s="104">
        <f t="shared" ref="B57:B62" si="8">B5</f>
        <v>5940</v>
      </c>
      <c r="C57" s="105">
        <f t="shared" ref="C57:C80" si="9">LN(B57)</f>
        <v>8.6894644123566902</v>
      </c>
      <c r="D57" s="67">
        <v>0</v>
      </c>
      <c r="E57" s="106"/>
      <c r="F57" s="53"/>
      <c r="G57" s="69"/>
      <c r="H57" s="265"/>
      <c r="I57" s="109">
        <f t="shared" ref="I57:I80" si="10">ROUND($F$59*(1+$F$58)^(D57),1)</f>
        <v>5940</v>
      </c>
    </row>
    <row r="58" spans="1:11" ht="15" customHeight="1">
      <c r="A58" s="65">
        <f t="shared" ref="A58:A63" si="11">A6</f>
        <v>2003</v>
      </c>
      <c r="B58" s="104">
        <f t="shared" si="8"/>
        <v>5740</v>
      </c>
      <c r="C58" s="105">
        <f t="shared" si="9"/>
        <v>8.6552144893136127</v>
      </c>
      <c r="D58" s="67">
        <f>+D57+1</f>
        <v>1</v>
      </c>
      <c r="E58" s="106" t="s">
        <v>37</v>
      </c>
      <c r="F58" s="73">
        <f>ROUND((B62/B57)^(1/D62)-1,5)</f>
        <v>-2.69E-2</v>
      </c>
      <c r="G58" s="107"/>
      <c r="H58" s="108"/>
      <c r="I58" s="109">
        <f t="shared" si="10"/>
        <v>5780.2</v>
      </c>
    </row>
    <row r="59" spans="1:11" ht="15" customHeight="1">
      <c r="A59" s="65">
        <f t="shared" si="11"/>
        <v>2004</v>
      </c>
      <c r="B59" s="104">
        <f t="shared" si="8"/>
        <v>5718</v>
      </c>
      <c r="C59" s="105">
        <f t="shared" si="9"/>
        <v>8.6513743728822572</v>
      </c>
      <c r="D59" s="67">
        <f t="shared" ref="D59:D80" si="12">D58+1</f>
        <v>2</v>
      </c>
      <c r="E59" s="106" t="s">
        <v>80</v>
      </c>
      <c r="F59" s="110">
        <f>B57</f>
        <v>5940</v>
      </c>
      <c r="G59" s="107"/>
      <c r="H59" s="108"/>
      <c r="I59" s="109">
        <f t="shared" si="10"/>
        <v>5624.7</v>
      </c>
      <c r="K59" s="111"/>
    </row>
    <row r="60" spans="1:11" ht="15" customHeight="1">
      <c r="A60" s="65">
        <f t="shared" si="11"/>
        <v>2005</v>
      </c>
      <c r="B60" s="104">
        <f t="shared" si="8"/>
        <v>5709</v>
      </c>
      <c r="C60" s="105">
        <f t="shared" si="9"/>
        <v>8.64979915596426</v>
      </c>
      <c r="D60" s="67">
        <f t="shared" si="12"/>
        <v>3</v>
      </c>
      <c r="E60" s="106" t="s">
        <v>77</v>
      </c>
      <c r="F60" s="73">
        <f>I56</f>
        <v>0.89432343772027545</v>
      </c>
      <c r="G60" s="108"/>
      <c r="H60" s="108"/>
      <c r="I60" s="109">
        <f t="shared" si="10"/>
        <v>5473.4</v>
      </c>
    </row>
    <row r="61" spans="1:11" ht="15" customHeight="1">
      <c r="A61" s="65">
        <f t="shared" si="11"/>
        <v>2006</v>
      </c>
      <c r="B61" s="104">
        <f t="shared" si="8"/>
        <v>5399</v>
      </c>
      <c r="C61" s="105">
        <f t="shared" si="9"/>
        <v>8.5939690302182878</v>
      </c>
      <c r="D61" s="67">
        <f t="shared" si="12"/>
        <v>4</v>
      </c>
      <c r="E61" s="106"/>
      <c r="F61" s="73"/>
      <c r="G61" s="108"/>
      <c r="H61" s="108"/>
      <c r="I61" s="109">
        <f t="shared" si="10"/>
        <v>5326.2</v>
      </c>
    </row>
    <row r="62" spans="1:11" ht="15" customHeight="1" thickBot="1">
      <c r="A62" s="97">
        <f t="shared" si="11"/>
        <v>2007</v>
      </c>
      <c r="B62" s="116">
        <f t="shared" si="8"/>
        <v>5183</v>
      </c>
      <c r="C62" s="117">
        <f t="shared" si="9"/>
        <v>8.5531393181897073</v>
      </c>
      <c r="D62" s="99">
        <f t="shared" si="12"/>
        <v>5</v>
      </c>
      <c r="E62" s="205" t="s">
        <v>81</v>
      </c>
      <c r="F62" s="271"/>
      <c r="G62" s="118"/>
      <c r="H62" s="118"/>
      <c r="I62" s="120">
        <f t="shared" si="10"/>
        <v>5182.8999999999996</v>
      </c>
    </row>
    <row r="63" spans="1:11" ht="15" customHeight="1" thickTop="1">
      <c r="A63" s="255">
        <f t="shared" si="11"/>
        <v>2008</v>
      </c>
      <c r="B63" s="81">
        <f t="shared" ref="B63:B80" si="13">ROUND(F$59*(1+F$58)^D63,0)</f>
        <v>5043</v>
      </c>
      <c r="C63" s="121">
        <f t="shared" si="9"/>
        <v>8.525756422076725</v>
      </c>
      <c r="D63" s="77">
        <f t="shared" si="12"/>
        <v>6</v>
      </c>
      <c r="E63" s="272"/>
      <c r="F63" s="273"/>
      <c r="G63" s="259"/>
      <c r="H63" s="259"/>
      <c r="I63" s="123">
        <f t="shared" si="10"/>
        <v>5043.5</v>
      </c>
    </row>
    <row r="64" spans="1:11" ht="15" customHeight="1">
      <c r="A64" s="80">
        <v>2009</v>
      </c>
      <c r="B64" s="81">
        <f t="shared" si="13"/>
        <v>4908</v>
      </c>
      <c r="C64" s="105">
        <f t="shared" si="9"/>
        <v>8.4986218058308012</v>
      </c>
      <c r="D64" s="67">
        <f t="shared" si="12"/>
        <v>7</v>
      </c>
      <c r="E64" s="83"/>
      <c r="F64" s="69"/>
      <c r="G64" s="69"/>
      <c r="H64" s="69"/>
      <c r="I64" s="109">
        <f t="shared" si="10"/>
        <v>4907.8</v>
      </c>
    </row>
    <row r="65" spans="1:9" ht="15" customHeight="1">
      <c r="A65" s="186">
        <v>2010</v>
      </c>
      <c r="B65" s="187">
        <f t="shared" si="13"/>
        <v>4776</v>
      </c>
      <c r="C65" s="198">
        <f t="shared" si="9"/>
        <v>8.4713586550724376</v>
      </c>
      <c r="D65" s="199">
        <f t="shared" si="12"/>
        <v>8</v>
      </c>
      <c r="E65" s="200"/>
      <c r="F65" s="189"/>
      <c r="G65" s="189"/>
      <c r="H65" s="189"/>
      <c r="I65" s="201">
        <f t="shared" si="10"/>
        <v>4775.8</v>
      </c>
    </row>
    <row r="66" spans="1:9" ht="15" customHeight="1">
      <c r="A66" s="80">
        <v>2011</v>
      </c>
      <c r="B66" s="81">
        <f t="shared" si="13"/>
        <v>4647</v>
      </c>
      <c r="C66" s="105">
        <f t="shared" si="9"/>
        <v>8.4439771290849777</v>
      </c>
      <c r="D66" s="67">
        <f t="shared" si="12"/>
        <v>9</v>
      </c>
      <c r="E66" s="83"/>
      <c r="F66" s="69"/>
      <c r="G66" s="69"/>
      <c r="H66" s="69"/>
      <c r="I66" s="109">
        <f t="shared" si="10"/>
        <v>4647.3</v>
      </c>
    </row>
    <row r="67" spans="1:9" ht="15" customHeight="1">
      <c r="A67" s="80">
        <v>2012</v>
      </c>
      <c r="B67" s="81">
        <f t="shared" si="13"/>
        <v>4522</v>
      </c>
      <c r="C67" s="105">
        <f t="shared" si="9"/>
        <v>8.4167096528379144</v>
      </c>
      <c r="D67" s="67">
        <f t="shared" si="12"/>
        <v>10</v>
      </c>
      <c r="E67" s="83"/>
      <c r="F67" s="69"/>
      <c r="G67" s="69"/>
      <c r="H67" s="69"/>
      <c r="I67" s="109">
        <f t="shared" si="10"/>
        <v>4522.3</v>
      </c>
    </row>
    <row r="68" spans="1:9" ht="15" customHeight="1">
      <c r="A68" s="80">
        <v>2013</v>
      </c>
      <c r="B68" s="81">
        <f t="shared" si="13"/>
        <v>4401</v>
      </c>
      <c r="C68" s="105">
        <f t="shared" si="9"/>
        <v>8.3895870668110906</v>
      </c>
      <c r="D68" s="67">
        <f t="shared" si="12"/>
        <v>11</v>
      </c>
      <c r="E68" s="83"/>
      <c r="F68" s="69"/>
      <c r="G68" s="69"/>
      <c r="H68" s="69"/>
      <c r="I68" s="109">
        <f t="shared" si="10"/>
        <v>4400.7</v>
      </c>
    </row>
    <row r="69" spans="1:9" ht="15" customHeight="1">
      <c r="A69" s="80">
        <v>2014</v>
      </c>
      <c r="B69" s="81">
        <f t="shared" si="13"/>
        <v>4282</v>
      </c>
      <c r="C69" s="105">
        <f t="shared" si="9"/>
        <v>8.3621754691496282</v>
      </c>
      <c r="D69" s="67">
        <f t="shared" si="12"/>
        <v>12</v>
      </c>
      <c r="E69" s="83"/>
      <c r="F69" s="69"/>
      <c r="G69" s="69"/>
      <c r="H69" s="69"/>
      <c r="I69" s="109">
        <f t="shared" si="10"/>
        <v>4282.3</v>
      </c>
    </row>
    <row r="70" spans="1:9" ht="15" customHeight="1">
      <c r="A70" s="186">
        <v>2015</v>
      </c>
      <c r="B70" s="187">
        <f t="shared" si="13"/>
        <v>4167</v>
      </c>
      <c r="C70" s="198">
        <f t="shared" si="9"/>
        <v>8.3349516314224541</v>
      </c>
      <c r="D70" s="199">
        <f t="shared" si="12"/>
        <v>13</v>
      </c>
      <c r="E70" s="200"/>
      <c r="F70" s="189"/>
      <c r="G70" s="189"/>
      <c r="H70" s="189"/>
      <c r="I70" s="201">
        <f t="shared" si="10"/>
        <v>4167.1000000000004</v>
      </c>
    </row>
    <row r="71" spans="1:9" ht="15" customHeight="1">
      <c r="A71" s="80">
        <v>2016</v>
      </c>
      <c r="B71" s="81">
        <f t="shared" si="13"/>
        <v>4055</v>
      </c>
      <c r="C71" s="105">
        <f t="shared" si="9"/>
        <v>8.3077059665495128</v>
      </c>
      <c r="D71" s="67">
        <f t="shared" si="12"/>
        <v>14</v>
      </c>
      <c r="E71" s="83"/>
      <c r="F71" s="69"/>
      <c r="G71" s="69"/>
      <c r="H71" s="69"/>
      <c r="I71" s="109">
        <f t="shared" si="10"/>
        <v>4055</v>
      </c>
    </row>
    <row r="72" spans="1:9" ht="15" customHeight="1">
      <c r="A72" s="80">
        <v>2017</v>
      </c>
      <c r="B72" s="81">
        <f t="shared" si="13"/>
        <v>3946</v>
      </c>
      <c r="C72" s="105">
        <f t="shared" si="9"/>
        <v>8.2804576865825599</v>
      </c>
      <c r="D72" s="67">
        <f t="shared" si="12"/>
        <v>15</v>
      </c>
      <c r="E72" s="83"/>
      <c r="F72" s="69"/>
      <c r="G72" s="69"/>
      <c r="H72" s="69"/>
      <c r="I72" s="109">
        <f t="shared" si="10"/>
        <v>3945.9</v>
      </c>
    </row>
    <row r="73" spans="1:9" ht="15" customHeight="1">
      <c r="A73" s="80">
        <v>2018</v>
      </c>
      <c r="B73" s="81">
        <f t="shared" si="13"/>
        <v>3840</v>
      </c>
      <c r="C73" s="105">
        <f t="shared" si="9"/>
        <v>8.2532276455817719</v>
      </c>
      <c r="D73" s="67">
        <f t="shared" si="12"/>
        <v>16</v>
      </c>
      <c r="E73" s="83"/>
      <c r="F73" s="69"/>
      <c r="G73" s="69"/>
      <c r="H73" s="69"/>
      <c r="I73" s="109">
        <f t="shared" si="10"/>
        <v>3839.8</v>
      </c>
    </row>
    <row r="74" spans="1:9" ht="15" customHeight="1">
      <c r="A74" s="80">
        <v>2019</v>
      </c>
      <c r="B74" s="81">
        <f t="shared" si="13"/>
        <v>3736</v>
      </c>
      <c r="C74" s="105">
        <f t="shared" si="9"/>
        <v>8.2257707993487337</v>
      </c>
      <c r="D74" s="67">
        <f t="shared" si="12"/>
        <v>17</v>
      </c>
      <c r="E74" s="83"/>
      <c r="F74" s="69"/>
      <c r="G74" s="69"/>
      <c r="H74" s="69"/>
      <c r="I74" s="109">
        <f t="shared" si="10"/>
        <v>3736.5</v>
      </c>
    </row>
    <row r="75" spans="1:9" ht="15" customHeight="1">
      <c r="A75" s="186">
        <v>2020</v>
      </c>
      <c r="B75" s="187">
        <f t="shared" si="13"/>
        <v>3636</v>
      </c>
      <c r="C75" s="198">
        <f t="shared" si="9"/>
        <v>8.1986394552973696</v>
      </c>
      <c r="D75" s="199">
        <f t="shared" si="12"/>
        <v>18</v>
      </c>
      <c r="E75" s="200"/>
      <c r="F75" s="189"/>
      <c r="G75" s="189"/>
      <c r="H75" s="189"/>
      <c r="I75" s="201">
        <f t="shared" si="10"/>
        <v>3636</v>
      </c>
    </row>
    <row r="76" spans="1:9" ht="15" customHeight="1">
      <c r="A76" s="80">
        <v>2021</v>
      </c>
      <c r="B76" s="81">
        <f t="shared" si="13"/>
        <v>3538</v>
      </c>
      <c r="C76" s="105">
        <f t="shared" si="9"/>
        <v>8.1713168747197304</v>
      </c>
      <c r="D76" s="67">
        <f t="shared" si="12"/>
        <v>19</v>
      </c>
      <c r="E76" s="83"/>
      <c r="F76" s="69"/>
      <c r="G76" s="69"/>
      <c r="H76" s="69"/>
      <c r="I76" s="109">
        <f t="shared" si="10"/>
        <v>3538.2</v>
      </c>
    </row>
    <row r="77" spans="1:9" ht="15" customHeight="1">
      <c r="A77" s="80">
        <v>2022</v>
      </c>
      <c r="B77" s="81">
        <f t="shared" si="13"/>
        <v>3443</v>
      </c>
      <c r="C77" s="105">
        <f t="shared" si="9"/>
        <v>8.1440984633385245</v>
      </c>
      <c r="D77" s="67">
        <f t="shared" si="12"/>
        <v>20</v>
      </c>
      <c r="E77" s="83"/>
      <c r="F77" s="69"/>
      <c r="G77" s="69"/>
      <c r="H77" s="69"/>
      <c r="I77" s="109">
        <f t="shared" si="10"/>
        <v>3443</v>
      </c>
    </row>
    <row r="78" spans="1:9" ht="15" customHeight="1">
      <c r="A78" s="80">
        <v>2023</v>
      </c>
      <c r="B78" s="81">
        <f t="shared" si="13"/>
        <v>3350</v>
      </c>
      <c r="C78" s="105">
        <f t="shared" si="9"/>
        <v>8.1167156248191112</v>
      </c>
      <c r="D78" s="67">
        <f t="shared" si="12"/>
        <v>21</v>
      </c>
      <c r="E78" s="83"/>
      <c r="F78" s="69"/>
      <c r="G78" s="69"/>
      <c r="H78" s="69"/>
      <c r="I78" s="109">
        <f t="shared" si="10"/>
        <v>3350.4</v>
      </c>
    </row>
    <row r="79" spans="1:9" ht="15" customHeight="1">
      <c r="A79" s="80">
        <v>2024</v>
      </c>
      <c r="B79" s="81">
        <f t="shared" si="13"/>
        <v>3260</v>
      </c>
      <c r="C79" s="105">
        <f t="shared" si="9"/>
        <v>8.0894824743607536</v>
      </c>
      <c r="D79" s="67">
        <f t="shared" si="12"/>
        <v>22</v>
      </c>
      <c r="E79" s="69"/>
      <c r="F79" s="69"/>
      <c r="G79" s="69"/>
      <c r="H79" s="69"/>
      <c r="I79" s="109">
        <f t="shared" si="10"/>
        <v>3260.2</v>
      </c>
    </row>
    <row r="80" spans="1:9" ht="15" customHeight="1">
      <c r="A80" s="191">
        <v>2025</v>
      </c>
      <c r="B80" s="192">
        <f t="shared" si="13"/>
        <v>3173</v>
      </c>
      <c r="C80" s="202">
        <f t="shared" si="9"/>
        <v>8.0624327915831948</v>
      </c>
      <c r="D80" s="193">
        <f t="shared" si="12"/>
        <v>23</v>
      </c>
      <c r="E80" s="195"/>
      <c r="F80" s="195"/>
      <c r="G80" s="195"/>
      <c r="H80" s="195"/>
      <c r="I80" s="203">
        <f t="shared" si="10"/>
        <v>3172.5</v>
      </c>
    </row>
    <row r="81" spans="1:9" ht="15" customHeight="1">
      <c r="A81" s="56" t="s">
        <v>82</v>
      </c>
      <c r="B81" s="57"/>
    </row>
    <row r="82" spans="1:9" ht="15" customHeight="1">
      <c r="A82" s="58" t="s">
        <v>32</v>
      </c>
      <c r="B82" s="59" t="s">
        <v>40</v>
      </c>
      <c r="C82" s="59" t="s">
        <v>83</v>
      </c>
      <c r="D82" s="59" t="s">
        <v>33</v>
      </c>
      <c r="E82" s="59" t="s">
        <v>35</v>
      </c>
      <c r="F82" s="103"/>
      <c r="G82" s="60"/>
      <c r="H82" s="63" t="s">
        <v>286</v>
      </c>
      <c r="I82" s="64" t="e">
        <f>RSQ(I83:I88,B83:B88)</f>
        <v>#VALUE!</v>
      </c>
    </row>
    <row r="83" spans="1:9" ht="15" customHeight="1">
      <c r="A83" s="65">
        <v>2002</v>
      </c>
      <c r="B83" s="104">
        <f t="shared" ref="B83:B88" si="14">B5</f>
        <v>5940</v>
      </c>
      <c r="C83" s="67"/>
      <c r="D83" s="67">
        <v>0</v>
      </c>
      <c r="E83" s="67"/>
      <c r="F83" s="106"/>
      <c r="G83" s="53"/>
      <c r="H83" s="265"/>
      <c r="I83" s="276" t="e">
        <f>$B$83+$G$88*D83^$G$84</f>
        <v>#VALUE!</v>
      </c>
    </row>
    <row r="84" spans="1:9" ht="15" customHeight="1">
      <c r="A84" s="65">
        <f t="shared" ref="A84:A89" si="15">A6</f>
        <v>2003</v>
      </c>
      <c r="B84" s="104">
        <f t="shared" si="14"/>
        <v>5740</v>
      </c>
      <c r="C84" s="126" t="e">
        <f>LN(-B$83+B84)</f>
        <v>#NUM!</v>
      </c>
      <c r="D84" s="67">
        <f>+D83+1</f>
        <v>1</v>
      </c>
      <c r="E84" s="67">
        <f>LN(D84)</f>
        <v>0</v>
      </c>
      <c r="F84" s="106" t="s">
        <v>75</v>
      </c>
      <c r="G84" s="73" t="e">
        <f>INDEX(LINEST(C84:C88,E84:E88),1)</f>
        <v>#VALUE!</v>
      </c>
      <c r="H84" s="127"/>
      <c r="I84" s="128" t="e">
        <f t="shared" ref="I84:I106" si="16">$B$83+$G$88*D84^$G$84</f>
        <v>#VALUE!</v>
      </c>
    </row>
    <row r="85" spans="1:9" ht="15" customHeight="1">
      <c r="A85" s="65">
        <f t="shared" si="15"/>
        <v>2004</v>
      </c>
      <c r="B85" s="104">
        <f t="shared" si="14"/>
        <v>5718</v>
      </c>
      <c r="C85" s="126" t="e">
        <f t="shared" ref="C85:C106" si="17">LN(-B$83+B85)</f>
        <v>#NUM!</v>
      </c>
      <c r="D85" s="67">
        <f t="shared" ref="D85:D106" si="18">D84+1</f>
        <v>2</v>
      </c>
      <c r="E85" s="67">
        <f>LN(D85)</f>
        <v>0.69314718055994529</v>
      </c>
      <c r="F85" s="106" t="s">
        <v>76</v>
      </c>
      <c r="G85" s="73" t="e">
        <f>INDEX(LINEST(C84:C88,E84:E88),2)</f>
        <v>#VALUE!</v>
      </c>
      <c r="H85" s="129" t="s">
        <v>287</v>
      </c>
      <c r="I85" s="128" t="e">
        <f t="shared" si="16"/>
        <v>#VALUE!</v>
      </c>
    </row>
    <row r="86" spans="1:9" ht="15" customHeight="1">
      <c r="A86" s="65">
        <f t="shared" si="15"/>
        <v>2005</v>
      </c>
      <c r="B86" s="104">
        <f t="shared" si="14"/>
        <v>5709</v>
      </c>
      <c r="C86" s="126" t="e">
        <f t="shared" si="17"/>
        <v>#NUM!</v>
      </c>
      <c r="D86" s="67">
        <f t="shared" si="18"/>
        <v>3</v>
      </c>
      <c r="E86" s="67">
        <f>LN(D86)</f>
        <v>1.0986122886681098</v>
      </c>
      <c r="F86" s="69"/>
      <c r="G86" s="130"/>
      <c r="H86" s="127"/>
      <c r="I86" s="128" t="e">
        <f t="shared" si="16"/>
        <v>#VALUE!</v>
      </c>
    </row>
    <row r="87" spans="1:9" ht="15" customHeight="1">
      <c r="A87" s="65">
        <f t="shared" si="15"/>
        <v>2006</v>
      </c>
      <c r="B87" s="104">
        <f t="shared" si="14"/>
        <v>5399</v>
      </c>
      <c r="C87" s="126" t="e">
        <f t="shared" si="17"/>
        <v>#NUM!</v>
      </c>
      <c r="D87" s="67">
        <f t="shared" si="18"/>
        <v>4</v>
      </c>
      <c r="E87" s="67">
        <f>LN(D87)</f>
        <v>1.3862943611198906</v>
      </c>
      <c r="F87" s="106" t="s">
        <v>77</v>
      </c>
      <c r="G87" s="73" t="e">
        <f>I82</f>
        <v>#VALUE!</v>
      </c>
      <c r="H87" s="127"/>
      <c r="I87" s="128" t="e">
        <f t="shared" si="16"/>
        <v>#VALUE!</v>
      </c>
    </row>
    <row r="88" spans="1:9" ht="15" customHeight="1" thickBot="1">
      <c r="A88" s="97">
        <f t="shared" si="15"/>
        <v>2007</v>
      </c>
      <c r="B88" s="116">
        <f t="shared" si="14"/>
        <v>5183</v>
      </c>
      <c r="C88" s="141" t="e">
        <f t="shared" si="17"/>
        <v>#NUM!</v>
      </c>
      <c r="D88" s="99">
        <f t="shared" si="18"/>
        <v>5</v>
      </c>
      <c r="E88" s="99">
        <f>LN(D88)</f>
        <v>1.6094379124341003</v>
      </c>
      <c r="F88" s="205" t="s">
        <v>38</v>
      </c>
      <c r="G88" s="274" t="e">
        <f>EXP(G85)</f>
        <v>#VALUE!</v>
      </c>
      <c r="H88" s="143"/>
      <c r="I88" s="144" t="e">
        <f t="shared" si="16"/>
        <v>#VALUE!</v>
      </c>
    </row>
    <row r="89" spans="1:9" ht="15" customHeight="1" thickTop="1">
      <c r="A89" s="255">
        <f t="shared" si="15"/>
        <v>2008</v>
      </c>
      <c r="B89" s="81" t="e">
        <f>ROUND(LOOKUP(0,D$83:D$88,B$83:B$88)+G$88*D89^G$84,0)</f>
        <v>#VALUE!</v>
      </c>
      <c r="C89" s="257" t="e">
        <f t="shared" si="17"/>
        <v>#VALUE!</v>
      </c>
      <c r="D89" s="77">
        <f t="shared" si="18"/>
        <v>6</v>
      </c>
      <c r="E89" s="77"/>
      <c r="F89" s="275"/>
      <c r="G89" s="256"/>
      <c r="H89" s="258"/>
      <c r="I89" s="133" t="e">
        <f t="shared" si="16"/>
        <v>#VALUE!</v>
      </c>
    </row>
    <row r="90" spans="1:9" ht="15" customHeight="1">
      <c r="A90" s="80">
        <v>2009</v>
      </c>
      <c r="B90" s="81" t="e">
        <f t="shared" ref="B90:B106" si="19">ROUND(LOOKUP(0,D$83:D$88,B$83:B$88)+G$88*D90^G$84,0)</f>
        <v>#VALUE!</v>
      </c>
      <c r="C90" s="126" t="e">
        <f t="shared" si="17"/>
        <v>#VALUE!</v>
      </c>
      <c r="D90" s="67">
        <f t="shared" si="18"/>
        <v>7</v>
      </c>
      <c r="E90" s="67"/>
      <c r="F90" s="83"/>
      <c r="G90" s="69"/>
      <c r="H90" s="84"/>
      <c r="I90" s="128" t="e">
        <f t="shared" si="16"/>
        <v>#VALUE!</v>
      </c>
    </row>
    <row r="91" spans="1:9" ht="15" customHeight="1">
      <c r="A91" s="80">
        <v>2010</v>
      </c>
      <c r="B91" s="81" t="e">
        <f t="shared" si="19"/>
        <v>#VALUE!</v>
      </c>
      <c r="C91" s="126" t="e">
        <f t="shared" si="17"/>
        <v>#VALUE!</v>
      </c>
      <c r="D91" s="67">
        <f t="shared" si="18"/>
        <v>8</v>
      </c>
      <c r="E91" s="67"/>
      <c r="F91" s="83"/>
      <c r="G91" s="69"/>
      <c r="H91" s="84"/>
      <c r="I91" s="128" t="e">
        <f t="shared" si="16"/>
        <v>#VALUE!</v>
      </c>
    </row>
    <row r="92" spans="1:9" ht="15" customHeight="1">
      <c r="A92" s="80">
        <v>2011</v>
      </c>
      <c r="B92" s="81" t="e">
        <f t="shared" si="19"/>
        <v>#VALUE!</v>
      </c>
      <c r="C92" s="126" t="e">
        <f t="shared" si="17"/>
        <v>#VALUE!</v>
      </c>
      <c r="D92" s="67">
        <f t="shared" si="18"/>
        <v>9</v>
      </c>
      <c r="E92" s="67"/>
      <c r="F92" s="83"/>
      <c r="G92" s="69"/>
      <c r="H92" s="84"/>
      <c r="I92" s="128" t="e">
        <f t="shared" si="16"/>
        <v>#VALUE!</v>
      </c>
    </row>
    <row r="93" spans="1:9" ht="15" customHeight="1">
      <c r="A93" s="80">
        <v>2012</v>
      </c>
      <c r="B93" s="81" t="e">
        <f t="shared" si="19"/>
        <v>#VALUE!</v>
      </c>
      <c r="C93" s="126" t="e">
        <f t="shared" si="17"/>
        <v>#VALUE!</v>
      </c>
      <c r="D93" s="67">
        <f t="shared" si="18"/>
        <v>10</v>
      </c>
      <c r="E93" s="67"/>
      <c r="F93" s="83"/>
      <c r="G93" s="69"/>
      <c r="H93" s="84"/>
      <c r="I93" s="128" t="e">
        <f t="shared" si="16"/>
        <v>#VALUE!</v>
      </c>
    </row>
    <row r="94" spans="1:9" ht="15" customHeight="1">
      <c r="A94" s="80">
        <v>2013</v>
      </c>
      <c r="B94" s="81" t="e">
        <f t="shared" si="19"/>
        <v>#VALUE!</v>
      </c>
      <c r="C94" s="126" t="e">
        <f t="shared" si="17"/>
        <v>#VALUE!</v>
      </c>
      <c r="D94" s="67">
        <f t="shared" si="18"/>
        <v>11</v>
      </c>
      <c r="E94" s="67"/>
      <c r="F94" s="83"/>
      <c r="G94" s="69"/>
      <c r="H94" s="84"/>
      <c r="I94" s="128" t="e">
        <f t="shared" si="16"/>
        <v>#VALUE!</v>
      </c>
    </row>
    <row r="95" spans="1:9" ht="15" customHeight="1">
      <c r="A95" s="80">
        <v>2014</v>
      </c>
      <c r="B95" s="81" t="e">
        <f t="shared" si="19"/>
        <v>#VALUE!</v>
      </c>
      <c r="C95" s="126" t="e">
        <f t="shared" si="17"/>
        <v>#VALUE!</v>
      </c>
      <c r="D95" s="67">
        <f t="shared" si="18"/>
        <v>12</v>
      </c>
      <c r="E95" s="67"/>
      <c r="F95" s="83"/>
      <c r="G95" s="69"/>
      <c r="H95" s="84"/>
      <c r="I95" s="128" t="e">
        <f t="shared" si="16"/>
        <v>#VALUE!</v>
      </c>
    </row>
    <row r="96" spans="1:9" ht="15" customHeight="1">
      <c r="A96" s="80">
        <v>2015</v>
      </c>
      <c r="B96" s="81" t="e">
        <f t="shared" si="19"/>
        <v>#VALUE!</v>
      </c>
      <c r="C96" s="126" t="e">
        <f t="shared" si="17"/>
        <v>#VALUE!</v>
      </c>
      <c r="D96" s="67">
        <f t="shared" si="18"/>
        <v>13</v>
      </c>
      <c r="E96" s="67"/>
      <c r="F96" s="83"/>
      <c r="G96" s="69"/>
      <c r="H96" s="84"/>
      <c r="I96" s="128" t="e">
        <f t="shared" si="16"/>
        <v>#VALUE!</v>
      </c>
    </row>
    <row r="97" spans="1:9" ht="15" customHeight="1">
      <c r="A97" s="80">
        <v>2016</v>
      </c>
      <c r="B97" s="81" t="e">
        <f t="shared" si="19"/>
        <v>#VALUE!</v>
      </c>
      <c r="C97" s="126" t="e">
        <f t="shared" si="17"/>
        <v>#VALUE!</v>
      </c>
      <c r="D97" s="67">
        <f t="shared" si="18"/>
        <v>14</v>
      </c>
      <c r="E97" s="67"/>
      <c r="F97" s="83"/>
      <c r="G97" s="69"/>
      <c r="H97" s="84"/>
      <c r="I97" s="128" t="e">
        <f t="shared" si="16"/>
        <v>#VALUE!</v>
      </c>
    </row>
    <row r="98" spans="1:9" ht="15" customHeight="1">
      <c r="A98" s="80">
        <v>2017</v>
      </c>
      <c r="B98" s="81" t="e">
        <f t="shared" si="19"/>
        <v>#VALUE!</v>
      </c>
      <c r="C98" s="126" t="e">
        <f t="shared" si="17"/>
        <v>#VALUE!</v>
      </c>
      <c r="D98" s="67">
        <f t="shared" si="18"/>
        <v>15</v>
      </c>
      <c r="E98" s="67"/>
      <c r="F98" s="83"/>
      <c r="G98" s="69"/>
      <c r="H98" s="84"/>
      <c r="I98" s="128" t="e">
        <f t="shared" si="16"/>
        <v>#VALUE!</v>
      </c>
    </row>
    <row r="99" spans="1:9" ht="15" customHeight="1">
      <c r="A99" s="80">
        <v>2018</v>
      </c>
      <c r="B99" s="81" t="e">
        <f t="shared" si="19"/>
        <v>#VALUE!</v>
      </c>
      <c r="C99" s="126" t="e">
        <f t="shared" si="17"/>
        <v>#VALUE!</v>
      </c>
      <c r="D99" s="67">
        <f t="shared" si="18"/>
        <v>16</v>
      </c>
      <c r="E99" s="67"/>
      <c r="F99" s="83"/>
      <c r="G99" s="69"/>
      <c r="H99" s="84"/>
      <c r="I99" s="128" t="e">
        <f t="shared" si="16"/>
        <v>#VALUE!</v>
      </c>
    </row>
    <row r="100" spans="1:9" ht="15" customHeight="1">
      <c r="A100" s="80">
        <v>2019</v>
      </c>
      <c r="B100" s="81" t="e">
        <f t="shared" si="19"/>
        <v>#VALUE!</v>
      </c>
      <c r="C100" s="126" t="e">
        <f t="shared" si="17"/>
        <v>#VALUE!</v>
      </c>
      <c r="D100" s="67">
        <f t="shared" si="18"/>
        <v>17</v>
      </c>
      <c r="E100" s="67"/>
      <c r="F100" s="83"/>
      <c r="G100" s="69"/>
      <c r="H100" s="84"/>
      <c r="I100" s="128" t="e">
        <f t="shared" si="16"/>
        <v>#VALUE!</v>
      </c>
    </row>
    <row r="101" spans="1:9" ht="15" customHeight="1">
      <c r="A101" s="80">
        <v>2020</v>
      </c>
      <c r="B101" s="81" t="e">
        <f t="shared" si="19"/>
        <v>#VALUE!</v>
      </c>
      <c r="C101" s="126" t="e">
        <f t="shared" si="17"/>
        <v>#VALUE!</v>
      </c>
      <c r="D101" s="67">
        <f t="shared" si="18"/>
        <v>18</v>
      </c>
      <c r="E101" s="67"/>
      <c r="F101" s="83"/>
      <c r="G101" s="69"/>
      <c r="H101" s="84"/>
      <c r="I101" s="128" t="e">
        <f t="shared" si="16"/>
        <v>#VALUE!</v>
      </c>
    </row>
    <row r="102" spans="1:9" ht="15" customHeight="1">
      <c r="A102" s="80">
        <v>2021</v>
      </c>
      <c r="B102" s="81" t="e">
        <f t="shared" si="19"/>
        <v>#VALUE!</v>
      </c>
      <c r="C102" s="126" t="e">
        <f t="shared" si="17"/>
        <v>#VALUE!</v>
      </c>
      <c r="D102" s="67">
        <f t="shared" si="18"/>
        <v>19</v>
      </c>
      <c r="E102" s="67"/>
      <c r="F102" s="83"/>
      <c r="G102" s="69"/>
      <c r="H102" s="84"/>
      <c r="I102" s="128" t="e">
        <f t="shared" si="16"/>
        <v>#VALUE!</v>
      </c>
    </row>
    <row r="103" spans="1:9" ht="15" customHeight="1">
      <c r="A103" s="80">
        <v>2022</v>
      </c>
      <c r="B103" s="81" t="e">
        <f t="shared" si="19"/>
        <v>#VALUE!</v>
      </c>
      <c r="C103" s="126" t="e">
        <f t="shared" si="17"/>
        <v>#VALUE!</v>
      </c>
      <c r="D103" s="67">
        <f t="shared" si="18"/>
        <v>20</v>
      </c>
      <c r="E103" s="67"/>
      <c r="F103" s="83"/>
      <c r="G103" s="69"/>
      <c r="H103" s="84"/>
      <c r="I103" s="128" t="e">
        <f t="shared" si="16"/>
        <v>#VALUE!</v>
      </c>
    </row>
    <row r="104" spans="1:9" ht="15" customHeight="1">
      <c r="A104" s="80">
        <v>2023</v>
      </c>
      <c r="B104" s="81" t="e">
        <f t="shared" si="19"/>
        <v>#VALUE!</v>
      </c>
      <c r="C104" s="126" t="e">
        <f t="shared" si="17"/>
        <v>#VALUE!</v>
      </c>
      <c r="D104" s="67">
        <f t="shared" si="18"/>
        <v>21</v>
      </c>
      <c r="E104" s="67"/>
      <c r="F104" s="83"/>
      <c r="G104" s="69"/>
      <c r="H104" s="84"/>
      <c r="I104" s="128" t="e">
        <f t="shared" si="16"/>
        <v>#VALUE!</v>
      </c>
    </row>
    <row r="105" spans="1:9" ht="15" customHeight="1">
      <c r="A105" s="80">
        <v>2024</v>
      </c>
      <c r="B105" s="81" t="e">
        <f t="shared" si="19"/>
        <v>#VALUE!</v>
      </c>
      <c r="C105" s="126" t="e">
        <f t="shared" si="17"/>
        <v>#VALUE!</v>
      </c>
      <c r="D105" s="67">
        <f t="shared" si="18"/>
        <v>22</v>
      </c>
      <c r="E105" s="67"/>
      <c r="F105" s="69"/>
      <c r="G105" s="69"/>
      <c r="H105" s="69"/>
      <c r="I105" s="136" t="e">
        <f t="shared" si="16"/>
        <v>#VALUE!</v>
      </c>
    </row>
    <row r="106" spans="1:9" ht="15" customHeight="1">
      <c r="A106" s="85">
        <v>2025</v>
      </c>
      <c r="B106" s="81" t="e">
        <f t="shared" si="19"/>
        <v>#VALUE!</v>
      </c>
      <c r="C106" s="204" t="e">
        <f t="shared" si="17"/>
        <v>#VALUE!</v>
      </c>
      <c r="D106" s="87">
        <f t="shared" si="18"/>
        <v>23</v>
      </c>
      <c r="E106" s="87"/>
      <c r="F106" s="89"/>
      <c r="G106" s="89"/>
      <c r="H106" s="89"/>
      <c r="I106" s="138" t="e">
        <f t="shared" si="16"/>
        <v>#VALUE!</v>
      </c>
    </row>
    <row r="107" spans="1:9" ht="15" customHeight="1">
      <c r="A107" s="56" t="s">
        <v>87</v>
      </c>
      <c r="B107" s="57"/>
    </row>
    <row r="108" spans="1:9" ht="15" customHeight="1">
      <c r="A108" s="58" t="s">
        <v>32</v>
      </c>
      <c r="B108" s="59" t="s">
        <v>40</v>
      </c>
      <c r="C108" s="59" t="s">
        <v>36</v>
      </c>
      <c r="D108" s="59" t="s">
        <v>33</v>
      </c>
      <c r="E108" s="103"/>
      <c r="F108" s="60"/>
      <c r="G108" s="61"/>
      <c r="H108" s="63" t="s">
        <v>286</v>
      </c>
      <c r="I108" s="64">
        <f>RSQ(I110:I115,B110:B115)</f>
        <v>0.89211838279017852</v>
      </c>
    </row>
    <row r="109" spans="1:9" ht="15" customHeight="1">
      <c r="A109" s="65">
        <v>2002</v>
      </c>
      <c r="B109" s="104">
        <f t="shared" ref="B109:B114" si="20">+B5</f>
        <v>5940</v>
      </c>
      <c r="C109" s="126">
        <f t="shared" ref="C109:C114" si="21">LN(F$113/B109-1)</f>
        <v>0</v>
      </c>
      <c r="D109" s="67">
        <v>0</v>
      </c>
      <c r="E109" s="106"/>
      <c r="F109" s="53"/>
      <c r="G109" s="69"/>
      <c r="H109" s="265"/>
      <c r="I109" s="267">
        <f t="shared" ref="I109:I132" si="22">$F$113/(1+EXP($F$111+$F$110*D109))</f>
        <v>5959.7000424827966</v>
      </c>
    </row>
    <row r="110" spans="1:9" ht="15" customHeight="1">
      <c r="A110" s="65">
        <f t="shared" ref="A110:A115" si="23">A6</f>
        <v>2003</v>
      </c>
      <c r="B110" s="104">
        <f t="shared" si="20"/>
        <v>5740</v>
      </c>
      <c r="C110" s="126">
        <f t="shared" si="21"/>
        <v>6.7365531827575931E-2</v>
      </c>
      <c r="D110" s="67">
        <f>+D109+1</f>
        <v>1</v>
      </c>
      <c r="E110" s="106" t="s">
        <v>75</v>
      </c>
      <c r="F110" s="139">
        <f>INDEX(LINEST(C109:C114,D109:D114),1)</f>
        <v>4.6579984395135082E-2</v>
      </c>
      <c r="G110" s="140" t="s">
        <v>88</v>
      </c>
      <c r="H110" s="127"/>
      <c r="I110" s="128">
        <f t="shared" si="22"/>
        <v>5821.3733355999093</v>
      </c>
    </row>
    <row r="111" spans="1:9" ht="15" customHeight="1">
      <c r="A111" s="65">
        <f t="shared" si="23"/>
        <v>2004</v>
      </c>
      <c r="B111" s="104">
        <f t="shared" si="20"/>
        <v>5718</v>
      </c>
      <c r="C111" s="126">
        <f t="shared" si="21"/>
        <v>7.4782306274355989E-2</v>
      </c>
      <c r="D111" s="67">
        <f t="shared" ref="D111:D132" si="24">D110+1</f>
        <v>2</v>
      </c>
      <c r="E111" s="106" t="s">
        <v>76</v>
      </c>
      <c r="F111" s="139">
        <f>INDEX(LINEST(C109:C114,D109:D114),2)</f>
        <v>-6.6330352564190481E-3</v>
      </c>
      <c r="G111" s="69"/>
      <c r="H111" s="127"/>
      <c r="I111" s="128">
        <f t="shared" si="22"/>
        <v>5683.1752227511724</v>
      </c>
    </row>
    <row r="112" spans="1:9" ht="15" customHeight="1">
      <c r="A112" s="65">
        <f t="shared" si="23"/>
        <v>2005</v>
      </c>
      <c r="B112" s="104">
        <f t="shared" si="20"/>
        <v>5709</v>
      </c>
      <c r="C112" s="126">
        <f t="shared" si="21"/>
        <v>7.7817022356807541E-2</v>
      </c>
      <c r="D112" s="67">
        <f t="shared" si="24"/>
        <v>3</v>
      </c>
      <c r="E112" s="106" t="s">
        <v>77</v>
      </c>
      <c r="F112" s="73">
        <f>I108</f>
        <v>0.89211838279017852</v>
      </c>
      <c r="G112" s="69"/>
      <c r="H112" s="127"/>
      <c r="I112" s="128">
        <f t="shared" si="22"/>
        <v>5545.2551045195878</v>
      </c>
    </row>
    <row r="113" spans="1:9" ht="15" customHeight="1">
      <c r="A113" s="65">
        <f t="shared" si="23"/>
        <v>2006</v>
      </c>
      <c r="B113" s="104">
        <f t="shared" si="20"/>
        <v>5399</v>
      </c>
      <c r="C113" s="126">
        <f t="shared" si="21"/>
        <v>0.18266106820942896</v>
      </c>
      <c r="D113" s="67">
        <f t="shared" si="24"/>
        <v>4</v>
      </c>
      <c r="E113" s="106" t="s">
        <v>39</v>
      </c>
      <c r="F113" s="110">
        <f>MAX(B109:B114)*2</f>
        <v>11880</v>
      </c>
      <c r="G113" s="69"/>
      <c r="H113" s="127"/>
      <c r="I113" s="128">
        <f t="shared" si="22"/>
        <v>5407.7611799502092</v>
      </c>
    </row>
    <row r="114" spans="1:9" ht="15" customHeight="1" thickBot="1">
      <c r="A114" s="97">
        <f t="shared" si="23"/>
        <v>2007</v>
      </c>
      <c r="B114" s="116">
        <f t="shared" si="20"/>
        <v>5183</v>
      </c>
      <c r="C114" s="141">
        <f t="shared" si="21"/>
        <v>0.25627562572034351</v>
      </c>
      <c r="D114" s="99">
        <f t="shared" si="24"/>
        <v>5</v>
      </c>
      <c r="E114" s="205"/>
      <c r="F114" s="101"/>
      <c r="G114" s="100"/>
      <c r="H114" s="143"/>
      <c r="I114" s="144">
        <f t="shared" si="22"/>
        <v>5270.8398130549567</v>
      </c>
    </row>
    <row r="115" spans="1:9" ht="15" customHeight="1" thickTop="1">
      <c r="A115" s="255">
        <f t="shared" si="23"/>
        <v>2008</v>
      </c>
      <c r="B115" s="81">
        <f t="shared" ref="B115:B132" si="25">ROUND(F$113/(1+EXP(F$111+F$110*D115)),0)</f>
        <v>5135</v>
      </c>
      <c r="C115" s="257"/>
      <c r="D115" s="77">
        <f t="shared" si="24"/>
        <v>6</v>
      </c>
      <c r="E115" s="275"/>
      <c r="F115" s="256"/>
      <c r="G115" s="78"/>
      <c r="H115" s="258"/>
      <c r="I115" s="133">
        <f t="shared" si="22"/>
        <v>5134.6349160468944</v>
      </c>
    </row>
    <row r="116" spans="1:9" ht="15" customHeight="1">
      <c r="A116" s="80">
        <v>2009</v>
      </c>
      <c r="B116" s="81">
        <f t="shared" si="25"/>
        <v>4999</v>
      </c>
      <c r="C116" s="134"/>
      <c r="D116" s="67">
        <f t="shared" si="24"/>
        <v>7</v>
      </c>
      <c r="E116" s="83"/>
      <c r="F116" s="69"/>
      <c r="G116" s="69"/>
      <c r="H116" s="84"/>
      <c r="I116" s="128">
        <f t="shared" si="22"/>
        <v>4999.2873547616528</v>
      </c>
    </row>
    <row r="117" spans="1:9" ht="15" customHeight="1">
      <c r="A117" s="80">
        <v>2010</v>
      </c>
      <c r="B117" s="81">
        <f t="shared" si="25"/>
        <v>4865</v>
      </c>
      <c r="C117" s="134"/>
      <c r="D117" s="67">
        <f t="shared" si="24"/>
        <v>8</v>
      </c>
      <c r="E117" s="83"/>
      <c r="F117" s="69"/>
      <c r="G117" s="69"/>
      <c r="H117" s="84"/>
      <c r="I117" s="128">
        <f t="shared" si="22"/>
        <v>4864.9343813812193</v>
      </c>
    </row>
    <row r="118" spans="1:9" ht="15" customHeight="1">
      <c r="A118" s="80">
        <v>2011</v>
      </c>
      <c r="B118" s="81">
        <f t="shared" si="25"/>
        <v>4732</v>
      </c>
      <c r="C118" s="134"/>
      <c r="D118" s="67">
        <f t="shared" si="24"/>
        <v>9</v>
      </c>
      <c r="E118" s="83"/>
      <c r="F118" s="69"/>
      <c r="G118" s="69"/>
      <c r="H118" s="84"/>
      <c r="I118" s="128">
        <f t="shared" si="22"/>
        <v>4731.7090991589675</v>
      </c>
    </row>
    <row r="119" spans="1:9" ht="15" customHeight="1">
      <c r="A119" s="80">
        <v>2012</v>
      </c>
      <c r="B119" s="81">
        <f t="shared" si="25"/>
        <v>4600</v>
      </c>
      <c r="C119" s="134"/>
      <c r="D119" s="67">
        <f t="shared" si="24"/>
        <v>10</v>
      </c>
      <c r="E119" s="83"/>
      <c r="F119" s="69"/>
      <c r="G119" s="69"/>
      <c r="H119" s="84"/>
      <c r="I119" s="128">
        <f t="shared" si="22"/>
        <v>4599.7399633644727</v>
      </c>
    </row>
    <row r="120" spans="1:9" ht="15" customHeight="1">
      <c r="A120" s="80">
        <v>2013</v>
      </c>
      <c r="B120" s="81">
        <f t="shared" si="25"/>
        <v>4469</v>
      </c>
      <c r="C120" s="134"/>
      <c r="D120" s="67">
        <f t="shared" si="24"/>
        <v>11</v>
      </c>
      <c r="E120" s="83"/>
      <c r="F120" s="69"/>
      <c r="G120" s="69"/>
      <c r="H120" s="84"/>
      <c r="I120" s="128">
        <f t="shared" si="22"/>
        <v>4469.1503221328221</v>
      </c>
    </row>
    <row r="121" spans="1:9" ht="15" customHeight="1">
      <c r="A121" s="80">
        <v>2014</v>
      </c>
      <c r="B121" s="81">
        <f t="shared" si="25"/>
        <v>4340</v>
      </c>
      <c r="C121" s="134"/>
      <c r="D121" s="67">
        <f t="shared" si="24"/>
        <v>12</v>
      </c>
      <c r="E121" s="83"/>
      <c r="F121" s="69"/>
      <c r="G121" s="69"/>
      <c r="H121" s="84"/>
      <c r="I121" s="128">
        <f t="shared" si="22"/>
        <v>4340.0580003279802</v>
      </c>
    </row>
    <row r="122" spans="1:9" ht="15" customHeight="1">
      <c r="A122" s="80">
        <v>2015</v>
      </c>
      <c r="B122" s="81">
        <f t="shared" si="25"/>
        <v>4213</v>
      </c>
      <c r="C122" s="134"/>
      <c r="D122" s="67">
        <f t="shared" si="24"/>
        <v>13</v>
      </c>
      <c r="E122" s="83"/>
      <c r="F122" s="69"/>
      <c r="G122" s="69"/>
      <c r="H122" s="84"/>
      <c r="I122" s="128">
        <f t="shared" si="22"/>
        <v>4212.5749289254254</v>
      </c>
    </row>
    <row r="123" spans="1:9" ht="15" customHeight="1">
      <c r="A123" s="80">
        <v>2016</v>
      </c>
      <c r="B123" s="81">
        <f t="shared" si="25"/>
        <v>4087</v>
      </c>
      <c r="C123" s="134"/>
      <c r="D123" s="67">
        <f t="shared" si="24"/>
        <v>14</v>
      </c>
      <c r="E123" s="83"/>
      <c r="F123" s="69"/>
      <c r="G123" s="69"/>
      <c r="H123" s="84"/>
      <c r="I123" s="128">
        <f t="shared" si="22"/>
        <v>4086.8068217983164</v>
      </c>
    </row>
    <row r="124" spans="1:9" ht="15" customHeight="1">
      <c r="A124" s="80">
        <v>2017</v>
      </c>
      <c r="B124" s="81">
        <f t="shared" si="25"/>
        <v>3963</v>
      </c>
      <c r="C124" s="134"/>
      <c r="D124" s="67">
        <f t="shared" si="24"/>
        <v>15</v>
      </c>
      <c r="E124" s="83"/>
      <c r="F124" s="69"/>
      <c r="G124" s="69"/>
      <c r="H124" s="84"/>
      <c r="I124" s="128">
        <f t="shared" si="22"/>
        <v>3962.8529011664446</v>
      </c>
    </row>
    <row r="125" spans="1:9" ht="15" customHeight="1">
      <c r="A125" s="80">
        <v>2018</v>
      </c>
      <c r="B125" s="81">
        <f t="shared" si="25"/>
        <v>3841</v>
      </c>
      <c r="C125" s="134"/>
      <c r="D125" s="67">
        <f t="shared" si="24"/>
        <v>16</v>
      </c>
      <c r="E125" s="83"/>
      <c r="F125" s="69"/>
      <c r="G125" s="69"/>
      <c r="H125" s="84"/>
      <c r="I125" s="128">
        <f t="shared" si="22"/>
        <v>3840.8056723498498</v>
      </c>
    </row>
    <row r="126" spans="1:9" ht="15" customHeight="1">
      <c r="A126" s="80">
        <v>2019</v>
      </c>
      <c r="B126" s="81">
        <f t="shared" si="25"/>
        <v>3721</v>
      </c>
      <c r="C126" s="134"/>
      <c r="D126" s="67">
        <f t="shared" si="24"/>
        <v>17</v>
      </c>
      <c r="E126" s="83"/>
      <c r="F126" s="69"/>
      <c r="G126" s="69"/>
      <c r="H126" s="84"/>
      <c r="I126" s="128">
        <f t="shared" si="22"/>
        <v>3720.750747870547</v>
      </c>
    </row>
    <row r="127" spans="1:9" ht="15" customHeight="1">
      <c r="A127" s="80">
        <v>2020</v>
      </c>
      <c r="B127" s="81">
        <f t="shared" si="25"/>
        <v>3603</v>
      </c>
      <c r="C127" s="134"/>
      <c r="D127" s="67">
        <f t="shared" si="24"/>
        <v>18</v>
      </c>
      <c r="E127" s="83"/>
      <c r="F127" s="69"/>
      <c r="G127" s="69"/>
      <c r="H127" s="84"/>
      <c r="I127" s="128">
        <f t="shared" si="22"/>
        <v>3602.7667203762412</v>
      </c>
    </row>
    <row r="128" spans="1:9" ht="15" customHeight="1">
      <c r="A128" s="80">
        <v>2021</v>
      </c>
      <c r="B128" s="81">
        <f t="shared" si="25"/>
        <v>3487</v>
      </c>
      <c r="C128" s="134"/>
      <c r="D128" s="67">
        <f t="shared" si="24"/>
        <v>19</v>
      </c>
      <c r="E128" s="83"/>
      <c r="F128" s="69"/>
      <c r="G128" s="69"/>
      <c r="H128" s="84"/>
      <c r="I128" s="128">
        <f t="shared" si="22"/>
        <v>3486.9250833281471</v>
      </c>
    </row>
    <row r="129" spans="1:10" ht="15" customHeight="1">
      <c r="A129" s="80">
        <v>2022</v>
      </c>
      <c r="B129" s="81">
        <f t="shared" si="25"/>
        <v>3373</v>
      </c>
      <c r="C129" s="134"/>
      <c r="D129" s="67">
        <f t="shared" si="24"/>
        <v>20</v>
      </c>
      <c r="E129" s="83"/>
      <c r="F129" s="69"/>
      <c r="G129" s="69"/>
      <c r="H129" s="84"/>
      <c r="I129" s="128">
        <f t="shared" si="22"/>
        <v>3373.2901979083631</v>
      </c>
    </row>
    <row r="130" spans="1:10" ht="15" customHeight="1">
      <c r="A130" s="80">
        <v>2023</v>
      </c>
      <c r="B130" s="81">
        <f t="shared" si="25"/>
        <v>3262</v>
      </c>
      <c r="C130" s="134"/>
      <c r="D130" s="67">
        <f t="shared" si="24"/>
        <v>21</v>
      </c>
      <c r="E130" s="83"/>
      <c r="F130" s="69"/>
      <c r="G130" s="69"/>
      <c r="H130" s="84"/>
      <c r="I130" s="128">
        <f t="shared" si="22"/>
        <v>3261.9193041666999</v>
      </c>
    </row>
    <row r="131" spans="1:10" ht="15" customHeight="1">
      <c r="A131" s="80">
        <v>2024</v>
      </c>
      <c r="B131" s="81">
        <f t="shared" si="25"/>
        <v>3153</v>
      </c>
      <c r="C131" s="135"/>
      <c r="D131" s="67">
        <f t="shared" si="24"/>
        <v>22</v>
      </c>
      <c r="E131" s="69"/>
      <c r="F131" s="69"/>
      <c r="G131" s="69"/>
      <c r="H131" s="69"/>
      <c r="I131" s="136">
        <f t="shared" si="22"/>
        <v>3152.8625740467323</v>
      </c>
    </row>
    <row r="132" spans="1:10" ht="15" customHeight="1">
      <c r="A132" s="85">
        <v>2025</v>
      </c>
      <c r="B132" s="86">
        <f t="shared" si="25"/>
        <v>3046</v>
      </c>
      <c r="C132" s="137"/>
      <c r="D132" s="87">
        <f t="shared" si="24"/>
        <v>23</v>
      </c>
      <c r="E132" s="89"/>
      <c r="F132" s="89"/>
      <c r="G132" s="89"/>
      <c r="H132" s="89"/>
      <c r="I132" s="138">
        <f t="shared" si="22"/>
        <v>3046.1632036090109</v>
      </c>
    </row>
    <row r="133" spans="1:10" ht="15" customHeight="1">
      <c r="A133" s="56" t="s">
        <v>298</v>
      </c>
      <c r="B133" s="57"/>
    </row>
    <row r="134" spans="1:10" ht="15" customHeight="1">
      <c r="A134" s="56"/>
      <c r="B134" s="57"/>
    </row>
    <row r="135" spans="1:10" ht="24">
      <c r="A135" s="145" t="s">
        <v>32</v>
      </c>
      <c r="B135" s="146" t="s">
        <v>91</v>
      </c>
      <c r="C135" s="147" t="s">
        <v>72</v>
      </c>
      <c r="D135" s="147" t="s">
        <v>92</v>
      </c>
      <c r="E135" s="147" t="s">
        <v>93</v>
      </c>
      <c r="F135" s="147" t="s">
        <v>94</v>
      </c>
      <c r="G135" s="147" t="s">
        <v>95</v>
      </c>
      <c r="H135" s="148" t="s">
        <v>96</v>
      </c>
      <c r="I135" s="149" t="s">
        <v>288</v>
      </c>
      <c r="J135" s="150" t="s">
        <v>289</v>
      </c>
    </row>
    <row r="136" spans="1:10" ht="20.100000000000001" customHeight="1">
      <c r="A136" s="65">
        <v>2008</v>
      </c>
      <c r="B136" s="151">
        <f t="shared" ref="B136:B153" si="26">B11</f>
        <v>5032</v>
      </c>
      <c r="C136" s="152">
        <f t="shared" ref="C136:C153" si="27">B37</f>
        <v>5133</v>
      </c>
      <c r="D136" s="152">
        <f t="shared" ref="D136:D153" si="28">B63</f>
        <v>5043</v>
      </c>
      <c r="E136" s="152"/>
      <c r="F136" s="152">
        <f t="shared" ref="F136:F153" si="29">B115</f>
        <v>5135</v>
      </c>
      <c r="G136" s="152">
        <f t="shared" ref="G136:G153" si="30">ROUND(AVERAGE(B136:F136),1)</f>
        <v>5085.8</v>
      </c>
      <c r="H136" s="152">
        <f t="shared" ref="H136:H153" si="31">ROUND((SUM(B136:F136)-MAX(B136:F136)-MIN(B136:F136))/(COUNT(B136:F136)-2),1)</f>
        <v>5088</v>
      </c>
      <c r="I136" s="153">
        <f t="shared" ref="I136:I153" si="32">ROUND(SUMIF(B$154:H$154,"○",B136:H136),0)</f>
        <v>5086</v>
      </c>
      <c r="J136" s="261"/>
    </row>
    <row r="137" spans="1:10" ht="20.100000000000001" customHeight="1">
      <c r="A137" s="80">
        <v>2009</v>
      </c>
      <c r="B137" s="151">
        <f t="shared" si="26"/>
        <v>4880</v>
      </c>
      <c r="C137" s="152">
        <f t="shared" si="27"/>
        <v>4996</v>
      </c>
      <c r="D137" s="152">
        <f t="shared" si="28"/>
        <v>4908</v>
      </c>
      <c r="E137" s="152"/>
      <c r="F137" s="152">
        <f t="shared" si="29"/>
        <v>4999</v>
      </c>
      <c r="G137" s="152">
        <f t="shared" si="30"/>
        <v>4945.8</v>
      </c>
      <c r="H137" s="152">
        <f t="shared" si="31"/>
        <v>4952</v>
      </c>
      <c r="I137" s="153">
        <f t="shared" si="32"/>
        <v>4946</v>
      </c>
      <c r="J137" s="154"/>
    </row>
    <row r="138" spans="1:10" ht="20.100000000000001" customHeight="1">
      <c r="A138" s="80">
        <v>2010</v>
      </c>
      <c r="B138" s="151">
        <f t="shared" si="26"/>
        <v>4729</v>
      </c>
      <c r="C138" s="152">
        <f t="shared" si="27"/>
        <v>4858</v>
      </c>
      <c r="D138" s="152">
        <f t="shared" si="28"/>
        <v>4776</v>
      </c>
      <c r="E138" s="152"/>
      <c r="F138" s="152">
        <f t="shared" si="29"/>
        <v>4865</v>
      </c>
      <c r="G138" s="152">
        <f t="shared" si="30"/>
        <v>4807</v>
      </c>
      <c r="H138" s="152">
        <f t="shared" si="31"/>
        <v>4817</v>
      </c>
      <c r="I138" s="153">
        <f t="shared" si="32"/>
        <v>4807</v>
      </c>
      <c r="J138" s="154"/>
    </row>
    <row r="139" spans="1:10" ht="20.100000000000001" customHeight="1">
      <c r="A139" s="80">
        <v>2011</v>
      </c>
      <c r="B139" s="151">
        <f t="shared" si="26"/>
        <v>4577</v>
      </c>
      <c r="C139" s="152">
        <f t="shared" si="27"/>
        <v>4720</v>
      </c>
      <c r="D139" s="152">
        <f t="shared" si="28"/>
        <v>4647</v>
      </c>
      <c r="E139" s="152"/>
      <c r="F139" s="152">
        <f t="shared" si="29"/>
        <v>4732</v>
      </c>
      <c r="G139" s="152">
        <f t="shared" si="30"/>
        <v>4669</v>
      </c>
      <c r="H139" s="152">
        <f t="shared" si="31"/>
        <v>4683.5</v>
      </c>
      <c r="I139" s="153">
        <f t="shared" si="32"/>
        <v>4669</v>
      </c>
      <c r="J139" s="154"/>
    </row>
    <row r="140" spans="1:10" ht="20.100000000000001" customHeight="1">
      <c r="A140" s="80">
        <v>2012</v>
      </c>
      <c r="B140" s="151">
        <f t="shared" si="26"/>
        <v>4426</v>
      </c>
      <c r="C140" s="152">
        <f t="shared" si="27"/>
        <v>4583</v>
      </c>
      <c r="D140" s="152">
        <f t="shared" si="28"/>
        <v>4522</v>
      </c>
      <c r="E140" s="152"/>
      <c r="F140" s="152">
        <f t="shared" si="29"/>
        <v>4600</v>
      </c>
      <c r="G140" s="152">
        <f t="shared" si="30"/>
        <v>4532.8</v>
      </c>
      <c r="H140" s="152">
        <f t="shared" si="31"/>
        <v>4552.5</v>
      </c>
      <c r="I140" s="153">
        <f t="shared" si="32"/>
        <v>4533</v>
      </c>
      <c r="J140" s="154"/>
    </row>
    <row r="141" spans="1:10" ht="20.100000000000001" customHeight="1">
      <c r="A141" s="80">
        <v>2013</v>
      </c>
      <c r="B141" s="151">
        <f t="shared" si="26"/>
        <v>4275</v>
      </c>
      <c r="C141" s="152">
        <f t="shared" si="27"/>
        <v>4445</v>
      </c>
      <c r="D141" s="152">
        <f t="shared" si="28"/>
        <v>4401</v>
      </c>
      <c r="E141" s="152"/>
      <c r="F141" s="152">
        <f t="shared" si="29"/>
        <v>4469</v>
      </c>
      <c r="G141" s="152">
        <f t="shared" si="30"/>
        <v>4397.5</v>
      </c>
      <c r="H141" s="152">
        <f t="shared" si="31"/>
        <v>4423</v>
      </c>
      <c r="I141" s="153">
        <f t="shared" si="32"/>
        <v>4398</v>
      </c>
      <c r="J141" s="154"/>
    </row>
    <row r="142" spans="1:10" ht="20.100000000000001" customHeight="1">
      <c r="A142" s="80">
        <v>2014</v>
      </c>
      <c r="B142" s="151">
        <f t="shared" si="26"/>
        <v>4123</v>
      </c>
      <c r="C142" s="152">
        <f t="shared" si="27"/>
        <v>4307</v>
      </c>
      <c r="D142" s="152">
        <f t="shared" si="28"/>
        <v>4282</v>
      </c>
      <c r="E142" s="152"/>
      <c r="F142" s="152">
        <f t="shared" si="29"/>
        <v>4340</v>
      </c>
      <c r="G142" s="152">
        <f t="shared" si="30"/>
        <v>4263</v>
      </c>
      <c r="H142" s="152">
        <f t="shared" si="31"/>
        <v>4294.5</v>
      </c>
      <c r="I142" s="153">
        <f t="shared" si="32"/>
        <v>4263</v>
      </c>
      <c r="J142" s="154"/>
    </row>
    <row r="143" spans="1:10" ht="20.100000000000001" customHeight="1">
      <c r="A143" s="80">
        <v>2015</v>
      </c>
      <c r="B143" s="151">
        <f t="shared" si="26"/>
        <v>3972</v>
      </c>
      <c r="C143" s="152">
        <f t="shared" si="27"/>
        <v>4170</v>
      </c>
      <c r="D143" s="152">
        <f t="shared" si="28"/>
        <v>4167</v>
      </c>
      <c r="E143" s="152"/>
      <c r="F143" s="152">
        <f t="shared" si="29"/>
        <v>4213</v>
      </c>
      <c r="G143" s="152">
        <f t="shared" si="30"/>
        <v>4130.5</v>
      </c>
      <c r="H143" s="152">
        <f t="shared" si="31"/>
        <v>4168.5</v>
      </c>
      <c r="I143" s="153">
        <f t="shared" si="32"/>
        <v>4131</v>
      </c>
      <c r="J143" s="154"/>
    </row>
    <row r="144" spans="1:10" ht="20.100000000000001" customHeight="1">
      <c r="A144" s="80">
        <v>2016</v>
      </c>
      <c r="B144" s="151">
        <f t="shared" si="26"/>
        <v>3820</v>
      </c>
      <c r="C144" s="152">
        <f t="shared" si="27"/>
        <v>4032</v>
      </c>
      <c r="D144" s="152">
        <f t="shared" si="28"/>
        <v>4055</v>
      </c>
      <c r="E144" s="152"/>
      <c r="F144" s="152">
        <f t="shared" si="29"/>
        <v>4087</v>
      </c>
      <c r="G144" s="152">
        <f t="shared" si="30"/>
        <v>3998.5</v>
      </c>
      <c r="H144" s="152">
        <f t="shared" si="31"/>
        <v>4043.5</v>
      </c>
      <c r="I144" s="153">
        <f t="shared" si="32"/>
        <v>3999</v>
      </c>
      <c r="J144" s="154"/>
    </row>
    <row r="145" spans="1:41" ht="20.100000000000001" customHeight="1">
      <c r="A145" s="80">
        <v>2017</v>
      </c>
      <c r="B145" s="151">
        <f t="shared" si="26"/>
        <v>3669</v>
      </c>
      <c r="C145" s="152">
        <f t="shared" si="27"/>
        <v>3894</v>
      </c>
      <c r="D145" s="152">
        <f t="shared" si="28"/>
        <v>3946</v>
      </c>
      <c r="E145" s="152"/>
      <c r="F145" s="152">
        <f t="shared" si="29"/>
        <v>3963</v>
      </c>
      <c r="G145" s="152">
        <f t="shared" si="30"/>
        <v>3868</v>
      </c>
      <c r="H145" s="152">
        <f t="shared" si="31"/>
        <v>3920</v>
      </c>
      <c r="I145" s="153">
        <f t="shared" si="32"/>
        <v>3868</v>
      </c>
      <c r="J145" s="154"/>
    </row>
    <row r="146" spans="1:41" ht="20.100000000000001" customHeight="1">
      <c r="A146" s="80">
        <v>2018</v>
      </c>
      <c r="B146" s="151">
        <f t="shared" si="26"/>
        <v>3518</v>
      </c>
      <c r="C146" s="152">
        <f t="shared" si="27"/>
        <v>3757</v>
      </c>
      <c r="D146" s="152">
        <f t="shared" si="28"/>
        <v>3840</v>
      </c>
      <c r="E146" s="152"/>
      <c r="F146" s="152">
        <f t="shared" si="29"/>
        <v>3841</v>
      </c>
      <c r="G146" s="152">
        <f t="shared" si="30"/>
        <v>3739</v>
      </c>
      <c r="H146" s="152">
        <f t="shared" si="31"/>
        <v>3798.5</v>
      </c>
      <c r="I146" s="153">
        <f t="shared" si="32"/>
        <v>3739</v>
      </c>
      <c r="J146" s="154"/>
    </row>
    <row r="147" spans="1:41" ht="20.100000000000001" customHeight="1">
      <c r="A147" s="80">
        <v>2019</v>
      </c>
      <c r="B147" s="151">
        <f t="shared" si="26"/>
        <v>3366</v>
      </c>
      <c r="C147" s="152">
        <f t="shared" si="27"/>
        <v>3619</v>
      </c>
      <c r="D147" s="152">
        <f t="shared" si="28"/>
        <v>3736</v>
      </c>
      <c r="E147" s="152"/>
      <c r="F147" s="152">
        <f t="shared" si="29"/>
        <v>3721</v>
      </c>
      <c r="G147" s="152">
        <f t="shared" si="30"/>
        <v>3610.5</v>
      </c>
      <c r="H147" s="152">
        <f t="shared" si="31"/>
        <v>3670</v>
      </c>
      <c r="I147" s="153">
        <f t="shared" si="32"/>
        <v>3611</v>
      </c>
      <c r="J147" s="154"/>
    </row>
    <row r="148" spans="1:41" ht="20.100000000000001" customHeight="1">
      <c r="A148" s="80">
        <v>2020</v>
      </c>
      <c r="B148" s="151">
        <f t="shared" si="26"/>
        <v>3215</v>
      </c>
      <c r="C148" s="152">
        <f t="shared" si="27"/>
        <v>3482</v>
      </c>
      <c r="D148" s="152">
        <f t="shared" si="28"/>
        <v>3636</v>
      </c>
      <c r="E148" s="152"/>
      <c r="F148" s="152">
        <f t="shared" si="29"/>
        <v>3603</v>
      </c>
      <c r="G148" s="152">
        <f t="shared" si="30"/>
        <v>3484</v>
      </c>
      <c r="H148" s="152">
        <f t="shared" si="31"/>
        <v>3542.5</v>
      </c>
      <c r="I148" s="153">
        <f t="shared" si="32"/>
        <v>3484</v>
      </c>
      <c r="J148" s="154"/>
    </row>
    <row r="149" spans="1:41" ht="20.100000000000001" customHeight="1">
      <c r="A149" s="80">
        <v>2021</v>
      </c>
      <c r="B149" s="151">
        <f t="shared" si="26"/>
        <v>3063</v>
      </c>
      <c r="C149" s="152">
        <f t="shared" si="27"/>
        <v>3344</v>
      </c>
      <c r="D149" s="152">
        <f t="shared" si="28"/>
        <v>3538</v>
      </c>
      <c r="E149" s="152"/>
      <c r="F149" s="152">
        <f t="shared" si="29"/>
        <v>3487</v>
      </c>
      <c r="G149" s="152">
        <f t="shared" si="30"/>
        <v>3358</v>
      </c>
      <c r="H149" s="152">
        <f t="shared" si="31"/>
        <v>3415.5</v>
      </c>
      <c r="I149" s="153">
        <f t="shared" si="32"/>
        <v>3358</v>
      </c>
      <c r="J149" s="154"/>
    </row>
    <row r="150" spans="1:41" ht="20.100000000000001" customHeight="1">
      <c r="A150" s="80">
        <v>2022</v>
      </c>
      <c r="B150" s="151">
        <f t="shared" si="26"/>
        <v>2912</v>
      </c>
      <c r="C150" s="152">
        <f t="shared" si="27"/>
        <v>3206</v>
      </c>
      <c r="D150" s="152">
        <f t="shared" si="28"/>
        <v>3443</v>
      </c>
      <c r="E150" s="152"/>
      <c r="F150" s="152">
        <f t="shared" si="29"/>
        <v>3373</v>
      </c>
      <c r="G150" s="152">
        <f t="shared" si="30"/>
        <v>3233.5</v>
      </c>
      <c r="H150" s="152">
        <f t="shared" si="31"/>
        <v>3289.5</v>
      </c>
      <c r="I150" s="153">
        <f t="shared" si="32"/>
        <v>3234</v>
      </c>
      <c r="J150" s="154"/>
    </row>
    <row r="151" spans="1:41" ht="20.100000000000001" customHeight="1">
      <c r="A151" s="80">
        <v>2023</v>
      </c>
      <c r="B151" s="151">
        <f t="shared" si="26"/>
        <v>2761</v>
      </c>
      <c r="C151" s="152">
        <f t="shared" si="27"/>
        <v>3069</v>
      </c>
      <c r="D151" s="152">
        <f t="shared" si="28"/>
        <v>3350</v>
      </c>
      <c r="E151" s="152"/>
      <c r="F151" s="152">
        <f t="shared" si="29"/>
        <v>3262</v>
      </c>
      <c r="G151" s="152">
        <f t="shared" si="30"/>
        <v>3110.5</v>
      </c>
      <c r="H151" s="152">
        <f t="shared" si="31"/>
        <v>3165.5</v>
      </c>
      <c r="I151" s="153">
        <f t="shared" si="32"/>
        <v>3111</v>
      </c>
      <c r="J151" s="154"/>
      <c r="L151" s="55">
        <v>806200</v>
      </c>
    </row>
    <row r="152" spans="1:41" ht="20.100000000000001" customHeight="1">
      <c r="A152" s="80">
        <v>2024</v>
      </c>
      <c r="B152" s="151">
        <f t="shared" si="26"/>
        <v>2609</v>
      </c>
      <c r="C152" s="152">
        <f t="shared" si="27"/>
        <v>2931</v>
      </c>
      <c r="D152" s="152">
        <f t="shared" si="28"/>
        <v>3260</v>
      </c>
      <c r="E152" s="152"/>
      <c r="F152" s="152">
        <f t="shared" si="29"/>
        <v>3153</v>
      </c>
      <c r="G152" s="152">
        <f t="shared" si="30"/>
        <v>2988.3</v>
      </c>
      <c r="H152" s="152">
        <f t="shared" si="31"/>
        <v>3042</v>
      </c>
      <c r="I152" s="153">
        <f t="shared" si="32"/>
        <v>2988</v>
      </c>
      <c r="J152" s="154"/>
      <c r="K152" s="55">
        <v>51000</v>
      </c>
      <c r="L152" s="75">
        <f>+K152+E152</f>
        <v>51000</v>
      </c>
      <c r="M152" s="75"/>
    </row>
    <row r="153" spans="1:41" ht="20.100000000000001" customHeight="1">
      <c r="A153" s="80">
        <v>2025</v>
      </c>
      <c r="B153" s="151">
        <f t="shared" si="26"/>
        <v>2458</v>
      </c>
      <c r="C153" s="152">
        <f t="shared" si="27"/>
        <v>2793</v>
      </c>
      <c r="D153" s="152">
        <f t="shared" si="28"/>
        <v>3173</v>
      </c>
      <c r="E153" s="152"/>
      <c r="F153" s="152">
        <f t="shared" si="29"/>
        <v>3046</v>
      </c>
      <c r="G153" s="152">
        <f t="shared" si="30"/>
        <v>2867.5</v>
      </c>
      <c r="H153" s="152">
        <f t="shared" si="31"/>
        <v>2919.5</v>
      </c>
      <c r="I153" s="153">
        <f t="shared" si="32"/>
        <v>2868</v>
      </c>
      <c r="J153" s="154"/>
      <c r="L153" s="75">
        <f>+L151-L152</f>
        <v>755200</v>
      </c>
      <c r="M153" s="75"/>
    </row>
    <row r="154" spans="1:41" ht="20.100000000000001" customHeight="1">
      <c r="A154" s="155" t="s">
        <v>97</v>
      </c>
      <c r="B154" s="156"/>
      <c r="C154" s="157"/>
      <c r="D154" s="157"/>
      <c r="E154" s="157"/>
      <c r="F154" s="156"/>
      <c r="G154" s="158" t="s">
        <v>290</v>
      </c>
      <c r="H154" s="157"/>
      <c r="I154" s="159"/>
      <c r="J154" s="160"/>
      <c r="K154" s="161"/>
      <c r="L154" s="162">
        <f>B109</f>
        <v>5940</v>
      </c>
      <c r="M154" s="162">
        <f>+B110</f>
        <v>5740</v>
      </c>
      <c r="N154" s="162">
        <f>B111</f>
        <v>5718</v>
      </c>
      <c r="O154" s="161">
        <f>B112</f>
        <v>5709</v>
      </c>
      <c r="P154" s="162">
        <f>B113</f>
        <v>5399</v>
      </c>
      <c r="Q154" s="161">
        <f>B114</f>
        <v>5183</v>
      </c>
      <c r="R154" s="162">
        <f>B115</f>
        <v>5135</v>
      </c>
      <c r="S154" s="162"/>
      <c r="T154" s="162"/>
      <c r="U154" s="162"/>
      <c r="V154" s="162"/>
      <c r="W154" s="162"/>
      <c r="X154" s="162"/>
      <c r="Y154" s="161"/>
      <c r="Z154" s="161"/>
      <c r="AA154" s="161"/>
      <c r="AB154" s="161"/>
      <c r="AC154" s="161"/>
      <c r="AD154" s="161"/>
      <c r="AE154" s="161"/>
      <c r="AF154" s="161"/>
      <c r="AG154" s="161"/>
      <c r="AH154" s="161"/>
      <c r="AI154" s="161"/>
      <c r="AJ154" s="161"/>
      <c r="AK154" s="161"/>
      <c r="AL154" s="161"/>
      <c r="AM154" s="161"/>
      <c r="AN154" s="161"/>
    </row>
    <row r="155" spans="1:41" ht="20.100000000000001" hidden="1" customHeight="1">
      <c r="A155" s="85"/>
      <c r="B155" s="163"/>
      <c r="C155" s="164"/>
      <c r="D155" s="164"/>
      <c r="E155" s="164"/>
      <c r="F155" s="164"/>
      <c r="G155" s="164"/>
      <c r="H155" s="164"/>
      <c r="I155" s="165"/>
      <c r="J155" s="166"/>
      <c r="K155" s="161"/>
      <c r="L155" s="161"/>
      <c r="M155" s="161"/>
      <c r="N155" s="161"/>
      <c r="O155" s="161"/>
      <c r="P155" s="161"/>
      <c r="Q155" s="161"/>
      <c r="R155" s="161"/>
      <c r="S155" s="161"/>
      <c r="T155" s="161"/>
      <c r="U155" s="161"/>
      <c r="V155" s="161"/>
      <c r="W155" s="161"/>
      <c r="X155" s="161"/>
      <c r="Y155" s="161"/>
      <c r="Z155" s="161"/>
      <c r="AA155" s="161"/>
      <c r="AB155" s="161"/>
      <c r="AC155" s="161"/>
      <c r="AD155" s="161"/>
      <c r="AE155" s="161"/>
      <c r="AF155" s="161"/>
      <c r="AG155" s="161"/>
      <c r="AH155" s="161"/>
      <c r="AI155" s="161"/>
      <c r="AJ155" s="161"/>
      <c r="AK155" s="161"/>
      <c r="AL155" s="161"/>
      <c r="AM155" s="161"/>
      <c r="AN155" s="161"/>
    </row>
    <row r="156" spans="1:41" s="161" customFormat="1" ht="20.100000000000001" customHeight="1">
      <c r="A156" s="167" t="s">
        <v>98</v>
      </c>
      <c r="B156" s="168">
        <f>I4</f>
        <v>0.90345870126668393</v>
      </c>
      <c r="C156" s="169">
        <f>I30</f>
        <v>0.89325967629627945</v>
      </c>
      <c r="D156" s="169">
        <f>I56</f>
        <v>0.89432343772027545</v>
      </c>
      <c r="E156" s="169"/>
      <c r="F156" s="169">
        <f>I108</f>
        <v>0.89211838279017852</v>
      </c>
      <c r="G156" s="170"/>
      <c r="H156" s="171"/>
      <c r="I156" s="172"/>
      <c r="J156" s="173"/>
      <c r="K156" s="174">
        <f>MAX(B156:I156,F156)</f>
        <v>0.90345870126668393</v>
      </c>
      <c r="L156" s="161">
        <v>2002</v>
      </c>
      <c r="M156" s="161">
        <v>2003</v>
      </c>
      <c r="N156" s="161">
        <f t="shared" ref="N156:AI156" si="33">+M156+1</f>
        <v>2004</v>
      </c>
      <c r="O156" s="161">
        <f t="shared" si="33"/>
        <v>2005</v>
      </c>
      <c r="P156" s="161">
        <f t="shared" si="33"/>
        <v>2006</v>
      </c>
      <c r="Q156" s="161">
        <f t="shared" si="33"/>
        <v>2007</v>
      </c>
      <c r="R156" s="161">
        <f t="shared" si="33"/>
        <v>2008</v>
      </c>
      <c r="S156" s="161">
        <f t="shared" si="33"/>
        <v>2009</v>
      </c>
      <c r="T156" s="161">
        <f t="shared" si="33"/>
        <v>2010</v>
      </c>
      <c r="U156" s="161">
        <f t="shared" si="33"/>
        <v>2011</v>
      </c>
      <c r="V156" s="161">
        <f t="shared" si="33"/>
        <v>2012</v>
      </c>
      <c r="W156" s="161">
        <f t="shared" si="33"/>
        <v>2013</v>
      </c>
      <c r="X156" s="161">
        <f t="shared" si="33"/>
        <v>2014</v>
      </c>
      <c r="Y156" s="161">
        <f t="shared" si="33"/>
        <v>2015</v>
      </c>
      <c r="Z156" s="161">
        <f t="shared" si="33"/>
        <v>2016</v>
      </c>
      <c r="AA156" s="161">
        <f t="shared" si="33"/>
        <v>2017</v>
      </c>
      <c r="AB156" s="161">
        <f t="shared" si="33"/>
        <v>2018</v>
      </c>
      <c r="AC156" s="161">
        <f t="shared" si="33"/>
        <v>2019</v>
      </c>
      <c r="AD156" s="161">
        <f t="shared" si="33"/>
        <v>2020</v>
      </c>
      <c r="AE156" s="161">
        <f t="shared" si="33"/>
        <v>2021</v>
      </c>
      <c r="AF156" s="161">
        <f t="shared" si="33"/>
        <v>2022</v>
      </c>
      <c r="AG156" s="161">
        <f t="shared" si="33"/>
        <v>2023</v>
      </c>
      <c r="AH156" s="161">
        <f t="shared" si="33"/>
        <v>2024</v>
      </c>
      <c r="AI156" s="161">
        <f t="shared" si="33"/>
        <v>2025</v>
      </c>
    </row>
    <row r="157" spans="1:41" ht="20.100000000000001" customHeight="1">
      <c r="K157" s="161" t="s">
        <v>99</v>
      </c>
      <c r="L157" s="161"/>
      <c r="M157" s="161"/>
      <c r="N157" s="161"/>
      <c r="O157" s="161"/>
      <c r="P157" s="161"/>
      <c r="Q157" s="161">
        <f>+Q154</f>
        <v>5183</v>
      </c>
      <c r="R157" s="162">
        <f>+B11</f>
        <v>5032</v>
      </c>
      <c r="S157" s="162">
        <f>+B12</f>
        <v>4880</v>
      </c>
      <c r="T157" s="162">
        <f>+B13</f>
        <v>4729</v>
      </c>
      <c r="U157" s="162">
        <f>+B14</f>
        <v>4577</v>
      </c>
      <c r="V157" s="162">
        <f>+B15</f>
        <v>4426</v>
      </c>
      <c r="W157" s="162">
        <f>+B16</f>
        <v>4275</v>
      </c>
      <c r="X157" s="162">
        <f>+B17</f>
        <v>4123</v>
      </c>
      <c r="Y157" s="162">
        <f>+B18</f>
        <v>3972</v>
      </c>
      <c r="Z157" s="162">
        <f>+B19</f>
        <v>3820</v>
      </c>
      <c r="AA157" s="162">
        <f>+B20</f>
        <v>3669</v>
      </c>
      <c r="AB157" s="162">
        <f>+B21</f>
        <v>3518</v>
      </c>
      <c r="AC157" s="162">
        <f>+B22</f>
        <v>3366</v>
      </c>
      <c r="AD157" s="162">
        <f>+B23</f>
        <v>3215</v>
      </c>
      <c r="AE157" s="162">
        <f>+B24</f>
        <v>3063</v>
      </c>
      <c r="AF157" s="162">
        <f>+B25</f>
        <v>2912</v>
      </c>
      <c r="AG157" s="162">
        <f>+B26</f>
        <v>2761</v>
      </c>
      <c r="AH157" s="162">
        <f>+B27</f>
        <v>2609</v>
      </c>
      <c r="AI157" s="162">
        <f>+B28</f>
        <v>2458</v>
      </c>
      <c r="AJ157" s="162"/>
      <c r="AK157" s="162"/>
      <c r="AL157" s="162"/>
      <c r="AM157" s="162"/>
      <c r="AN157" s="162"/>
      <c r="AO157" s="161"/>
    </row>
    <row r="158" spans="1:41" ht="20.100000000000001" customHeight="1">
      <c r="K158" s="161" t="s">
        <v>100</v>
      </c>
      <c r="L158" s="161"/>
      <c r="M158" s="161"/>
      <c r="N158" s="161"/>
      <c r="O158" s="161"/>
      <c r="P158" s="161"/>
      <c r="Q158" s="161">
        <f>+Q157</f>
        <v>5183</v>
      </c>
      <c r="R158" s="162">
        <f>+B37</f>
        <v>5133</v>
      </c>
      <c r="S158" s="162">
        <f>+B38</f>
        <v>4996</v>
      </c>
      <c r="T158" s="162">
        <f>+B39</f>
        <v>4858</v>
      </c>
      <c r="U158" s="162">
        <f>+B40</f>
        <v>4720</v>
      </c>
      <c r="V158" s="162">
        <f>+B41</f>
        <v>4583</v>
      </c>
      <c r="W158" s="162">
        <f>+B42</f>
        <v>4445</v>
      </c>
      <c r="X158" s="162">
        <f>+B43</f>
        <v>4307</v>
      </c>
      <c r="Y158" s="162">
        <f>+B44</f>
        <v>4170</v>
      </c>
      <c r="Z158" s="162">
        <f>+B45</f>
        <v>4032</v>
      </c>
      <c r="AA158" s="162">
        <f>+B46</f>
        <v>3894</v>
      </c>
      <c r="AB158" s="162">
        <f>+B47</f>
        <v>3757</v>
      </c>
      <c r="AC158" s="162">
        <f>+B48</f>
        <v>3619</v>
      </c>
      <c r="AD158" s="162">
        <f>+B49</f>
        <v>3482</v>
      </c>
      <c r="AE158" s="162">
        <f>+B50</f>
        <v>3344</v>
      </c>
      <c r="AF158" s="162">
        <f>+B51</f>
        <v>3206</v>
      </c>
      <c r="AG158" s="162">
        <f>+B52</f>
        <v>3069</v>
      </c>
      <c r="AH158" s="162">
        <f>+B53</f>
        <v>2931</v>
      </c>
      <c r="AI158" s="162">
        <f>+B54</f>
        <v>2793</v>
      </c>
      <c r="AJ158" s="162"/>
      <c r="AK158" s="162"/>
      <c r="AL158" s="162"/>
      <c r="AM158" s="162"/>
      <c r="AN158" s="162"/>
      <c r="AO158" s="161"/>
    </row>
    <row r="159" spans="1:41" ht="20.100000000000001" customHeight="1">
      <c r="K159" s="161" t="s">
        <v>101</v>
      </c>
      <c r="L159" s="161"/>
      <c r="M159" s="161"/>
      <c r="N159" s="161"/>
      <c r="O159" s="161"/>
      <c r="P159" s="161"/>
      <c r="Q159" s="161">
        <f>+Q158</f>
        <v>5183</v>
      </c>
      <c r="R159" s="162">
        <f>+B63</f>
        <v>5043</v>
      </c>
      <c r="S159" s="162">
        <f>+B64</f>
        <v>4908</v>
      </c>
      <c r="T159" s="162">
        <f>+B65</f>
        <v>4776</v>
      </c>
      <c r="U159" s="162">
        <f>+B66</f>
        <v>4647</v>
      </c>
      <c r="V159" s="162">
        <f>+B67</f>
        <v>4522</v>
      </c>
      <c r="W159" s="162">
        <f>+B68</f>
        <v>4401</v>
      </c>
      <c r="X159" s="162">
        <f>+B69</f>
        <v>4282</v>
      </c>
      <c r="Y159" s="162">
        <f>+B70</f>
        <v>4167</v>
      </c>
      <c r="Z159" s="162">
        <f>+B71</f>
        <v>4055</v>
      </c>
      <c r="AA159" s="162">
        <f>+B72</f>
        <v>3946</v>
      </c>
      <c r="AB159" s="162">
        <f>+B73</f>
        <v>3840</v>
      </c>
      <c r="AC159" s="162">
        <f>+B74</f>
        <v>3736</v>
      </c>
      <c r="AD159" s="162">
        <f>+B75</f>
        <v>3636</v>
      </c>
      <c r="AE159" s="162">
        <f>+B76</f>
        <v>3538</v>
      </c>
      <c r="AF159" s="162">
        <f>+B77</f>
        <v>3443</v>
      </c>
      <c r="AG159" s="162">
        <f>+B78</f>
        <v>3350</v>
      </c>
      <c r="AH159" s="162">
        <f>+B79</f>
        <v>3260</v>
      </c>
      <c r="AI159" s="162">
        <f>+B80</f>
        <v>3173</v>
      </c>
      <c r="AJ159" s="162"/>
      <c r="AK159" s="162"/>
      <c r="AL159" s="162"/>
      <c r="AM159" s="162"/>
      <c r="AN159" s="162"/>
      <c r="AO159" s="161"/>
    </row>
    <row r="160" spans="1:41" ht="20.100000000000001" customHeight="1">
      <c r="K160" s="161" t="s">
        <v>102</v>
      </c>
      <c r="L160" s="161"/>
      <c r="M160" s="161"/>
      <c r="N160" s="161"/>
      <c r="O160" s="161"/>
      <c r="P160" s="161"/>
      <c r="Q160" s="161">
        <f>+Q159</f>
        <v>5183</v>
      </c>
      <c r="R160" s="162" t="e">
        <f>+B89</f>
        <v>#VALUE!</v>
      </c>
      <c r="S160" s="162" t="e">
        <f>+B90</f>
        <v>#VALUE!</v>
      </c>
      <c r="T160" s="162" t="e">
        <f>+B91</f>
        <v>#VALUE!</v>
      </c>
      <c r="U160" s="162" t="e">
        <f>+B92</f>
        <v>#VALUE!</v>
      </c>
      <c r="V160" s="162" t="e">
        <f>+B93</f>
        <v>#VALUE!</v>
      </c>
      <c r="W160" s="162" t="e">
        <f>+B94</f>
        <v>#VALUE!</v>
      </c>
      <c r="X160" s="162" t="e">
        <f>+B95</f>
        <v>#VALUE!</v>
      </c>
      <c r="Y160" s="162" t="e">
        <f>+B96</f>
        <v>#VALUE!</v>
      </c>
      <c r="Z160" s="162" t="e">
        <f>+B97</f>
        <v>#VALUE!</v>
      </c>
      <c r="AA160" s="162" t="e">
        <f>+B98</f>
        <v>#VALUE!</v>
      </c>
      <c r="AB160" s="162" t="e">
        <f>+B99</f>
        <v>#VALUE!</v>
      </c>
      <c r="AC160" s="162" t="e">
        <f>+B100</f>
        <v>#VALUE!</v>
      </c>
      <c r="AD160" s="162" t="e">
        <f>+B101</f>
        <v>#VALUE!</v>
      </c>
      <c r="AE160" s="162" t="e">
        <f>+B102</f>
        <v>#VALUE!</v>
      </c>
      <c r="AF160" s="162" t="e">
        <f>+B103</f>
        <v>#VALUE!</v>
      </c>
      <c r="AG160" s="162" t="e">
        <f>+B104</f>
        <v>#VALUE!</v>
      </c>
      <c r="AH160" s="162" t="e">
        <f>+B105</f>
        <v>#VALUE!</v>
      </c>
      <c r="AI160" s="162" t="e">
        <f>+B106</f>
        <v>#VALUE!</v>
      </c>
      <c r="AJ160" s="161"/>
      <c r="AK160" s="161"/>
      <c r="AL160" s="161"/>
      <c r="AM160" s="161"/>
      <c r="AN160" s="161"/>
      <c r="AO160" s="161"/>
    </row>
    <row r="161" spans="11:41" ht="20.100000000000001" customHeight="1">
      <c r="K161" s="161" t="s">
        <v>103</v>
      </c>
      <c r="L161" s="161"/>
      <c r="M161" s="161"/>
      <c r="N161" s="161"/>
      <c r="O161" s="161"/>
      <c r="P161" s="161"/>
      <c r="Q161" s="161">
        <f>+Q160</f>
        <v>5183</v>
      </c>
      <c r="R161" s="162">
        <f>+B115</f>
        <v>5135</v>
      </c>
      <c r="S161" s="162">
        <f>+B116</f>
        <v>4999</v>
      </c>
      <c r="T161" s="162">
        <f>+B117</f>
        <v>4865</v>
      </c>
      <c r="U161" s="162">
        <f>+B118</f>
        <v>4732</v>
      </c>
      <c r="V161" s="162">
        <f>+B119</f>
        <v>4600</v>
      </c>
      <c r="W161" s="162">
        <f>+B120</f>
        <v>4469</v>
      </c>
      <c r="X161" s="162">
        <f>+B121</f>
        <v>4340</v>
      </c>
      <c r="Y161" s="162">
        <f>+B122</f>
        <v>4213</v>
      </c>
      <c r="Z161" s="162">
        <f>+B123</f>
        <v>4087</v>
      </c>
      <c r="AA161" s="162">
        <f>+B124</f>
        <v>3963</v>
      </c>
      <c r="AB161" s="162">
        <f>+B125</f>
        <v>3841</v>
      </c>
      <c r="AC161" s="162">
        <f>+B126</f>
        <v>3721</v>
      </c>
      <c r="AD161" s="162">
        <f>+B127</f>
        <v>3603</v>
      </c>
      <c r="AE161" s="162">
        <f>+B128</f>
        <v>3487</v>
      </c>
      <c r="AF161" s="162">
        <f>+B129</f>
        <v>3373</v>
      </c>
      <c r="AG161" s="162">
        <f>+B130</f>
        <v>3262</v>
      </c>
      <c r="AH161" s="162">
        <f>+B131</f>
        <v>3153</v>
      </c>
      <c r="AI161" s="162">
        <f>+B132</f>
        <v>3046</v>
      </c>
      <c r="AJ161" s="162"/>
      <c r="AK161" s="162"/>
      <c r="AL161" s="162"/>
      <c r="AM161" s="162"/>
      <c r="AN161" s="162"/>
      <c r="AO161" s="161"/>
    </row>
    <row r="162" spans="11:41" ht="20.100000000000001" customHeight="1">
      <c r="K162" s="161" t="s">
        <v>95</v>
      </c>
      <c r="L162" s="161"/>
      <c r="M162" s="161"/>
      <c r="N162" s="161"/>
      <c r="O162" s="161"/>
      <c r="P162" s="161"/>
      <c r="Q162" s="161">
        <f>+Q161</f>
        <v>5183</v>
      </c>
      <c r="R162" s="206">
        <f>+H136</f>
        <v>5088</v>
      </c>
      <c r="S162" s="206">
        <f>+H137</f>
        <v>4952</v>
      </c>
      <c r="T162" s="206">
        <f>+H138</f>
        <v>4817</v>
      </c>
      <c r="U162" s="206">
        <f>+H139</f>
        <v>4683.5</v>
      </c>
      <c r="V162" s="206">
        <f>+H140</f>
        <v>4552.5</v>
      </c>
      <c r="W162" s="175">
        <f>+H141</f>
        <v>4423</v>
      </c>
      <c r="X162" s="206">
        <f>+H142</f>
        <v>4294.5</v>
      </c>
      <c r="Y162" s="206">
        <f>+H143</f>
        <v>4168.5</v>
      </c>
      <c r="Z162" s="206">
        <f>+H144</f>
        <v>4043.5</v>
      </c>
      <c r="AA162" s="206">
        <f>+H145</f>
        <v>3920</v>
      </c>
      <c r="AB162" s="206">
        <f>+H146</f>
        <v>3798.5</v>
      </c>
      <c r="AC162" s="206">
        <f>+H147</f>
        <v>3670</v>
      </c>
      <c r="AD162" s="206">
        <f>+H148</f>
        <v>3542.5</v>
      </c>
      <c r="AE162" s="206">
        <f>+H149</f>
        <v>3415.5</v>
      </c>
      <c r="AF162" s="206">
        <f>+H150</f>
        <v>3289.5</v>
      </c>
      <c r="AG162" s="206">
        <f>+H151</f>
        <v>3165.5</v>
      </c>
      <c r="AH162" s="206">
        <f>+H152</f>
        <v>3042</v>
      </c>
      <c r="AI162" s="206">
        <f>+H153</f>
        <v>2919.5</v>
      </c>
      <c r="AJ162" s="161"/>
      <c r="AK162" s="161"/>
      <c r="AL162" s="161"/>
      <c r="AM162" s="161"/>
      <c r="AN162" s="161"/>
      <c r="AO162" s="161" t="s">
        <v>95</v>
      </c>
    </row>
    <row r="163" spans="11:41" ht="20.100000000000001" customHeight="1"/>
    <row r="164" spans="11:41" ht="20.100000000000001" customHeight="1"/>
    <row r="165" spans="11:41" ht="20.100000000000001" customHeight="1"/>
    <row r="166" spans="11:41" ht="20.100000000000001" customHeight="1"/>
    <row r="167" spans="11:41" ht="20.100000000000001" customHeight="1"/>
    <row r="168" spans="11:41" ht="20.100000000000001" customHeight="1"/>
    <row r="169" spans="11:41" ht="20.100000000000001" customHeight="1"/>
    <row r="170" spans="11:41" ht="20.100000000000001" customHeight="1"/>
    <row r="171" spans="11:41" ht="20.100000000000001" customHeight="1"/>
    <row r="172" spans="11:41" ht="20.100000000000001" customHeight="1"/>
    <row r="173" spans="11:41" ht="20.100000000000001" customHeight="1"/>
    <row r="174" spans="11:41" ht="20.100000000000001" customHeight="1"/>
    <row r="175" spans="11:41" ht="20.100000000000001" customHeight="1"/>
    <row r="176" spans="11:41" ht="20.100000000000001" customHeight="1"/>
    <row r="177" ht="20.100000000000001" customHeight="1"/>
    <row r="178" ht="20.100000000000001" customHeight="1"/>
    <row r="179" ht="20.100000000000001" customHeight="1"/>
  </sheetData>
  <phoneticPr fontId="50" type="noConversion"/>
  <pageMargins left="0.74803149606299213" right="0.74803149606299213" top="0.78740157480314965" bottom="0.78740157480314965" header="0.51181102362204722" footer="0.51181102362204722"/>
  <pageSetup paperSize="9" scale="70" fitToHeight="3" orientation="portrait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sheetPr codeName="Sheet63">
    <tabColor indexed="47"/>
  </sheetPr>
  <dimension ref="A1:AX248"/>
  <sheetViews>
    <sheetView workbookViewId="0"/>
  </sheetViews>
  <sheetFormatPr defaultRowHeight="15" customHeight="1"/>
  <cols>
    <col min="1" max="1" width="8.88671875" style="55"/>
    <col min="2" max="2" width="9.21875" style="55" customWidth="1"/>
    <col min="3" max="3" width="9.5546875" style="55" customWidth="1"/>
    <col min="4" max="4" width="9" style="55" customWidth="1"/>
    <col min="5" max="5" width="11.33203125" style="55" customWidth="1"/>
    <col min="6" max="6" width="9.44140625" style="55" customWidth="1"/>
    <col min="7" max="7" width="15.109375" style="55" bestFit="1" customWidth="1"/>
    <col min="8" max="8" width="12.88671875" style="55" bestFit="1" customWidth="1"/>
    <col min="9" max="9" width="11.5546875" style="55" bestFit="1" customWidth="1"/>
    <col min="10" max="16384" width="8.88671875" style="55"/>
  </cols>
  <sheetData>
    <row r="1" spans="1:12" ht="15" customHeight="1">
      <c r="A1" s="54" t="s">
        <v>110</v>
      </c>
    </row>
    <row r="2" spans="1:12" ht="15" customHeight="1">
      <c r="A2" s="54"/>
    </row>
    <row r="3" spans="1:12" ht="15" customHeight="1">
      <c r="A3" s="56" t="s">
        <v>74</v>
      </c>
      <c r="B3" s="57"/>
    </row>
    <row r="4" spans="1:12" ht="15" customHeight="1">
      <c r="A4" s="58" t="s">
        <v>32</v>
      </c>
      <c r="B4" s="59" t="s">
        <v>40</v>
      </c>
      <c r="C4" s="59" t="s">
        <v>33</v>
      </c>
      <c r="D4" s="60"/>
      <c r="E4" s="60"/>
      <c r="F4" s="61"/>
      <c r="G4" s="62"/>
      <c r="H4" s="63" t="s">
        <v>104</v>
      </c>
      <c r="I4" s="64">
        <f>RSQ(I5:I24,B5:B24)</f>
        <v>0.89613899465176383</v>
      </c>
    </row>
    <row r="5" spans="1:12" ht="15" customHeight="1">
      <c r="A5" s="65">
        <f>과거인구현황!A6</f>
        <v>1988</v>
      </c>
      <c r="B5" s="66">
        <f>+VLOOKUP(A5,과거인구현황!$A$6:$W$26,8,FALSE)</f>
        <v>10091</v>
      </c>
      <c r="C5" s="67">
        <v>0</v>
      </c>
      <c r="D5" s="53" t="s">
        <v>75</v>
      </c>
      <c r="E5" s="68">
        <f>(B24-B5)/C24</f>
        <v>585.47368421052636</v>
      </c>
      <c r="F5" s="69"/>
      <c r="G5" s="53"/>
      <c r="H5" s="69"/>
      <c r="I5" s="70">
        <f t="shared" ref="I5:I42" si="0">$E$5*C5+$E$6</f>
        <v>10091</v>
      </c>
      <c r="J5" s="71">
        <v>570570</v>
      </c>
      <c r="K5" s="55">
        <v>570570</v>
      </c>
      <c r="L5" s="55">
        <v>766</v>
      </c>
    </row>
    <row r="6" spans="1:12" ht="15" customHeight="1">
      <c r="A6" s="65">
        <f>과거인구현황!A7</f>
        <v>1989</v>
      </c>
      <c r="B6" s="66">
        <f>+VLOOKUP(A6,과거인구현황!$A$6:$W$26,8,FALSE)</f>
        <v>10204</v>
      </c>
      <c r="C6" s="67">
        <f t="shared" ref="C6:C42" si="1">C5+1</f>
        <v>1</v>
      </c>
      <c r="D6" s="53" t="s">
        <v>76</v>
      </c>
      <c r="E6" s="72">
        <f>B5</f>
        <v>10091</v>
      </c>
      <c r="F6" s="69"/>
      <c r="G6" s="53"/>
      <c r="H6" s="69"/>
      <c r="I6" s="70">
        <f t="shared" si="0"/>
        <v>10676.473684210527</v>
      </c>
      <c r="J6" s="71">
        <v>583230</v>
      </c>
      <c r="K6" s="55">
        <v>583230</v>
      </c>
      <c r="L6" s="55">
        <v>1094</v>
      </c>
    </row>
    <row r="7" spans="1:12" ht="15" customHeight="1">
      <c r="A7" s="65">
        <f>과거인구현황!A8</f>
        <v>1990</v>
      </c>
      <c r="B7" s="66">
        <f>+VLOOKUP(A7,과거인구현황!$A$6:$W$26,8,FALSE)</f>
        <v>9169</v>
      </c>
      <c r="C7" s="67">
        <f t="shared" si="1"/>
        <v>2</v>
      </c>
      <c r="D7" s="53" t="s">
        <v>77</v>
      </c>
      <c r="E7" s="73">
        <f>I4</f>
        <v>0.89613899465176383</v>
      </c>
      <c r="F7" s="69"/>
      <c r="G7" s="53"/>
      <c r="H7" s="69"/>
      <c r="I7" s="70">
        <f t="shared" si="0"/>
        <v>11261.947368421053</v>
      </c>
      <c r="J7" s="71">
        <v>590162</v>
      </c>
      <c r="K7" s="55">
        <v>590162</v>
      </c>
      <c r="L7" s="55">
        <v>1277</v>
      </c>
    </row>
    <row r="8" spans="1:12" ht="15" customHeight="1">
      <c r="A8" s="65">
        <f>과거인구현황!A9</f>
        <v>1991</v>
      </c>
      <c r="B8" s="66">
        <f>+VLOOKUP(A8,과거인구현황!$A$6:$W$26,8,FALSE)</f>
        <v>9282</v>
      </c>
      <c r="C8" s="67">
        <f t="shared" si="1"/>
        <v>3</v>
      </c>
      <c r="D8" s="53"/>
      <c r="E8" s="53"/>
      <c r="F8" s="69"/>
      <c r="G8" s="53"/>
      <c r="H8" s="69"/>
      <c r="I8" s="70">
        <f t="shared" si="0"/>
        <v>11847.42105263158</v>
      </c>
      <c r="J8" s="71">
        <v>600343</v>
      </c>
      <c r="K8" s="55">
        <v>600343</v>
      </c>
      <c r="L8" s="55">
        <v>1147</v>
      </c>
    </row>
    <row r="9" spans="1:12" ht="15" customHeight="1">
      <c r="A9" s="65">
        <f>과거인구현황!A10</f>
        <v>1992</v>
      </c>
      <c r="B9" s="66">
        <f>+VLOOKUP(A9,과거인구현황!$A$6:$W$26,8,FALSE)</f>
        <v>9168</v>
      </c>
      <c r="C9" s="67">
        <f t="shared" si="1"/>
        <v>4</v>
      </c>
      <c r="D9" s="53"/>
      <c r="E9" s="53"/>
      <c r="F9" s="69"/>
      <c r="G9" s="53"/>
      <c r="H9" s="69"/>
      <c r="I9" s="70">
        <f t="shared" si="0"/>
        <v>12432.894736842105</v>
      </c>
      <c r="J9" s="71">
        <v>611921</v>
      </c>
      <c r="K9" s="55">
        <v>611921</v>
      </c>
      <c r="L9" s="55">
        <v>1355</v>
      </c>
    </row>
    <row r="10" spans="1:12" ht="15" customHeight="1">
      <c r="A10" s="65">
        <f>과거인구현황!A11</f>
        <v>1993</v>
      </c>
      <c r="B10" s="66">
        <f>+VLOOKUP(A10,과거인구현황!$A$6:$W$26,8,FALSE)</f>
        <v>9159</v>
      </c>
      <c r="C10" s="67">
        <f t="shared" si="1"/>
        <v>5</v>
      </c>
      <c r="D10" s="53"/>
      <c r="E10" s="53"/>
      <c r="F10" s="69"/>
      <c r="G10" s="53"/>
      <c r="H10" s="69"/>
      <c r="I10" s="70">
        <f t="shared" si="0"/>
        <v>13018.368421052632</v>
      </c>
      <c r="J10" s="74">
        <v>622238</v>
      </c>
      <c r="K10" s="55">
        <v>622238</v>
      </c>
      <c r="L10" s="55">
        <v>1717</v>
      </c>
    </row>
    <row r="11" spans="1:12" ht="15" customHeight="1">
      <c r="A11" s="65">
        <f>과거인구현황!A12</f>
        <v>1994</v>
      </c>
      <c r="B11" s="66">
        <f>+VLOOKUP(A11,과거인구현황!$A$6:$W$26,8,FALSE)</f>
        <v>9336</v>
      </c>
      <c r="C11" s="67">
        <f t="shared" si="1"/>
        <v>6</v>
      </c>
      <c r="D11" s="53" t="s">
        <v>73</v>
      </c>
      <c r="E11" s="53"/>
      <c r="F11" s="69"/>
      <c r="G11" s="53"/>
      <c r="H11" s="69"/>
      <c r="I11" s="70">
        <f t="shared" si="0"/>
        <v>13603.842105263158</v>
      </c>
      <c r="J11" s="74">
        <v>623897</v>
      </c>
      <c r="K11" s="55">
        <v>623897</v>
      </c>
      <c r="L11" s="55">
        <v>1614</v>
      </c>
    </row>
    <row r="12" spans="1:12" ht="15" customHeight="1">
      <c r="A12" s="65">
        <f>과거인구현황!A13</f>
        <v>1995</v>
      </c>
      <c r="B12" s="66">
        <f>+VLOOKUP(A12,과거인구현황!$A$6:$W$26,8,FALSE)</f>
        <v>11008</v>
      </c>
      <c r="C12" s="67">
        <f t="shared" si="1"/>
        <v>7</v>
      </c>
      <c r="D12" s="53"/>
      <c r="E12" s="53"/>
      <c r="F12" s="69"/>
      <c r="G12" s="53"/>
      <c r="H12" s="69"/>
      <c r="I12" s="70">
        <f t="shared" si="0"/>
        <v>14189.315789473683</v>
      </c>
      <c r="J12" s="74">
        <v>626069</v>
      </c>
      <c r="K12" s="55">
        <v>626069</v>
      </c>
      <c r="L12" s="55">
        <v>1584</v>
      </c>
    </row>
    <row r="13" spans="1:12" ht="15" customHeight="1">
      <c r="A13" s="65">
        <f>과거인구현황!A14</f>
        <v>1996</v>
      </c>
      <c r="B13" s="66">
        <f>+VLOOKUP(A13,과거인구현황!$A$6:$W$26,8,FALSE)</f>
        <v>12272</v>
      </c>
      <c r="C13" s="67">
        <f t="shared" si="1"/>
        <v>8</v>
      </c>
      <c r="D13" s="53"/>
      <c r="E13" s="53"/>
      <c r="F13" s="69"/>
      <c r="G13" s="53"/>
      <c r="H13" s="69"/>
      <c r="I13" s="70">
        <f t="shared" si="0"/>
        <v>14774.78947368421</v>
      </c>
      <c r="J13" s="74">
        <v>618816</v>
      </c>
      <c r="K13" s="55">
        <v>620374</v>
      </c>
      <c r="L13" s="75">
        <v>1555</v>
      </c>
    </row>
    <row r="14" spans="1:12" ht="15" customHeight="1">
      <c r="A14" s="65">
        <f>과거인구현황!A15</f>
        <v>1997</v>
      </c>
      <c r="B14" s="66">
        <f>+VLOOKUP(A14,과거인구현황!$A$6:$W$26,8,FALSE)</f>
        <v>13056</v>
      </c>
      <c r="C14" s="67">
        <f t="shared" si="1"/>
        <v>9</v>
      </c>
      <c r="D14" s="53"/>
      <c r="E14" s="53"/>
      <c r="F14" s="69"/>
      <c r="G14" s="53"/>
      <c r="H14" s="69"/>
      <c r="I14" s="70">
        <f t="shared" si="0"/>
        <v>15360.263157894737</v>
      </c>
      <c r="J14" s="74">
        <v>622472</v>
      </c>
      <c r="K14" s="55">
        <v>624260</v>
      </c>
      <c r="L14" s="75">
        <v>1788</v>
      </c>
    </row>
    <row r="15" spans="1:12" ht="15" customHeight="1">
      <c r="A15" s="65">
        <f>과거인구현황!A16</f>
        <v>1998</v>
      </c>
      <c r="B15" s="66">
        <f>+VLOOKUP(A15,과거인구현황!$A$6:$W$26,8,FALSE)</f>
        <v>14417</v>
      </c>
      <c r="C15" s="67">
        <f t="shared" si="1"/>
        <v>10</v>
      </c>
      <c r="D15" s="53"/>
      <c r="E15" s="53"/>
      <c r="F15" s="69"/>
      <c r="G15" s="53"/>
      <c r="H15" s="69"/>
      <c r="I15" s="70">
        <f t="shared" si="0"/>
        <v>15945.736842105263</v>
      </c>
      <c r="K15" s="55">
        <v>623804</v>
      </c>
      <c r="L15" s="75">
        <f>+J15-K15</f>
        <v>-623804</v>
      </c>
    </row>
    <row r="16" spans="1:12" ht="15" customHeight="1">
      <c r="A16" s="65">
        <f>과거인구현황!A17</f>
        <v>1999</v>
      </c>
      <c r="B16" s="66">
        <f>+VLOOKUP(A16,과거인구현황!$A$6:$W$26,8,FALSE)</f>
        <v>15218</v>
      </c>
      <c r="C16" s="67">
        <f t="shared" si="1"/>
        <v>11</v>
      </c>
      <c r="D16" s="53"/>
      <c r="E16" s="53"/>
      <c r="F16" s="69"/>
      <c r="G16" s="53"/>
      <c r="H16" s="69"/>
      <c r="I16" s="70">
        <f t="shared" si="0"/>
        <v>16531.21052631579</v>
      </c>
      <c r="L16" s="75"/>
    </row>
    <row r="17" spans="1:12" ht="15" customHeight="1">
      <c r="A17" s="65">
        <f>과거인구현황!A18</f>
        <v>2000</v>
      </c>
      <c r="B17" s="66">
        <f>+VLOOKUP(A17,과거인구현황!$A$6:$W$26,8,FALSE)</f>
        <v>16870</v>
      </c>
      <c r="C17" s="67">
        <f t="shared" si="1"/>
        <v>12</v>
      </c>
      <c r="D17" s="53"/>
      <c r="E17" s="53"/>
      <c r="F17" s="69"/>
      <c r="G17" s="53"/>
      <c r="H17" s="69"/>
      <c r="I17" s="70">
        <f t="shared" si="0"/>
        <v>17116.684210526317</v>
      </c>
      <c r="L17" s="75"/>
    </row>
    <row r="18" spans="1:12" ht="15" customHeight="1">
      <c r="A18" s="65">
        <f>과거인구현황!A19</f>
        <v>2001</v>
      </c>
      <c r="B18" s="66">
        <f>+VLOOKUP(A18,과거인구현황!$A$6:$W$26,8,FALSE)</f>
        <v>19029</v>
      </c>
      <c r="C18" s="67">
        <f t="shared" si="1"/>
        <v>13</v>
      </c>
      <c r="D18" s="53"/>
      <c r="E18" s="53"/>
      <c r="F18" s="69"/>
      <c r="G18" s="53"/>
      <c r="H18" s="69"/>
      <c r="I18" s="70">
        <f t="shared" si="0"/>
        <v>17702.157894736843</v>
      </c>
      <c r="L18" s="75"/>
    </row>
    <row r="19" spans="1:12" ht="15" customHeight="1">
      <c r="A19" s="65">
        <f>과거인구현황!A20</f>
        <v>2002</v>
      </c>
      <c r="B19" s="66">
        <f>+VLOOKUP(A19,과거인구현황!$A$6:$W$26,8,FALSE)</f>
        <v>20963</v>
      </c>
      <c r="C19" s="67">
        <f t="shared" si="1"/>
        <v>14</v>
      </c>
      <c r="D19" s="53"/>
      <c r="E19" s="53"/>
      <c r="F19" s="69"/>
      <c r="G19" s="53"/>
      <c r="H19" s="69"/>
      <c r="I19" s="70">
        <f t="shared" si="0"/>
        <v>18287.631578947367</v>
      </c>
      <c r="L19" s="75"/>
    </row>
    <row r="20" spans="1:12" ht="15" customHeight="1">
      <c r="A20" s="65">
        <f>과거인구현황!A21</f>
        <v>2003</v>
      </c>
      <c r="B20" s="66">
        <f>+VLOOKUP(A20,과거인구현황!$A$6:$W$26,8,FALSE)</f>
        <v>21131</v>
      </c>
      <c r="C20" s="67">
        <f t="shared" si="1"/>
        <v>15</v>
      </c>
      <c r="D20" s="53"/>
      <c r="E20" s="53"/>
      <c r="F20" s="69"/>
      <c r="G20" s="53"/>
      <c r="H20" s="69"/>
      <c r="I20" s="70">
        <f t="shared" si="0"/>
        <v>18873.105263157893</v>
      </c>
      <c r="L20" s="75"/>
    </row>
    <row r="21" spans="1:12" ht="15" customHeight="1">
      <c r="A21" s="65">
        <f>과거인구현황!A22</f>
        <v>2004</v>
      </c>
      <c r="B21" s="66">
        <f>+VLOOKUP(A21,과거인구현황!$A$6:$W$26,8,FALSE)</f>
        <v>21241</v>
      </c>
      <c r="C21" s="67">
        <f t="shared" si="1"/>
        <v>16</v>
      </c>
      <c r="D21" s="53"/>
      <c r="E21" s="53"/>
      <c r="F21" s="69"/>
      <c r="G21" s="53"/>
      <c r="H21" s="69"/>
      <c r="I21" s="70">
        <f t="shared" si="0"/>
        <v>19458.57894736842</v>
      </c>
      <c r="L21" s="75"/>
    </row>
    <row r="22" spans="1:12" ht="15" customHeight="1">
      <c r="A22" s="65">
        <f>과거인구현황!A23</f>
        <v>2005</v>
      </c>
      <c r="B22" s="66">
        <f>+VLOOKUP(A22,과거인구현황!$A$6:$W$26,8,FALSE)</f>
        <v>21184</v>
      </c>
      <c r="C22" s="67">
        <f t="shared" si="1"/>
        <v>17</v>
      </c>
      <c r="D22" s="53"/>
      <c r="E22" s="53"/>
      <c r="F22" s="69"/>
      <c r="G22" s="53"/>
      <c r="H22" s="69"/>
      <c r="I22" s="70">
        <f t="shared" si="0"/>
        <v>20044.052631578947</v>
      </c>
      <c r="L22" s="75"/>
    </row>
    <row r="23" spans="1:12" ht="15" customHeight="1">
      <c r="A23" s="65">
        <f>과거인구현황!A24</f>
        <v>2006</v>
      </c>
      <c r="B23" s="66">
        <f>+VLOOKUP(A23,과거인구현황!$A$6:$W$26,8,FALSE)</f>
        <v>20836</v>
      </c>
      <c r="C23" s="67">
        <f t="shared" si="1"/>
        <v>18</v>
      </c>
      <c r="D23" s="53"/>
      <c r="E23" s="53"/>
      <c r="F23" s="69"/>
      <c r="G23" s="53"/>
      <c r="H23" s="69"/>
      <c r="I23" s="70">
        <f t="shared" si="0"/>
        <v>20629.526315789473</v>
      </c>
      <c r="L23" s="75"/>
    </row>
    <row r="24" spans="1:12" ht="15" customHeight="1" thickBot="1">
      <c r="A24" s="97">
        <f>과거인구현황!A25</f>
        <v>2007</v>
      </c>
      <c r="B24" s="185">
        <f>+VLOOKUP(A24,과거인구현황!$A$6:$W$26,8,FALSE)</f>
        <v>21215</v>
      </c>
      <c r="C24" s="99">
        <f t="shared" si="1"/>
        <v>19</v>
      </c>
      <c r="D24" s="101"/>
      <c r="E24" s="101"/>
      <c r="F24" s="100"/>
      <c r="G24" s="101"/>
      <c r="H24" s="100"/>
      <c r="I24" s="102">
        <f t="shared" si="0"/>
        <v>21215</v>
      </c>
      <c r="L24" s="75"/>
    </row>
    <row r="25" spans="1:12" ht="15" customHeight="1" thickTop="1">
      <c r="A25" s="255">
        <v>2008</v>
      </c>
      <c r="B25" s="81">
        <f t="shared" ref="B25:B42" si="2">ROUND($E$5*C25+$E$6,0)</f>
        <v>21800</v>
      </c>
      <c r="C25" s="77">
        <f t="shared" si="1"/>
        <v>20</v>
      </c>
      <c r="D25" s="256"/>
      <c r="E25" s="256"/>
      <c r="F25" s="78"/>
      <c r="G25" s="256"/>
      <c r="H25" s="78"/>
      <c r="I25" s="79">
        <f t="shared" si="0"/>
        <v>21800.473684210527</v>
      </c>
      <c r="L25" s="75"/>
    </row>
    <row r="26" spans="1:12" ht="15" customHeight="1">
      <c r="A26" s="80">
        <v>2009</v>
      </c>
      <c r="B26" s="81">
        <f t="shared" si="2"/>
        <v>22386</v>
      </c>
      <c r="C26" s="67">
        <f>C25+1</f>
        <v>21</v>
      </c>
      <c r="D26" s="69"/>
      <c r="E26" s="69"/>
      <c r="F26" s="69"/>
      <c r="G26" s="69"/>
      <c r="H26" s="69"/>
      <c r="I26" s="70">
        <f t="shared" si="0"/>
        <v>22385.947368421053</v>
      </c>
    </row>
    <row r="27" spans="1:12" ht="15" customHeight="1">
      <c r="A27" s="80">
        <v>2010</v>
      </c>
      <c r="B27" s="81">
        <f t="shared" si="2"/>
        <v>22971</v>
      </c>
      <c r="C27" s="82">
        <f t="shared" si="1"/>
        <v>22</v>
      </c>
      <c r="D27" s="69"/>
      <c r="E27" s="69"/>
      <c r="F27" s="69"/>
      <c r="G27" s="69"/>
      <c r="H27" s="69"/>
      <c r="I27" s="70">
        <f t="shared" si="0"/>
        <v>22971.42105263158</v>
      </c>
    </row>
    <row r="28" spans="1:12" ht="15" customHeight="1">
      <c r="A28" s="80">
        <v>2011</v>
      </c>
      <c r="B28" s="81">
        <f t="shared" si="2"/>
        <v>23557</v>
      </c>
      <c r="C28" s="82">
        <f t="shared" si="1"/>
        <v>23</v>
      </c>
      <c r="D28" s="69"/>
      <c r="E28" s="69"/>
      <c r="F28" s="69"/>
      <c r="G28" s="69"/>
      <c r="H28" s="69"/>
      <c r="I28" s="70">
        <f t="shared" si="0"/>
        <v>23556.894736842107</v>
      </c>
    </row>
    <row r="29" spans="1:12" ht="15" customHeight="1">
      <c r="A29" s="80">
        <v>2012</v>
      </c>
      <c r="B29" s="81">
        <f t="shared" si="2"/>
        <v>24142</v>
      </c>
      <c r="C29" s="82">
        <f t="shared" si="1"/>
        <v>24</v>
      </c>
      <c r="D29" s="69"/>
      <c r="E29" s="69"/>
      <c r="F29" s="69"/>
      <c r="G29" s="69"/>
      <c r="H29" s="69"/>
      <c r="I29" s="70">
        <f t="shared" si="0"/>
        <v>24142.368421052633</v>
      </c>
    </row>
    <row r="30" spans="1:12" ht="15" customHeight="1">
      <c r="A30" s="80">
        <v>2013</v>
      </c>
      <c r="B30" s="81">
        <f t="shared" si="2"/>
        <v>24728</v>
      </c>
      <c r="C30" s="82">
        <f t="shared" si="1"/>
        <v>25</v>
      </c>
      <c r="D30" s="69"/>
      <c r="E30" s="69"/>
      <c r="F30" s="69"/>
      <c r="G30" s="69"/>
      <c r="H30" s="69"/>
      <c r="I30" s="70">
        <f t="shared" si="0"/>
        <v>24727.84210526316</v>
      </c>
    </row>
    <row r="31" spans="1:12" ht="15" customHeight="1">
      <c r="A31" s="80">
        <v>2014</v>
      </c>
      <c r="B31" s="81">
        <f t="shared" si="2"/>
        <v>25313</v>
      </c>
      <c r="C31" s="82">
        <f t="shared" si="1"/>
        <v>26</v>
      </c>
      <c r="D31" s="69"/>
      <c r="E31" s="69"/>
      <c r="F31" s="69"/>
      <c r="G31" s="69"/>
      <c r="H31" s="69"/>
      <c r="I31" s="70">
        <f t="shared" si="0"/>
        <v>25313.315789473687</v>
      </c>
    </row>
    <row r="32" spans="1:12" ht="15" customHeight="1">
      <c r="A32" s="80">
        <v>2015</v>
      </c>
      <c r="B32" s="81">
        <f t="shared" si="2"/>
        <v>25899</v>
      </c>
      <c r="C32" s="82">
        <f t="shared" si="1"/>
        <v>27</v>
      </c>
      <c r="D32" s="69"/>
      <c r="E32" s="69"/>
      <c r="F32" s="69"/>
      <c r="G32" s="69"/>
      <c r="H32" s="69"/>
      <c r="I32" s="70">
        <f t="shared" si="0"/>
        <v>25898.789473684214</v>
      </c>
    </row>
    <row r="33" spans="1:9" ht="15" customHeight="1">
      <c r="A33" s="80">
        <v>2016</v>
      </c>
      <c r="B33" s="81">
        <f t="shared" si="2"/>
        <v>26484</v>
      </c>
      <c r="C33" s="82">
        <f t="shared" si="1"/>
        <v>28</v>
      </c>
      <c r="D33" s="69"/>
      <c r="E33" s="69"/>
      <c r="F33" s="69"/>
      <c r="G33" s="69"/>
      <c r="H33" s="69"/>
      <c r="I33" s="70">
        <f t="shared" si="0"/>
        <v>26484.263157894737</v>
      </c>
    </row>
    <row r="34" spans="1:9" ht="15" customHeight="1">
      <c r="A34" s="80">
        <v>2017</v>
      </c>
      <c r="B34" s="81">
        <f t="shared" si="2"/>
        <v>27070</v>
      </c>
      <c r="C34" s="82">
        <f t="shared" si="1"/>
        <v>29</v>
      </c>
      <c r="D34" s="69"/>
      <c r="E34" s="69"/>
      <c r="F34" s="69"/>
      <c r="G34" s="69"/>
      <c r="H34" s="69"/>
      <c r="I34" s="70">
        <f t="shared" si="0"/>
        <v>27069.736842105263</v>
      </c>
    </row>
    <row r="35" spans="1:9" ht="15" customHeight="1">
      <c r="A35" s="80">
        <v>2018</v>
      </c>
      <c r="B35" s="81">
        <f t="shared" si="2"/>
        <v>27655</v>
      </c>
      <c r="C35" s="82">
        <f t="shared" si="1"/>
        <v>30</v>
      </c>
      <c r="D35" s="69"/>
      <c r="E35" s="69"/>
      <c r="F35" s="69"/>
      <c r="G35" s="69"/>
      <c r="H35" s="69"/>
      <c r="I35" s="70">
        <f t="shared" si="0"/>
        <v>27655.21052631579</v>
      </c>
    </row>
    <row r="36" spans="1:9" ht="15" customHeight="1">
      <c r="A36" s="80">
        <v>2019</v>
      </c>
      <c r="B36" s="81">
        <f t="shared" si="2"/>
        <v>28241</v>
      </c>
      <c r="C36" s="82">
        <f t="shared" si="1"/>
        <v>31</v>
      </c>
      <c r="D36" s="69"/>
      <c r="E36" s="69"/>
      <c r="F36" s="69"/>
      <c r="G36" s="69"/>
      <c r="H36" s="69"/>
      <c r="I36" s="70">
        <f t="shared" si="0"/>
        <v>28240.684210526317</v>
      </c>
    </row>
    <row r="37" spans="1:9" ht="15" customHeight="1">
      <c r="A37" s="80">
        <v>2020</v>
      </c>
      <c r="B37" s="81">
        <f t="shared" si="2"/>
        <v>28826</v>
      </c>
      <c r="C37" s="82">
        <f t="shared" si="1"/>
        <v>32</v>
      </c>
      <c r="D37" s="69"/>
      <c r="E37" s="69"/>
      <c r="F37" s="69"/>
      <c r="G37" s="69"/>
      <c r="H37" s="69"/>
      <c r="I37" s="70">
        <f t="shared" si="0"/>
        <v>28826.157894736843</v>
      </c>
    </row>
    <row r="38" spans="1:9" ht="15" customHeight="1">
      <c r="A38" s="80">
        <v>2021</v>
      </c>
      <c r="B38" s="81">
        <f t="shared" si="2"/>
        <v>29412</v>
      </c>
      <c r="C38" s="82">
        <f t="shared" si="1"/>
        <v>33</v>
      </c>
      <c r="D38" s="69"/>
      <c r="E38" s="69"/>
      <c r="F38" s="69"/>
      <c r="G38" s="69"/>
      <c r="H38" s="69"/>
      <c r="I38" s="70">
        <f t="shared" si="0"/>
        <v>29411.63157894737</v>
      </c>
    </row>
    <row r="39" spans="1:9" ht="15" customHeight="1">
      <c r="A39" s="80">
        <v>2022</v>
      </c>
      <c r="B39" s="81">
        <f t="shared" si="2"/>
        <v>29997</v>
      </c>
      <c r="C39" s="82">
        <f t="shared" si="1"/>
        <v>34</v>
      </c>
      <c r="D39" s="69"/>
      <c r="E39" s="69"/>
      <c r="F39" s="69"/>
      <c r="G39" s="69"/>
      <c r="H39" s="69"/>
      <c r="I39" s="70">
        <f t="shared" si="0"/>
        <v>29997.105263157897</v>
      </c>
    </row>
    <row r="40" spans="1:9" ht="15" customHeight="1">
      <c r="A40" s="80">
        <v>2023</v>
      </c>
      <c r="B40" s="81">
        <f t="shared" si="2"/>
        <v>30583</v>
      </c>
      <c r="C40" s="82">
        <f t="shared" si="1"/>
        <v>35</v>
      </c>
      <c r="D40" s="69"/>
      <c r="E40" s="69"/>
      <c r="F40" s="69"/>
      <c r="G40" s="69"/>
      <c r="H40" s="69"/>
      <c r="I40" s="70">
        <f t="shared" si="0"/>
        <v>30582.578947368424</v>
      </c>
    </row>
    <row r="41" spans="1:9" ht="15" customHeight="1">
      <c r="A41" s="80">
        <v>2024</v>
      </c>
      <c r="B41" s="81">
        <f t="shared" si="2"/>
        <v>31168</v>
      </c>
      <c r="C41" s="67">
        <f t="shared" si="1"/>
        <v>36</v>
      </c>
      <c r="D41" s="83"/>
      <c r="E41" s="69"/>
      <c r="F41" s="69"/>
      <c r="G41" s="69"/>
      <c r="H41" s="84"/>
      <c r="I41" s="70">
        <f t="shared" si="0"/>
        <v>31168.05263157895</v>
      </c>
    </row>
    <row r="42" spans="1:9" ht="15" customHeight="1">
      <c r="A42" s="85">
        <v>2025</v>
      </c>
      <c r="B42" s="86">
        <f t="shared" si="2"/>
        <v>31754</v>
      </c>
      <c r="C42" s="87">
        <f t="shared" si="1"/>
        <v>37</v>
      </c>
      <c r="D42" s="88"/>
      <c r="E42" s="89"/>
      <c r="F42" s="89"/>
      <c r="G42" s="89"/>
      <c r="H42" s="90"/>
      <c r="I42" s="91">
        <f t="shared" si="0"/>
        <v>31753.526315789477</v>
      </c>
    </row>
    <row r="43" spans="1:9" ht="15" customHeight="1">
      <c r="A43" s="56" t="s">
        <v>78</v>
      </c>
      <c r="B43" s="92"/>
      <c r="I43" s="89"/>
    </row>
    <row r="44" spans="1:9" ht="15" customHeight="1">
      <c r="A44" s="58" t="s">
        <v>32</v>
      </c>
      <c r="B44" s="59" t="s">
        <v>40</v>
      </c>
      <c r="C44" s="59" t="s">
        <v>33</v>
      </c>
      <c r="D44" s="60"/>
      <c r="E44" s="60"/>
      <c r="F44" s="61"/>
      <c r="G44" s="62"/>
      <c r="H44" s="63" t="s">
        <v>104</v>
      </c>
      <c r="I44" s="64">
        <f>RSQ(I45:I65,B45:B65)</f>
        <v>0.90901228649151367</v>
      </c>
    </row>
    <row r="45" spans="1:9" ht="15" customHeight="1">
      <c r="A45" s="65">
        <f t="shared" ref="A45:B60" si="3">A5</f>
        <v>1988</v>
      </c>
      <c r="B45" s="93">
        <f t="shared" si="3"/>
        <v>10091</v>
      </c>
      <c r="C45" s="67">
        <v>0</v>
      </c>
      <c r="D45" s="53" t="s">
        <v>75</v>
      </c>
      <c r="E45" s="68">
        <f>INDEX(LINEST(B45:B64,C45:C64),1)</f>
        <v>806.75263157894733</v>
      </c>
      <c r="F45" s="69"/>
      <c r="G45" s="53"/>
      <c r="H45" s="69"/>
      <c r="I45" s="94">
        <f t="shared" ref="I45:I82" si="4">$E$45*C45+$E$46</f>
        <v>7078.3000000000011</v>
      </c>
    </row>
    <row r="46" spans="1:9" ht="15" customHeight="1">
      <c r="A46" s="65">
        <f t="shared" si="3"/>
        <v>1989</v>
      </c>
      <c r="B46" s="93">
        <f t="shared" si="3"/>
        <v>10204</v>
      </c>
      <c r="C46" s="67">
        <f t="shared" ref="C46:C82" si="5">C45+1</f>
        <v>1</v>
      </c>
      <c r="D46" s="53" t="s">
        <v>76</v>
      </c>
      <c r="E46" s="72">
        <f>INDEX(LINEST(B45:B64,C45:C64),2)</f>
        <v>7078.3000000000011</v>
      </c>
      <c r="F46" s="69"/>
      <c r="G46" s="53"/>
      <c r="H46" s="69"/>
      <c r="I46" s="70">
        <f t="shared" si="4"/>
        <v>7885.0526315789484</v>
      </c>
    </row>
    <row r="47" spans="1:9" ht="15" customHeight="1">
      <c r="A47" s="65">
        <f t="shared" si="3"/>
        <v>1990</v>
      </c>
      <c r="B47" s="93">
        <f t="shared" si="3"/>
        <v>9169</v>
      </c>
      <c r="C47" s="67">
        <f t="shared" si="5"/>
        <v>2</v>
      </c>
      <c r="D47" s="53" t="s">
        <v>77</v>
      </c>
      <c r="E47" s="73">
        <f>I44</f>
        <v>0.90901228649151367</v>
      </c>
      <c r="F47" s="69"/>
      <c r="G47" s="53"/>
      <c r="H47" s="69"/>
      <c r="I47" s="70">
        <f t="shared" si="4"/>
        <v>8691.8052631578958</v>
      </c>
    </row>
    <row r="48" spans="1:9" ht="15" customHeight="1">
      <c r="A48" s="65">
        <f t="shared" si="3"/>
        <v>1991</v>
      </c>
      <c r="B48" s="93">
        <f t="shared" si="3"/>
        <v>9282</v>
      </c>
      <c r="C48" s="67">
        <f t="shared" si="5"/>
        <v>3</v>
      </c>
      <c r="D48" s="53"/>
      <c r="E48" s="53"/>
      <c r="F48" s="69"/>
      <c r="G48" s="53"/>
      <c r="H48" s="69"/>
      <c r="I48" s="70">
        <f t="shared" si="4"/>
        <v>9498.5578947368431</v>
      </c>
    </row>
    <row r="49" spans="1:9" ht="15" customHeight="1">
      <c r="A49" s="65">
        <f t="shared" si="3"/>
        <v>1992</v>
      </c>
      <c r="B49" s="93">
        <f t="shared" si="3"/>
        <v>9168</v>
      </c>
      <c r="C49" s="67">
        <f t="shared" si="5"/>
        <v>4</v>
      </c>
      <c r="D49" s="53"/>
      <c r="E49" s="53"/>
      <c r="F49" s="69"/>
      <c r="G49" s="95"/>
      <c r="H49" s="69"/>
      <c r="I49" s="70">
        <f t="shared" si="4"/>
        <v>10305.31052631579</v>
      </c>
    </row>
    <row r="50" spans="1:9" ht="15" customHeight="1">
      <c r="A50" s="65">
        <f t="shared" si="3"/>
        <v>1993</v>
      </c>
      <c r="B50" s="93">
        <f t="shared" si="3"/>
        <v>9159</v>
      </c>
      <c r="C50" s="67">
        <f t="shared" si="5"/>
        <v>5</v>
      </c>
      <c r="D50" s="53"/>
      <c r="E50" s="53"/>
      <c r="F50" s="69"/>
      <c r="G50" s="53"/>
      <c r="H50" s="69"/>
      <c r="I50" s="70">
        <f t="shared" si="4"/>
        <v>11112.063157894738</v>
      </c>
    </row>
    <row r="51" spans="1:9" ht="15" customHeight="1">
      <c r="A51" s="65">
        <f t="shared" si="3"/>
        <v>1994</v>
      </c>
      <c r="B51" s="93">
        <f t="shared" si="3"/>
        <v>9336</v>
      </c>
      <c r="C51" s="67">
        <f t="shared" si="5"/>
        <v>6</v>
      </c>
      <c r="D51" s="53" t="s">
        <v>73</v>
      </c>
      <c r="E51" s="53"/>
      <c r="F51" s="69"/>
      <c r="G51" s="53"/>
      <c r="H51" s="69"/>
      <c r="I51" s="70">
        <f t="shared" si="4"/>
        <v>11918.815789473685</v>
      </c>
    </row>
    <row r="52" spans="1:9" ht="15" customHeight="1">
      <c r="A52" s="65">
        <f t="shared" si="3"/>
        <v>1995</v>
      </c>
      <c r="B52" s="93">
        <f t="shared" si="3"/>
        <v>11008</v>
      </c>
      <c r="C52" s="67">
        <f t="shared" si="5"/>
        <v>7</v>
      </c>
      <c r="D52" s="53"/>
      <c r="E52" s="53"/>
      <c r="F52" s="69"/>
      <c r="G52" s="53"/>
      <c r="H52" s="69"/>
      <c r="I52" s="70">
        <f t="shared" si="4"/>
        <v>12725.568421052632</v>
      </c>
    </row>
    <row r="53" spans="1:9" ht="15" customHeight="1">
      <c r="A53" s="65">
        <f t="shared" si="3"/>
        <v>1996</v>
      </c>
      <c r="B53" s="93">
        <f t="shared" si="3"/>
        <v>12272</v>
      </c>
      <c r="C53" s="67">
        <f t="shared" si="5"/>
        <v>8</v>
      </c>
      <c r="D53" s="53"/>
      <c r="E53" s="53"/>
      <c r="F53" s="69"/>
      <c r="G53" s="53"/>
      <c r="H53" s="69"/>
      <c r="I53" s="70">
        <f t="shared" si="4"/>
        <v>13532.32105263158</v>
      </c>
    </row>
    <row r="54" spans="1:9" ht="15" customHeight="1">
      <c r="A54" s="65">
        <f t="shared" si="3"/>
        <v>1997</v>
      </c>
      <c r="B54" s="93">
        <f t="shared" si="3"/>
        <v>13056</v>
      </c>
      <c r="C54" s="67">
        <f t="shared" si="5"/>
        <v>9</v>
      </c>
      <c r="D54" s="69"/>
      <c r="E54" s="69"/>
      <c r="F54" s="69"/>
      <c r="G54" s="53"/>
      <c r="H54" s="53"/>
      <c r="I54" s="70">
        <f t="shared" si="4"/>
        <v>14339.073684210527</v>
      </c>
    </row>
    <row r="55" spans="1:9" ht="15" customHeight="1">
      <c r="A55" s="65">
        <f t="shared" si="3"/>
        <v>1998</v>
      </c>
      <c r="B55" s="93">
        <f t="shared" si="3"/>
        <v>14417</v>
      </c>
      <c r="C55" s="67">
        <f t="shared" si="5"/>
        <v>10</v>
      </c>
      <c r="D55" s="69"/>
      <c r="E55" s="69"/>
      <c r="F55" s="69"/>
      <c r="G55" s="53"/>
      <c r="H55" s="53"/>
      <c r="I55" s="70">
        <f t="shared" si="4"/>
        <v>15145.826315789474</v>
      </c>
    </row>
    <row r="56" spans="1:9" ht="15" customHeight="1">
      <c r="A56" s="65">
        <f t="shared" si="3"/>
        <v>1999</v>
      </c>
      <c r="B56" s="93">
        <f t="shared" si="3"/>
        <v>15218</v>
      </c>
      <c r="C56" s="67">
        <f t="shared" si="5"/>
        <v>11</v>
      </c>
      <c r="D56" s="69"/>
      <c r="E56" s="69"/>
      <c r="F56" s="69"/>
      <c r="G56" s="53"/>
      <c r="H56" s="53"/>
      <c r="I56" s="70">
        <f t="shared" si="4"/>
        <v>15952.578947368422</v>
      </c>
    </row>
    <row r="57" spans="1:9" ht="15" customHeight="1">
      <c r="A57" s="65">
        <f t="shared" si="3"/>
        <v>2000</v>
      </c>
      <c r="B57" s="93">
        <f t="shared" si="3"/>
        <v>16870</v>
      </c>
      <c r="C57" s="67">
        <f t="shared" si="5"/>
        <v>12</v>
      </c>
      <c r="D57" s="69"/>
      <c r="E57" s="69"/>
      <c r="F57" s="69"/>
      <c r="G57" s="53"/>
      <c r="H57" s="53"/>
      <c r="I57" s="70">
        <f t="shared" si="4"/>
        <v>16759.331578947371</v>
      </c>
    </row>
    <row r="58" spans="1:9" ht="15" customHeight="1">
      <c r="A58" s="65">
        <f t="shared" si="3"/>
        <v>2001</v>
      </c>
      <c r="B58" s="93">
        <f t="shared" si="3"/>
        <v>19029</v>
      </c>
      <c r="C58" s="67">
        <f t="shared" si="5"/>
        <v>13</v>
      </c>
      <c r="D58" s="69"/>
      <c r="E58" s="96"/>
      <c r="F58" s="69"/>
      <c r="G58" s="53"/>
      <c r="H58" s="53"/>
      <c r="I58" s="70">
        <f t="shared" si="4"/>
        <v>17566.084210526315</v>
      </c>
    </row>
    <row r="59" spans="1:9" ht="15" customHeight="1">
      <c r="A59" s="65">
        <f t="shared" si="3"/>
        <v>2002</v>
      </c>
      <c r="B59" s="93">
        <f t="shared" si="3"/>
        <v>20963</v>
      </c>
      <c r="C59" s="67">
        <f t="shared" si="5"/>
        <v>14</v>
      </c>
      <c r="D59" s="69"/>
      <c r="E59" s="69"/>
      <c r="F59" s="69"/>
      <c r="G59" s="53"/>
      <c r="H59" s="53"/>
      <c r="I59" s="70">
        <f t="shared" si="4"/>
        <v>18372.836842105266</v>
      </c>
    </row>
    <row r="60" spans="1:9" ht="15" customHeight="1">
      <c r="A60" s="65">
        <f t="shared" si="3"/>
        <v>2003</v>
      </c>
      <c r="B60" s="93">
        <f t="shared" si="3"/>
        <v>21131</v>
      </c>
      <c r="C60" s="67">
        <f t="shared" si="5"/>
        <v>15</v>
      </c>
      <c r="D60" s="69"/>
      <c r="E60" s="69"/>
      <c r="F60" s="69"/>
      <c r="G60" s="53"/>
      <c r="H60" s="53"/>
      <c r="I60" s="70">
        <f t="shared" si="4"/>
        <v>19179.589473684209</v>
      </c>
    </row>
    <row r="61" spans="1:9" ht="15" customHeight="1">
      <c r="A61" s="65">
        <f t="shared" ref="A61:B65" si="6">A21</f>
        <v>2004</v>
      </c>
      <c r="B61" s="93">
        <f t="shared" si="6"/>
        <v>21241</v>
      </c>
      <c r="C61" s="67">
        <f t="shared" si="5"/>
        <v>16</v>
      </c>
      <c r="D61" s="69"/>
      <c r="E61" s="69"/>
      <c r="F61" s="69"/>
      <c r="G61" s="53"/>
      <c r="H61" s="53"/>
      <c r="I61" s="70">
        <f t="shared" si="4"/>
        <v>19986.34210526316</v>
      </c>
    </row>
    <row r="62" spans="1:9" ht="15" customHeight="1">
      <c r="A62" s="65">
        <f t="shared" si="6"/>
        <v>2005</v>
      </c>
      <c r="B62" s="93">
        <f t="shared" si="6"/>
        <v>21184</v>
      </c>
      <c r="C62" s="67">
        <f t="shared" si="5"/>
        <v>17</v>
      </c>
      <c r="D62" s="69"/>
      <c r="E62" s="69"/>
      <c r="F62" s="69"/>
      <c r="G62" s="53"/>
      <c r="H62" s="53"/>
      <c r="I62" s="70">
        <f t="shared" si="4"/>
        <v>20793.094736842104</v>
      </c>
    </row>
    <row r="63" spans="1:9" ht="15" customHeight="1">
      <c r="A63" s="65">
        <f t="shared" si="6"/>
        <v>2006</v>
      </c>
      <c r="B63" s="93">
        <f t="shared" si="6"/>
        <v>20836</v>
      </c>
      <c r="C63" s="67">
        <f t="shared" si="5"/>
        <v>18</v>
      </c>
      <c r="D63" s="69"/>
      <c r="E63" s="69"/>
      <c r="F63" s="69"/>
      <c r="G63" s="53"/>
      <c r="H63" s="53"/>
      <c r="I63" s="70">
        <f t="shared" si="4"/>
        <v>21599.847368421055</v>
      </c>
    </row>
    <row r="64" spans="1:9" ht="15" customHeight="1" thickBot="1">
      <c r="A64" s="97">
        <f t="shared" si="6"/>
        <v>2007</v>
      </c>
      <c r="B64" s="98">
        <f t="shared" si="6"/>
        <v>21215</v>
      </c>
      <c r="C64" s="99">
        <f t="shared" si="5"/>
        <v>19</v>
      </c>
      <c r="D64" s="100"/>
      <c r="E64" s="100"/>
      <c r="F64" s="100"/>
      <c r="G64" s="101"/>
      <c r="H64" s="101"/>
      <c r="I64" s="102">
        <f t="shared" si="4"/>
        <v>22406.6</v>
      </c>
    </row>
    <row r="65" spans="1:9" ht="15" customHeight="1" thickTop="1">
      <c r="A65" s="255">
        <f t="shared" si="6"/>
        <v>2008</v>
      </c>
      <c r="B65" s="81">
        <f t="shared" ref="B65:B82" si="7">ROUND(E$45*C65+E$46,0)</f>
        <v>23213</v>
      </c>
      <c r="C65" s="77">
        <f t="shared" si="5"/>
        <v>20</v>
      </c>
      <c r="D65" s="78"/>
      <c r="E65" s="78"/>
      <c r="F65" s="78"/>
      <c r="G65" s="256"/>
      <c r="H65" s="256"/>
      <c r="I65" s="79">
        <f t="shared" si="4"/>
        <v>23213.35263157895</v>
      </c>
    </row>
    <row r="66" spans="1:9" ht="15" customHeight="1">
      <c r="A66" s="80">
        <v>2009</v>
      </c>
      <c r="B66" s="81">
        <f t="shared" si="7"/>
        <v>24020</v>
      </c>
      <c r="C66" s="82">
        <f t="shared" si="5"/>
        <v>21</v>
      </c>
      <c r="D66" s="69"/>
      <c r="E66" s="69"/>
      <c r="F66" s="69"/>
      <c r="G66" s="69"/>
      <c r="H66" s="69"/>
      <c r="I66" s="70">
        <f t="shared" si="4"/>
        <v>24020.105263157893</v>
      </c>
    </row>
    <row r="67" spans="1:9" ht="15" customHeight="1">
      <c r="A67" s="80">
        <v>2010</v>
      </c>
      <c r="B67" s="81">
        <f t="shared" si="7"/>
        <v>24827</v>
      </c>
      <c r="C67" s="82">
        <f t="shared" si="5"/>
        <v>22</v>
      </c>
      <c r="D67" s="69"/>
      <c r="E67" s="69"/>
      <c r="F67" s="69"/>
      <c r="G67" s="69"/>
      <c r="H67" s="69"/>
      <c r="I67" s="70">
        <f t="shared" si="4"/>
        <v>24826.857894736844</v>
      </c>
    </row>
    <row r="68" spans="1:9" ht="15" customHeight="1">
      <c r="A68" s="80">
        <v>2011</v>
      </c>
      <c r="B68" s="81">
        <f t="shared" si="7"/>
        <v>25634</v>
      </c>
      <c r="C68" s="82">
        <f t="shared" si="5"/>
        <v>23</v>
      </c>
      <c r="D68" s="69"/>
      <c r="E68" s="69"/>
      <c r="F68" s="69"/>
      <c r="G68" s="69"/>
      <c r="H68" s="69"/>
      <c r="I68" s="70">
        <f t="shared" si="4"/>
        <v>25633.610526315788</v>
      </c>
    </row>
    <row r="69" spans="1:9" ht="15" customHeight="1">
      <c r="A69" s="80">
        <v>2012</v>
      </c>
      <c r="B69" s="81">
        <f t="shared" si="7"/>
        <v>26440</v>
      </c>
      <c r="C69" s="82">
        <f t="shared" si="5"/>
        <v>24</v>
      </c>
      <c r="D69" s="69"/>
      <c r="E69" s="69"/>
      <c r="F69" s="69"/>
      <c r="G69" s="69"/>
      <c r="H69" s="69"/>
      <c r="I69" s="70">
        <f t="shared" si="4"/>
        <v>26440.363157894739</v>
      </c>
    </row>
    <row r="70" spans="1:9" ht="15" customHeight="1">
      <c r="A70" s="80">
        <v>2013</v>
      </c>
      <c r="B70" s="81">
        <f t="shared" si="7"/>
        <v>27247</v>
      </c>
      <c r="C70" s="82">
        <f t="shared" si="5"/>
        <v>25</v>
      </c>
      <c r="D70" s="69"/>
      <c r="E70" s="69"/>
      <c r="F70" s="69"/>
      <c r="G70" s="69"/>
      <c r="H70" s="69"/>
      <c r="I70" s="70">
        <f t="shared" si="4"/>
        <v>27247.115789473683</v>
      </c>
    </row>
    <row r="71" spans="1:9" ht="15" customHeight="1">
      <c r="A71" s="80">
        <v>2014</v>
      </c>
      <c r="B71" s="81">
        <f t="shared" si="7"/>
        <v>28054</v>
      </c>
      <c r="C71" s="82">
        <f t="shared" si="5"/>
        <v>26</v>
      </c>
      <c r="D71" s="69"/>
      <c r="E71" s="69"/>
      <c r="F71" s="69"/>
      <c r="G71" s="69"/>
      <c r="H71" s="69"/>
      <c r="I71" s="70">
        <f t="shared" si="4"/>
        <v>28053.868421052633</v>
      </c>
    </row>
    <row r="72" spans="1:9" ht="15" customHeight="1">
      <c r="A72" s="80">
        <v>2015</v>
      </c>
      <c r="B72" s="81">
        <f t="shared" si="7"/>
        <v>28861</v>
      </c>
      <c r="C72" s="82">
        <f t="shared" si="5"/>
        <v>27</v>
      </c>
      <c r="D72" s="69"/>
      <c r="E72" s="69"/>
      <c r="F72" s="69"/>
      <c r="G72" s="69"/>
      <c r="H72" s="69"/>
      <c r="I72" s="70">
        <f t="shared" si="4"/>
        <v>28860.621052631577</v>
      </c>
    </row>
    <row r="73" spans="1:9" ht="15" customHeight="1">
      <c r="A73" s="80">
        <v>2016</v>
      </c>
      <c r="B73" s="81">
        <f t="shared" si="7"/>
        <v>29667</v>
      </c>
      <c r="C73" s="82">
        <f t="shared" si="5"/>
        <v>28</v>
      </c>
      <c r="D73" s="69"/>
      <c r="E73" s="69"/>
      <c r="F73" s="69"/>
      <c r="G73" s="69"/>
      <c r="H73" s="69"/>
      <c r="I73" s="70">
        <f t="shared" si="4"/>
        <v>29667.373684210528</v>
      </c>
    </row>
    <row r="74" spans="1:9" ht="15" customHeight="1">
      <c r="A74" s="80">
        <v>2017</v>
      </c>
      <c r="B74" s="81">
        <f t="shared" si="7"/>
        <v>30474</v>
      </c>
      <c r="C74" s="82">
        <f t="shared" si="5"/>
        <v>29</v>
      </c>
      <c r="D74" s="69"/>
      <c r="E74" s="69"/>
      <c r="F74" s="69"/>
      <c r="G74" s="69"/>
      <c r="H74" s="69"/>
      <c r="I74" s="70">
        <f t="shared" si="4"/>
        <v>30474.126315789472</v>
      </c>
    </row>
    <row r="75" spans="1:9" ht="15" customHeight="1">
      <c r="A75" s="80">
        <v>2018</v>
      </c>
      <c r="B75" s="81">
        <f t="shared" si="7"/>
        <v>31281</v>
      </c>
      <c r="C75" s="82">
        <f t="shared" si="5"/>
        <v>30</v>
      </c>
      <c r="D75" s="69"/>
      <c r="E75" s="69"/>
      <c r="F75" s="69"/>
      <c r="G75" s="69"/>
      <c r="H75" s="69"/>
      <c r="I75" s="70">
        <f t="shared" si="4"/>
        <v>31280.878947368423</v>
      </c>
    </row>
    <row r="76" spans="1:9" ht="15" customHeight="1">
      <c r="A76" s="80">
        <v>2019</v>
      </c>
      <c r="B76" s="81">
        <f t="shared" si="7"/>
        <v>32088</v>
      </c>
      <c r="C76" s="82">
        <f t="shared" si="5"/>
        <v>31</v>
      </c>
      <c r="D76" s="69"/>
      <c r="E76" s="69"/>
      <c r="F76" s="69"/>
      <c r="G76" s="69"/>
      <c r="H76" s="69"/>
      <c r="I76" s="70">
        <f t="shared" si="4"/>
        <v>32087.631578947367</v>
      </c>
    </row>
    <row r="77" spans="1:9" ht="15" customHeight="1">
      <c r="A77" s="80">
        <v>2020</v>
      </c>
      <c r="B77" s="81">
        <f t="shared" si="7"/>
        <v>32894</v>
      </c>
      <c r="C77" s="82">
        <f t="shared" si="5"/>
        <v>32</v>
      </c>
      <c r="D77" s="69"/>
      <c r="E77" s="69"/>
      <c r="F77" s="69"/>
      <c r="G77" s="69"/>
      <c r="H77" s="69"/>
      <c r="I77" s="70">
        <f t="shared" si="4"/>
        <v>32894.384210526317</v>
      </c>
    </row>
    <row r="78" spans="1:9" ht="15" customHeight="1">
      <c r="A78" s="80">
        <v>2021</v>
      </c>
      <c r="B78" s="81">
        <f t="shared" si="7"/>
        <v>33701</v>
      </c>
      <c r="C78" s="82">
        <f t="shared" si="5"/>
        <v>33</v>
      </c>
      <c r="D78" s="69"/>
      <c r="E78" s="69"/>
      <c r="F78" s="69"/>
      <c r="G78" s="69"/>
      <c r="H78" s="69"/>
      <c r="I78" s="70">
        <f t="shared" si="4"/>
        <v>33701.136842105261</v>
      </c>
    </row>
    <row r="79" spans="1:9" ht="15" customHeight="1">
      <c r="A79" s="80">
        <v>2022</v>
      </c>
      <c r="B79" s="81">
        <f t="shared" si="7"/>
        <v>34508</v>
      </c>
      <c r="C79" s="82">
        <f t="shared" si="5"/>
        <v>34</v>
      </c>
      <c r="D79" s="69"/>
      <c r="E79" s="69"/>
      <c r="F79" s="69"/>
      <c r="G79" s="69"/>
      <c r="H79" s="69"/>
      <c r="I79" s="70">
        <f t="shared" si="4"/>
        <v>34507.889473684212</v>
      </c>
    </row>
    <row r="80" spans="1:9" ht="15" customHeight="1">
      <c r="A80" s="80">
        <v>2023</v>
      </c>
      <c r="B80" s="81">
        <f t="shared" si="7"/>
        <v>35315</v>
      </c>
      <c r="C80" s="82">
        <f t="shared" si="5"/>
        <v>35</v>
      </c>
      <c r="D80" s="69"/>
      <c r="E80" s="69"/>
      <c r="F80" s="69"/>
      <c r="G80" s="69"/>
      <c r="H80" s="69"/>
      <c r="I80" s="70">
        <f t="shared" si="4"/>
        <v>35314.642105263156</v>
      </c>
    </row>
    <row r="81" spans="1:11" ht="15" customHeight="1">
      <c r="A81" s="80">
        <v>2024</v>
      </c>
      <c r="B81" s="81">
        <f t="shared" si="7"/>
        <v>36121</v>
      </c>
      <c r="C81" s="67">
        <f t="shared" si="5"/>
        <v>36</v>
      </c>
      <c r="D81" s="69"/>
      <c r="E81" s="69"/>
      <c r="F81" s="69"/>
      <c r="G81" s="69"/>
      <c r="H81" s="69"/>
      <c r="I81" s="70">
        <f t="shared" si="4"/>
        <v>36121.394736842107</v>
      </c>
    </row>
    <row r="82" spans="1:11" ht="15" customHeight="1">
      <c r="A82" s="85">
        <v>2025</v>
      </c>
      <c r="B82" s="86">
        <f t="shared" si="7"/>
        <v>36928</v>
      </c>
      <c r="C82" s="87">
        <f t="shared" si="5"/>
        <v>37</v>
      </c>
      <c r="D82" s="89"/>
      <c r="E82" s="89"/>
      <c r="F82" s="89"/>
      <c r="G82" s="89"/>
      <c r="H82" s="89"/>
      <c r="I82" s="91">
        <f t="shared" si="4"/>
        <v>36928.14736842105</v>
      </c>
    </row>
    <row r="83" spans="1:11" ht="15" customHeight="1">
      <c r="A83" s="56" t="s">
        <v>79</v>
      </c>
      <c r="B83" s="57"/>
    </row>
    <row r="84" spans="1:11" ht="15" customHeight="1">
      <c r="A84" s="58" t="s">
        <v>32</v>
      </c>
      <c r="B84" s="59" t="s">
        <v>40</v>
      </c>
      <c r="C84" s="59" t="s">
        <v>34</v>
      </c>
      <c r="D84" s="59" t="s">
        <v>33</v>
      </c>
      <c r="E84" s="103"/>
      <c r="F84" s="60"/>
      <c r="G84" s="61"/>
      <c r="H84" s="63" t="s">
        <v>104</v>
      </c>
      <c r="I84" s="64">
        <f>RSQ(I85:I105,B85:B105)</f>
        <v>0.90788524209221566</v>
      </c>
    </row>
    <row r="85" spans="1:11" ht="15" customHeight="1">
      <c r="A85" s="65">
        <f t="shared" ref="A85:B100" si="8">A5</f>
        <v>1988</v>
      </c>
      <c r="B85" s="104">
        <f t="shared" si="8"/>
        <v>10091</v>
      </c>
      <c r="C85" s="105">
        <f t="shared" ref="C85:C122" si="9">LN(B85)</f>
        <v>9.2193992164645291</v>
      </c>
      <c r="D85" s="67">
        <v>0</v>
      </c>
      <c r="E85" s="106" t="s">
        <v>37</v>
      </c>
      <c r="F85" s="73">
        <f>ROUND((B104/B85)^(1/D104)-1,5)</f>
        <v>3.9879999999999999E-2</v>
      </c>
      <c r="G85" s="107"/>
      <c r="H85" s="108"/>
      <c r="I85" s="109">
        <f t="shared" ref="I85:I122" si="10">ROUND($F$86*(1+$F$85)^(D85),1)</f>
        <v>10091</v>
      </c>
    </row>
    <row r="86" spans="1:11" ht="15" customHeight="1">
      <c r="A86" s="65">
        <f t="shared" si="8"/>
        <v>1989</v>
      </c>
      <c r="B86" s="104">
        <f t="shared" si="8"/>
        <v>10204</v>
      </c>
      <c r="C86" s="105">
        <f t="shared" si="9"/>
        <v>9.2305350792617027</v>
      </c>
      <c r="D86" s="67">
        <f t="shared" ref="D86:D122" si="11">D85+1</f>
        <v>1</v>
      </c>
      <c r="E86" s="106" t="s">
        <v>80</v>
      </c>
      <c r="F86" s="110">
        <f>B85</f>
        <v>10091</v>
      </c>
      <c r="G86" s="107"/>
      <c r="H86" s="108"/>
      <c r="I86" s="109">
        <f t="shared" si="10"/>
        <v>10493.4</v>
      </c>
      <c r="K86" s="111"/>
    </row>
    <row r="87" spans="1:11" ht="15" customHeight="1">
      <c r="A87" s="65">
        <f t="shared" si="8"/>
        <v>1990</v>
      </c>
      <c r="B87" s="104">
        <f t="shared" si="8"/>
        <v>9169</v>
      </c>
      <c r="C87" s="105">
        <f t="shared" si="9"/>
        <v>9.1235835080499008</v>
      </c>
      <c r="D87" s="67">
        <f t="shared" si="11"/>
        <v>2</v>
      </c>
      <c r="E87" s="106" t="s">
        <v>77</v>
      </c>
      <c r="F87" s="73">
        <f>I84</f>
        <v>0.90788524209221566</v>
      </c>
      <c r="G87" s="108"/>
      <c r="H87" s="108"/>
      <c r="I87" s="109">
        <f t="shared" si="10"/>
        <v>10911.9</v>
      </c>
    </row>
    <row r="88" spans="1:11" ht="15" customHeight="1">
      <c r="A88" s="65">
        <f t="shared" si="8"/>
        <v>1991</v>
      </c>
      <c r="B88" s="104">
        <f t="shared" si="8"/>
        <v>9282</v>
      </c>
      <c r="C88" s="105">
        <f t="shared" si="9"/>
        <v>9.1358323198011213</v>
      </c>
      <c r="D88" s="67">
        <f t="shared" si="11"/>
        <v>3</v>
      </c>
      <c r="E88" s="106"/>
      <c r="F88" s="73"/>
      <c r="G88" s="108"/>
      <c r="H88" s="108"/>
      <c r="I88" s="109">
        <f t="shared" si="10"/>
        <v>11347.1</v>
      </c>
    </row>
    <row r="89" spans="1:11" ht="15" customHeight="1">
      <c r="A89" s="65">
        <f t="shared" si="8"/>
        <v>1992</v>
      </c>
      <c r="B89" s="104">
        <f t="shared" si="8"/>
        <v>9168</v>
      </c>
      <c r="C89" s="105">
        <f t="shared" si="9"/>
        <v>9.1234744389545206</v>
      </c>
      <c r="D89" s="67">
        <f t="shared" si="11"/>
        <v>4</v>
      </c>
      <c r="E89" s="106" t="s">
        <v>81</v>
      </c>
      <c r="F89" s="72"/>
      <c r="G89" s="108"/>
      <c r="H89" s="108"/>
      <c r="I89" s="109">
        <f t="shared" si="10"/>
        <v>11799.6</v>
      </c>
    </row>
    <row r="90" spans="1:11" ht="15" customHeight="1">
      <c r="A90" s="65">
        <f t="shared" si="8"/>
        <v>1993</v>
      </c>
      <c r="B90" s="104">
        <f t="shared" si="8"/>
        <v>9159</v>
      </c>
      <c r="C90" s="105">
        <f t="shared" si="9"/>
        <v>9.1224922814029874</v>
      </c>
      <c r="D90" s="67">
        <f t="shared" si="11"/>
        <v>5</v>
      </c>
      <c r="E90" s="112"/>
      <c r="F90" s="113"/>
      <c r="G90" s="108"/>
      <c r="H90" s="108"/>
      <c r="I90" s="109">
        <f t="shared" si="10"/>
        <v>12270.2</v>
      </c>
    </row>
    <row r="91" spans="1:11" ht="15" customHeight="1">
      <c r="A91" s="65">
        <f t="shared" si="8"/>
        <v>1994</v>
      </c>
      <c r="B91" s="104">
        <f t="shared" si="8"/>
        <v>9336</v>
      </c>
      <c r="C91" s="105">
        <f t="shared" si="9"/>
        <v>9.1416331739663921</v>
      </c>
      <c r="D91" s="67">
        <f t="shared" si="11"/>
        <v>6</v>
      </c>
      <c r="E91" s="114"/>
      <c r="F91" s="113"/>
      <c r="G91" s="108"/>
      <c r="H91" s="108"/>
      <c r="I91" s="109">
        <f t="shared" si="10"/>
        <v>12759.5</v>
      </c>
    </row>
    <row r="92" spans="1:11" ht="15" customHeight="1">
      <c r="A92" s="65">
        <f t="shared" si="8"/>
        <v>1995</v>
      </c>
      <c r="B92" s="104">
        <f t="shared" si="8"/>
        <v>11008</v>
      </c>
      <c r="C92" s="105">
        <f t="shared" si="9"/>
        <v>9.3063775601731251</v>
      </c>
      <c r="D92" s="67">
        <f t="shared" si="11"/>
        <v>7</v>
      </c>
      <c r="E92" s="114"/>
      <c r="F92" s="113"/>
      <c r="G92" s="108"/>
      <c r="H92" s="108"/>
      <c r="I92" s="109">
        <f t="shared" si="10"/>
        <v>13268.3</v>
      </c>
    </row>
    <row r="93" spans="1:11" ht="15" customHeight="1">
      <c r="A93" s="65">
        <f t="shared" si="8"/>
        <v>1996</v>
      </c>
      <c r="B93" s="104">
        <f t="shared" si="8"/>
        <v>12272</v>
      </c>
      <c r="C93" s="105">
        <f t="shared" si="9"/>
        <v>9.4150755236070367</v>
      </c>
      <c r="D93" s="67">
        <f t="shared" si="11"/>
        <v>8</v>
      </c>
      <c r="E93" s="108"/>
      <c r="F93" s="108"/>
      <c r="G93" s="115"/>
      <c r="H93" s="108"/>
      <c r="I93" s="109">
        <f t="shared" si="10"/>
        <v>13797.5</v>
      </c>
    </row>
    <row r="94" spans="1:11" ht="15" customHeight="1">
      <c r="A94" s="65">
        <f t="shared" si="8"/>
        <v>1997</v>
      </c>
      <c r="B94" s="104">
        <f t="shared" si="8"/>
        <v>13056</v>
      </c>
      <c r="C94" s="105">
        <f t="shared" si="9"/>
        <v>9.4770030772038876</v>
      </c>
      <c r="D94" s="67">
        <f t="shared" si="11"/>
        <v>9</v>
      </c>
      <c r="E94" s="108"/>
      <c r="F94" s="108"/>
      <c r="G94" s="115"/>
      <c r="H94" s="108"/>
      <c r="I94" s="109">
        <f t="shared" si="10"/>
        <v>14347.7</v>
      </c>
    </row>
    <row r="95" spans="1:11" ht="15" customHeight="1">
      <c r="A95" s="65">
        <f t="shared" si="8"/>
        <v>1998</v>
      </c>
      <c r="B95" s="104">
        <f t="shared" si="8"/>
        <v>14417</v>
      </c>
      <c r="C95" s="105">
        <f t="shared" si="9"/>
        <v>9.5761633448119046</v>
      </c>
      <c r="D95" s="67">
        <f t="shared" si="11"/>
        <v>10</v>
      </c>
      <c r="E95" s="108"/>
      <c r="F95" s="108"/>
      <c r="G95" s="115"/>
      <c r="H95" s="108"/>
      <c r="I95" s="109">
        <f t="shared" si="10"/>
        <v>14919.9</v>
      </c>
    </row>
    <row r="96" spans="1:11" ht="15" customHeight="1">
      <c r="A96" s="65">
        <f t="shared" si="8"/>
        <v>1999</v>
      </c>
      <c r="B96" s="104">
        <f t="shared" si="8"/>
        <v>15218</v>
      </c>
      <c r="C96" s="105">
        <f t="shared" si="9"/>
        <v>9.6302342167364685</v>
      </c>
      <c r="D96" s="67">
        <f t="shared" si="11"/>
        <v>11</v>
      </c>
      <c r="E96" s="108"/>
      <c r="F96" s="108"/>
      <c r="G96" s="115"/>
      <c r="H96" s="108"/>
      <c r="I96" s="109">
        <f t="shared" si="10"/>
        <v>15514.9</v>
      </c>
    </row>
    <row r="97" spans="1:9" ht="15" customHeight="1">
      <c r="A97" s="65">
        <f t="shared" si="8"/>
        <v>2000</v>
      </c>
      <c r="B97" s="104">
        <f t="shared" si="8"/>
        <v>16870</v>
      </c>
      <c r="C97" s="105">
        <f t="shared" si="9"/>
        <v>9.7332921755400132</v>
      </c>
      <c r="D97" s="67">
        <f t="shared" si="11"/>
        <v>12</v>
      </c>
      <c r="E97" s="108"/>
      <c r="F97" s="108"/>
      <c r="G97" s="115"/>
      <c r="H97" s="108"/>
      <c r="I97" s="109">
        <f t="shared" si="10"/>
        <v>16133.7</v>
      </c>
    </row>
    <row r="98" spans="1:9" ht="15" customHeight="1">
      <c r="A98" s="65">
        <f t="shared" si="8"/>
        <v>2001</v>
      </c>
      <c r="B98" s="104">
        <f t="shared" si="8"/>
        <v>19029</v>
      </c>
      <c r="C98" s="105">
        <f t="shared" si="9"/>
        <v>9.8537194103020074</v>
      </c>
      <c r="D98" s="67">
        <f t="shared" si="11"/>
        <v>13</v>
      </c>
      <c r="E98" s="108"/>
      <c r="F98" s="108"/>
      <c r="G98" s="115"/>
      <c r="H98" s="108"/>
      <c r="I98" s="109">
        <f t="shared" si="10"/>
        <v>16777.099999999999</v>
      </c>
    </row>
    <row r="99" spans="1:9" ht="15" customHeight="1">
      <c r="A99" s="65">
        <f t="shared" si="8"/>
        <v>2002</v>
      </c>
      <c r="B99" s="104">
        <f t="shared" si="8"/>
        <v>20963</v>
      </c>
      <c r="C99" s="105">
        <f t="shared" si="9"/>
        <v>9.9505142579638832</v>
      </c>
      <c r="D99" s="67">
        <f t="shared" si="11"/>
        <v>14</v>
      </c>
      <c r="E99" s="108"/>
      <c r="F99" s="108"/>
      <c r="G99" s="115"/>
      <c r="H99" s="108"/>
      <c r="I99" s="109">
        <f t="shared" si="10"/>
        <v>17446.099999999999</v>
      </c>
    </row>
    <row r="100" spans="1:9" ht="15" customHeight="1">
      <c r="A100" s="65">
        <f t="shared" si="8"/>
        <v>2003</v>
      </c>
      <c r="B100" s="104">
        <f t="shared" si="8"/>
        <v>21131</v>
      </c>
      <c r="C100" s="105">
        <f t="shared" si="9"/>
        <v>9.9584964355669268</v>
      </c>
      <c r="D100" s="67">
        <f t="shared" si="11"/>
        <v>15</v>
      </c>
      <c r="E100" s="108"/>
      <c r="F100" s="108"/>
      <c r="G100" s="115"/>
      <c r="H100" s="108"/>
      <c r="I100" s="109">
        <f t="shared" si="10"/>
        <v>18141.900000000001</v>
      </c>
    </row>
    <row r="101" spans="1:9" ht="15" customHeight="1">
      <c r="A101" s="65">
        <f t="shared" ref="A101:B105" si="12">A21</f>
        <v>2004</v>
      </c>
      <c r="B101" s="104">
        <f t="shared" si="12"/>
        <v>21241</v>
      </c>
      <c r="C101" s="105">
        <f t="shared" si="9"/>
        <v>9.9636885552268843</v>
      </c>
      <c r="D101" s="67">
        <f t="shared" si="11"/>
        <v>16</v>
      </c>
      <c r="E101" s="108"/>
      <c r="F101" s="108"/>
      <c r="G101" s="115"/>
      <c r="H101" s="108"/>
      <c r="I101" s="109">
        <f t="shared" si="10"/>
        <v>18865.400000000001</v>
      </c>
    </row>
    <row r="102" spans="1:9" ht="15" customHeight="1">
      <c r="A102" s="65">
        <f t="shared" si="12"/>
        <v>2005</v>
      </c>
      <c r="B102" s="104">
        <f t="shared" si="12"/>
        <v>21184</v>
      </c>
      <c r="C102" s="105">
        <f t="shared" si="9"/>
        <v>9.9610014587367353</v>
      </c>
      <c r="D102" s="67">
        <f t="shared" si="11"/>
        <v>17</v>
      </c>
      <c r="E102" s="108"/>
      <c r="F102" s="108"/>
      <c r="G102" s="115"/>
      <c r="H102" s="108"/>
      <c r="I102" s="109">
        <f t="shared" si="10"/>
        <v>19617.7</v>
      </c>
    </row>
    <row r="103" spans="1:9" ht="15" customHeight="1">
      <c r="A103" s="65">
        <f t="shared" si="12"/>
        <v>2006</v>
      </c>
      <c r="B103" s="104">
        <f t="shared" si="12"/>
        <v>20836</v>
      </c>
      <c r="C103" s="105">
        <f t="shared" si="9"/>
        <v>9.944437538865083</v>
      </c>
      <c r="D103" s="67">
        <f t="shared" si="11"/>
        <v>18</v>
      </c>
      <c r="E103" s="108"/>
      <c r="F103" s="108"/>
      <c r="G103" s="115"/>
      <c r="H103" s="108"/>
      <c r="I103" s="109">
        <f t="shared" si="10"/>
        <v>20400.099999999999</v>
      </c>
    </row>
    <row r="104" spans="1:9" ht="15" customHeight="1" thickBot="1">
      <c r="A104" s="65">
        <f t="shared" si="12"/>
        <v>2007</v>
      </c>
      <c r="B104" s="104">
        <f t="shared" si="12"/>
        <v>21215</v>
      </c>
      <c r="C104" s="105">
        <f t="shared" si="9"/>
        <v>9.9624637576364261</v>
      </c>
      <c r="D104" s="67">
        <f t="shared" si="11"/>
        <v>19</v>
      </c>
      <c r="E104" s="108"/>
      <c r="F104" s="108"/>
      <c r="G104" s="115"/>
      <c r="H104" s="108"/>
      <c r="I104" s="109">
        <f t="shared" si="10"/>
        <v>21213.7</v>
      </c>
    </row>
    <row r="105" spans="1:9" ht="15" customHeight="1" thickTop="1">
      <c r="A105" s="255">
        <f t="shared" si="12"/>
        <v>2008</v>
      </c>
      <c r="B105" s="76">
        <f t="shared" ref="B105:B122" si="13">ROUND(F$86*(1+F$85)^D105,0)</f>
        <v>22060</v>
      </c>
      <c r="C105" s="121">
        <f t="shared" si="9"/>
        <v>10.001521292807494</v>
      </c>
      <c r="D105" s="77">
        <f t="shared" si="11"/>
        <v>20</v>
      </c>
      <c r="E105" s="259"/>
      <c r="F105" s="259"/>
      <c r="G105" s="260"/>
      <c r="H105" s="259"/>
      <c r="I105" s="123">
        <f t="shared" si="10"/>
        <v>22059.7</v>
      </c>
    </row>
    <row r="106" spans="1:9" ht="15" customHeight="1">
      <c r="A106" s="80">
        <v>2009</v>
      </c>
      <c r="B106" s="81">
        <f t="shared" si="13"/>
        <v>22939</v>
      </c>
      <c r="C106" s="105">
        <f t="shared" si="9"/>
        <v>10.040593797754127</v>
      </c>
      <c r="D106" s="67">
        <f t="shared" si="11"/>
        <v>21</v>
      </c>
      <c r="E106" s="83"/>
      <c r="F106" s="69"/>
      <c r="G106" s="69"/>
      <c r="H106" s="69"/>
      <c r="I106" s="109">
        <f t="shared" si="10"/>
        <v>22939.4</v>
      </c>
    </row>
    <row r="107" spans="1:9" ht="15" customHeight="1">
      <c r="A107" s="80">
        <v>2010</v>
      </c>
      <c r="B107" s="81">
        <f t="shared" si="13"/>
        <v>23854</v>
      </c>
      <c r="C107" s="105">
        <f t="shared" si="9"/>
        <v>10.079707197138614</v>
      </c>
      <c r="D107" s="67">
        <f t="shared" si="11"/>
        <v>22</v>
      </c>
      <c r="E107" s="83"/>
      <c r="F107" s="69"/>
      <c r="G107" s="69"/>
      <c r="H107" s="69"/>
      <c r="I107" s="109">
        <f t="shared" si="10"/>
        <v>23854.2</v>
      </c>
    </row>
    <row r="108" spans="1:9" ht="15" customHeight="1">
      <c r="A108" s="80">
        <v>2011</v>
      </c>
      <c r="B108" s="81">
        <f t="shared" si="13"/>
        <v>24806</v>
      </c>
      <c r="C108" s="105">
        <f t="shared" si="9"/>
        <v>10.118840838375275</v>
      </c>
      <c r="D108" s="67">
        <f t="shared" si="11"/>
        <v>23</v>
      </c>
      <c r="E108" s="83"/>
      <c r="F108" s="69"/>
      <c r="G108" s="69"/>
      <c r="H108" s="69"/>
      <c r="I108" s="109">
        <f t="shared" si="10"/>
        <v>24805.5</v>
      </c>
    </row>
    <row r="109" spans="1:9" ht="15" customHeight="1">
      <c r="A109" s="80">
        <v>2012</v>
      </c>
      <c r="B109" s="81">
        <f t="shared" si="13"/>
        <v>25795</v>
      </c>
      <c r="C109" s="105">
        <f t="shared" si="9"/>
        <v>10.15793595367875</v>
      </c>
      <c r="D109" s="67">
        <f t="shared" si="11"/>
        <v>24</v>
      </c>
      <c r="E109" s="83"/>
      <c r="F109" s="69"/>
      <c r="G109" s="69"/>
      <c r="H109" s="69"/>
      <c r="I109" s="109">
        <f t="shared" si="10"/>
        <v>25794.799999999999</v>
      </c>
    </row>
    <row r="110" spans="1:9" ht="15" customHeight="1">
      <c r="A110" s="80">
        <v>2013</v>
      </c>
      <c r="B110" s="81">
        <f t="shared" si="13"/>
        <v>26823</v>
      </c>
      <c r="C110" s="105">
        <f t="shared" si="9"/>
        <v>10.197015007403428</v>
      </c>
      <c r="D110" s="67">
        <f t="shared" si="11"/>
        <v>25</v>
      </c>
      <c r="E110" s="83"/>
      <c r="F110" s="69"/>
      <c r="G110" s="69"/>
      <c r="H110" s="69"/>
      <c r="I110" s="109">
        <f t="shared" si="10"/>
        <v>26823.5</v>
      </c>
    </row>
    <row r="111" spans="1:9" ht="15" customHeight="1">
      <c r="A111" s="80">
        <v>2014</v>
      </c>
      <c r="B111" s="81">
        <f t="shared" si="13"/>
        <v>27893</v>
      </c>
      <c r="C111" s="105">
        <f t="shared" si="9"/>
        <v>10.236131040272427</v>
      </c>
      <c r="D111" s="67">
        <f t="shared" si="11"/>
        <v>26</v>
      </c>
      <c r="E111" s="83"/>
      <c r="F111" s="69"/>
      <c r="G111" s="69"/>
      <c r="H111" s="69"/>
      <c r="I111" s="109">
        <f t="shared" si="10"/>
        <v>27893.200000000001</v>
      </c>
    </row>
    <row r="112" spans="1:9" ht="15" customHeight="1">
      <c r="A112" s="80">
        <v>2015</v>
      </c>
      <c r="B112" s="81">
        <f t="shared" si="13"/>
        <v>29006</v>
      </c>
      <c r="C112" s="105">
        <f t="shared" si="9"/>
        <v>10.275257984120195</v>
      </c>
      <c r="D112" s="67">
        <f t="shared" si="11"/>
        <v>27</v>
      </c>
      <c r="E112" s="83"/>
      <c r="F112" s="69"/>
      <c r="G112" s="69"/>
      <c r="H112" s="69"/>
      <c r="I112" s="109">
        <f t="shared" si="10"/>
        <v>29005.599999999999</v>
      </c>
    </row>
    <row r="113" spans="1:9" ht="15" customHeight="1">
      <c r="A113" s="80">
        <v>2016</v>
      </c>
      <c r="B113" s="81">
        <f t="shared" si="13"/>
        <v>30162</v>
      </c>
      <c r="C113" s="105">
        <f t="shared" si="9"/>
        <v>10.31433813292063</v>
      </c>
      <c r="D113" s="67">
        <f t="shared" si="11"/>
        <v>28</v>
      </c>
      <c r="E113" s="83"/>
      <c r="F113" s="69"/>
      <c r="G113" s="69"/>
      <c r="H113" s="69"/>
      <c r="I113" s="109">
        <f t="shared" si="10"/>
        <v>30162.3</v>
      </c>
    </row>
    <row r="114" spans="1:9" ht="15" customHeight="1">
      <c r="A114" s="80">
        <v>2017</v>
      </c>
      <c r="B114" s="81">
        <f t="shared" si="13"/>
        <v>31365</v>
      </c>
      <c r="C114" s="105">
        <f t="shared" si="9"/>
        <v>10.353447900530844</v>
      </c>
      <c r="D114" s="67">
        <f t="shared" si="11"/>
        <v>29</v>
      </c>
      <c r="E114" s="83"/>
      <c r="F114" s="69"/>
      <c r="G114" s="69"/>
      <c r="H114" s="69"/>
      <c r="I114" s="109">
        <f t="shared" si="10"/>
        <v>31365.200000000001</v>
      </c>
    </row>
    <row r="115" spans="1:9" ht="15" customHeight="1">
      <c r="A115" s="80">
        <v>2018</v>
      </c>
      <c r="B115" s="81">
        <f t="shared" si="13"/>
        <v>32616</v>
      </c>
      <c r="C115" s="105">
        <f t="shared" si="9"/>
        <v>10.392558244499089</v>
      </c>
      <c r="D115" s="67">
        <f t="shared" si="11"/>
        <v>30</v>
      </c>
      <c r="E115" s="83"/>
      <c r="F115" s="69"/>
      <c r="G115" s="69"/>
      <c r="H115" s="69"/>
      <c r="I115" s="109">
        <f t="shared" si="10"/>
        <v>32616</v>
      </c>
    </row>
    <row r="116" spans="1:9" ht="15" customHeight="1">
      <c r="A116" s="80">
        <v>2019</v>
      </c>
      <c r="B116" s="81">
        <f t="shared" si="13"/>
        <v>33917</v>
      </c>
      <c r="C116" s="105">
        <f t="shared" si="9"/>
        <v>10.431671642598266</v>
      </c>
      <c r="D116" s="67">
        <f t="shared" si="11"/>
        <v>31</v>
      </c>
      <c r="E116" s="83"/>
      <c r="F116" s="69"/>
      <c r="G116" s="69"/>
      <c r="H116" s="69"/>
      <c r="I116" s="109">
        <f t="shared" si="10"/>
        <v>33916.699999999997</v>
      </c>
    </row>
    <row r="117" spans="1:9" ht="15" customHeight="1">
      <c r="A117" s="80">
        <v>2020</v>
      </c>
      <c r="B117" s="81">
        <f t="shared" si="13"/>
        <v>35269</v>
      </c>
      <c r="C117" s="105">
        <f t="shared" si="9"/>
        <v>10.470759670120469</v>
      </c>
      <c r="D117" s="67">
        <f t="shared" si="11"/>
        <v>32</v>
      </c>
      <c r="E117" s="83"/>
      <c r="F117" s="69"/>
      <c r="G117" s="69"/>
      <c r="H117" s="69"/>
      <c r="I117" s="109">
        <f t="shared" si="10"/>
        <v>35269.300000000003</v>
      </c>
    </row>
    <row r="118" spans="1:9" ht="15" customHeight="1">
      <c r="A118" s="80">
        <v>2021</v>
      </c>
      <c r="B118" s="81">
        <f t="shared" si="13"/>
        <v>36676</v>
      </c>
      <c r="C118" s="105">
        <f t="shared" si="9"/>
        <v>10.509877869169792</v>
      </c>
      <c r="D118" s="67">
        <f t="shared" si="11"/>
        <v>33</v>
      </c>
      <c r="E118" s="83"/>
      <c r="F118" s="69"/>
      <c r="G118" s="69"/>
      <c r="H118" s="69"/>
      <c r="I118" s="109">
        <f t="shared" si="10"/>
        <v>36675.9</v>
      </c>
    </row>
    <row r="119" spans="1:9" ht="15" customHeight="1">
      <c r="A119" s="80">
        <v>2022</v>
      </c>
      <c r="B119" s="81">
        <f t="shared" si="13"/>
        <v>38139</v>
      </c>
      <c r="C119" s="105">
        <f t="shared" si="9"/>
        <v>10.548992659618232</v>
      </c>
      <c r="D119" s="67">
        <f t="shared" si="11"/>
        <v>34</v>
      </c>
      <c r="E119" s="83"/>
      <c r="F119" s="69"/>
      <c r="G119" s="69"/>
      <c r="H119" s="69"/>
      <c r="I119" s="109">
        <f t="shared" si="10"/>
        <v>38138.5</v>
      </c>
    </row>
    <row r="120" spans="1:9" ht="15" customHeight="1">
      <c r="A120" s="80">
        <v>2023</v>
      </c>
      <c r="B120" s="81">
        <f t="shared" si="13"/>
        <v>39659</v>
      </c>
      <c r="C120" s="105">
        <f t="shared" si="9"/>
        <v>10.588073187434166</v>
      </c>
      <c r="D120" s="67">
        <f t="shared" si="11"/>
        <v>35</v>
      </c>
      <c r="E120" s="83"/>
      <c r="F120" s="69"/>
      <c r="G120" s="69"/>
      <c r="H120" s="69"/>
      <c r="I120" s="109">
        <f t="shared" si="10"/>
        <v>39659.5</v>
      </c>
    </row>
    <row r="121" spans="1:9" ht="15" customHeight="1">
      <c r="A121" s="80">
        <v>2024</v>
      </c>
      <c r="B121" s="81">
        <f t="shared" si="13"/>
        <v>41241</v>
      </c>
      <c r="C121" s="105">
        <f t="shared" si="9"/>
        <v>10.627188186139529</v>
      </c>
      <c r="D121" s="67">
        <f t="shared" si="11"/>
        <v>36</v>
      </c>
      <c r="E121" s="69"/>
      <c r="F121" s="69"/>
      <c r="G121" s="69"/>
      <c r="H121" s="69"/>
      <c r="I121" s="109">
        <f t="shared" si="10"/>
        <v>41241.1</v>
      </c>
    </row>
    <row r="122" spans="1:9" ht="15" customHeight="1">
      <c r="A122" s="85">
        <v>2025</v>
      </c>
      <c r="B122" s="86">
        <f t="shared" si="13"/>
        <v>42886</v>
      </c>
      <c r="C122" s="124">
        <f t="shared" si="9"/>
        <v>10.666300711329177</v>
      </c>
      <c r="D122" s="87">
        <f t="shared" si="11"/>
        <v>37</v>
      </c>
      <c r="E122" s="89"/>
      <c r="F122" s="89"/>
      <c r="G122" s="89"/>
      <c r="H122" s="89"/>
      <c r="I122" s="125">
        <f t="shared" si="10"/>
        <v>42885.8</v>
      </c>
    </row>
    <row r="123" spans="1:9" ht="15" customHeight="1">
      <c r="A123" s="56" t="s">
        <v>82</v>
      </c>
      <c r="B123" s="57"/>
    </row>
    <row r="124" spans="1:9" ht="15" customHeight="1">
      <c r="A124" s="58" t="s">
        <v>32</v>
      </c>
      <c r="B124" s="59" t="s">
        <v>40</v>
      </c>
      <c r="C124" s="59" t="s">
        <v>83</v>
      </c>
      <c r="D124" s="59" t="s">
        <v>33</v>
      </c>
      <c r="E124" s="59" t="s">
        <v>35</v>
      </c>
      <c r="F124" s="103"/>
      <c r="G124" s="60"/>
      <c r="H124" s="63" t="s">
        <v>104</v>
      </c>
      <c r="I124" s="64" t="e">
        <f>RSQ(I125:I144,B125:B144)</f>
        <v>#VALUE!</v>
      </c>
    </row>
    <row r="125" spans="1:9" ht="15" customHeight="1">
      <c r="A125" s="65">
        <f t="shared" ref="A125:B140" si="14">A5</f>
        <v>1988</v>
      </c>
      <c r="B125" s="104">
        <f t="shared" si="14"/>
        <v>10091</v>
      </c>
      <c r="C125" s="126"/>
      <c r="D125" s="67">
        <v>0</v>
      </c>
      <c r="E125" s="67"/>
      <c r="F125" s="106" t="s">
        <v>75</v>
      </c>
      <c r="G125" s="73" t="e">
        <f>INDEX(LINEST(C126:C144,E126:E144),1)</f>
        <v>#VALUE!</v>
      </c>
      <c r="H125" s="127"/>
      <c r="I125" s="128" t="e">
        <f t="shared" ref="I125:I162" si="15">$B$125+$G$129*D125^$G$125</f>
        <v>#VALUE!</v>
      </c>
    </row>
    <row r="126" spans="1:9" ht="15" customHeight="1">
      <c r="A126" s="65">
        <f t="shared" si="14"/>
        <v>1989</v>
      </c>
      <c r="B126" s="104">
        <f t="shared" si="14"/>
        <v>10204</v>
      </c>
      <c r="C126" s="126">
        <f t="shared" ref="C126:C144" si="16">LN(-B$125+B126)</f>
        <v>4.7273878187123408</v>
      </c>
      <c r="D126" s="67">
        <f t="shared" ref="D126:D162" si="17">D125+1</f>
        <v>1</v>
      </c>
      <c r="E126" s="67">
        <f t="shared" ref="E126:E145" si="18">LN(D126)</f>
        <v>0</v>
      </c>
      <c r="F126" s="106" t="s">
        <v>76</v>
      </c>
      <c r="G126" s="73" t="e">
        <f>INDEX(LINEST(C126:C144,E126:E144),2)</f>
        <v>#VALUE!</v>
      </c>
      <c r="H126" s="129" t="s">
        <v>84</v>
      </c>
      <c r="I126" s="128" t="e">
        <f t="shared" si="15"/>
        <v>#VALUE!</v>
      </c>
    </row>
    <row r="127" spans="1:9" ht="15" customHeight="1">
      <c r="A127" s="65">
        <f t="shared" si="14"/>
        <v>1990</v>
      </c>
      <c r="B127" s="104">
        <f t="shared" si="14"/>
        <v>9169</v>
      </c>
      <c r="C127" s="126" t="e">
        <f t="shared" si="16"/>
        <v>#NUM!</v>
      </c>
      <c r="D127" s="67">
        <f t="shared" si="17"/>
        <v>2</v>
      </c>
      <c r="E127" s="67">
        <f t="shared" si="18"/>
        <v>0.69314718055994529</v>
      </c>
      <c r="F127" s="69"/>
      <c r="G127" s="130"/>
      <c r="H127" s="127"/>
      <c r="I127" s="128" t="e">
        <f t="shared" si="15"/>
        <v>#VALUE!</v>
      </c>
    </row>
    <row r="128" spans="1:9" ht="15" customHeight="1">
      <c r="A128" s="65">
        <f t="shared" si="14"/>
        <v>1991</v>
      </c>
      <c r="B128" s="104">
        <f t="shared" si="14"/>
        <v>9282</v>
      </c>
      <c r="C128" s="126" t="e">
        <f t="shared" si="16"/>
        <v>#NUM!</v>
      </c>
      <c r="D128" s="67">
        <f t="shared" si="17"/>
        <v>3</v>
      </c>
      <c r="E128" s="67">
        <f t="shared" si="18"/>
        <v>1.0986122886681098</v>
      </c>
      <c r="F128" s="106" t="s">
        <v>77</v>
      </c>
      <c r="G128" s="73" t="e">
        <f>I124</f>
        <v>#VALUE!</v>
      </c>
      <c r="H128" s="127"/>
      <c r="I128" s="128" t="e">
        <f t="shared" si="15"/>
        <v>#VALUE!</v>
      </c>
    </row>
    <row r="129" spans="1:9" ht="15" customHeight="1">
      <c r="A129" s="65">
        <f t="shared" si="14"/>
        <v>1992</v>
      </c>
      <c r="B129" s="104">
        <f t="shared" si="14"/>
        <v>9168</v>
      </c>
      <c r="C129" s="126" t="e">
        <f t="shared" si="16"/>
        <v>#NUM!</v>
      </c>
      <c r="D129" s="67">
        <f t="shared" si="17"/>
        <v>4</v>
      </c>
      <c r="E129" s="67">
        <f t="shared" si="18"/>
        <v>1.3862943611198906</v>
      </c>
      <c r="F129" s="106" t="s">
        <v>38</v>
      </c>
      <c r="G129" s="131" t="e">
        <f>EXP(G126)</f>
        <v>#VALUE!</v>
      </c>
      <c r="H129" s="127"/>
      <c r="I129" s="128" t="e">
        <f t="shared" si="15"/>
        <v>#VALUE!</v>
      </c>
    </row>
    <row r="130" spans="1:9" ht="15" customHeight="1">
      <c r="A130" s="65">
        <f t="shared" si="14"/>
        <v>1993</v>
      </c>
      <c r="B130" s="104">
        <f t="shared" si="14"/>
        <v>9159</v>
      </c>
      <c r="C130" s="126" t="e">
        <f t="shared" si="16"/>
        <v>#NUM!</v>
      </c>
      <c r="D130" s="67">
        <f t="shared" si="17"/>
        <v>5</v>
      </c>
      <c r="E130" s="67">
        <f t="shared" si="18"/>
        <v>1.6094379124341003</v>
      </c>
      <c r="F130" s="106"/>
      <c r="G130" s="53"/>
      <c r="H130" s="127"/>
      <c r="I130" s="128" t="e">
        <f t="shared" si="15"/>
        <v>#VALUE!</v>
      </c>
    </row>
    <row r="131" spans="1:9" ht="15" customHeight="1">
      <c r="A131" s="65">
        <f t="shared" si="14"/>
        <v>1994</v>
      </c>
      <c r="B131" s="104">
        <f t="shared" si="14"/>
        <v>9336</v>
      </c>
      <c r="C131" s="126" t="e">
        <f t="shared" si="16"/>
        <v>#NUM!</v>
      </c>
      <c r="D131" s="67">
        <f t="shared" si="17"/>
        <v>6</v>
      </c>
      <c r="E131" s="67">
        <f t="shared" si="18"/>
        <v>1.791759469228055</v>
      </c>
      <c r="F131" s="106"/>
      <c r="G131" s="53"/>
      <c r="H131" s="127"/>
      <c r="I131" s="128" t="e">
        <f t="shared" si="15"/>
        <v>#VALUE!</v>
      </c>
    </row>
    <row r="132" spans="1:9" ht="15" customHeight="1">
      <c r="A132" s="65">
        <f t="shared" si="14"/>
        <v>1995</v>
      </c>
      <c r="B132" s="104">
        <f t="shared" si="14"/>
        <v>11008</v>
      </c>
      <c r="C132" s="126">
        <f t="shared" si="16"/>
        <v>6.8211074722564646</v>
      </c>
      <c r="D132" s="67">
        <f t="shared" si="17"/>
        <v>7</v>
      </c>
      <c r="E132" s="67">
        <f t="shared" si="18"/>
        <v>1.9459101490553132</v>
      </c>
      <c r="F132" s="132" t="s">
        <v>85</v>
      </c>
      <c r="G132" s="53"/>
      <c r="H132" s="127"/>
      <c r="I132" s="128" t="e">
        <f t="shared" si="15"/>
        <v>#VALUE!</v>
      </c>
    </row>
    <row r="133" spans="1:9" ht="15" customHeight="1">
      <c r="A133" s="65">
        <f t="shared" si="14"/>
        <v>1996</v>
      </c>
      <c r="B133" s="104">
        <f t="shared" si="14"/>
        <v>12272</v>
      </c>
      <c r="C133" s="126">
        <f t="shared" si="16"/>
        <v>7.6875387662016292</v>
      </c>
      <c r="D133" s="67">
        <f t="shared" si="17"/>
        <v>8</v>
      </c>
      <c r="E133" s="67">
        <f t="shared" si="18"/>
        <v>2.0794415416798357</v>
      </c>
      <c r="F133" s="132" t="s">
        <v>86</v>
      </c>
      <c r="G133" s="53"/>
      <c r="H133" s="127"/>
      <c r="I133" s="128" t="e">
        <f t="shared" si="15"/>
        <v>#VALUE!</v>
      </c>
    </row>
    <row r="134" spans="1:9" ht="15" customHeight="1">
      <c r="A134" s="65">
        <f t="shared" si="14"/>
        <v>1997</v>
      </c>
      <c r="B134" s="104">
        <f t="shared" si="14"/>
        <v>13056</v>
      </c>
      <c r="C134" s="126">
        <f t="shared" si="16"/>
        <v>7.9946323114318254</v>
      </c>
      <c r="D134" s="67">
        <f t="shared" si="17"/>
        <v>9</v>
      </c>
      <c r="E134" s="67">
        <f t="shared" si="18"/>
        <v>2.1972245773362196</v>
      </c>
      <c r="F134" s="132"/>
      <c r="G134" s="53"/>
      <c r="H134" s="127"/>
      <c r="I134" s="128" t="e">
        <f t="shared" si="15"/>
        <v>#VALUE!</v>
      </c>
    </row>
    <row r="135" spans="1:9" ht="15" customHeight="1">
      <c r="A135" s="65">
        <f t="shared" si="14"/>
        <v>1998</v>
      </c>
      <c r="B135" s="104">
        <f t="shared" si="14"/>
        <v>14417</v>
      </c>
      <c r="C135" s="126">
        <f t="shared" si="16"/>
        <v>8.3723986065130038</v>
      </c>
      <c r="D135" s="67">
        <f t="shared" si="17"/>
        <v>10</v>
      </c>
      <c r="E135" s="67">
        <f t="shared" si="18"/>
        <v>2.3025850929940459</v>
      </c>
      <c r="F135" s="132"/>
      <c r="G135" s="53"/>
      <c r="H135" s="127"/>
      <c r="I135" s="128" t="e">
        <f t="shared" si="15"/>
        <v>#VALUE!</v>
      </c>
    </row>
    <row r="136" spans="1:9" ht="15" customHeight="1">
      <c r="A136" s="65">
        <f t="shared" si="14"/>
        <v>1999</v>
      </c>
      <c r="B136" s="104">
        <f t="shared" si="14"/>
        <v>15218</v>
      </c>
      <c r="C136" s="126">
        <f t="shared" si="16"/>
        <v>8.5422759717837007</v>
      </c>
      <c r="D136" s="67">
        <f t="shared" si="17"/>
        <v>11</v>
      </c>
      <c r="E136" s="67">
        <f t="shared" si="18"/>
        <v>2.3978952727983707</v>
      </c>
      <c r="F136" s="132"/>
      <c r="G136" s="53"/>
      <c r="H136" s="127"/>
      <c r="I136" s="128" t="e">
        <f t="shared" si="15"/>
        <v>#VALUE!</v>
      </c>
    </row>
    <row r="137" spans="1:9" ht="15" customHeight="1">
      <c r="A137" s="65">
        <f t="shared" si="14"/>
        <v>2000</v>
      </c>
      <c r="B137" s="104">
        <f t="shared" si="14"/>
        <v>16870</v>
      </c>
      <c r="C137" s="126">
        <f t="shared" si="16"/>
        <v>8.8215848774309649</v>
      </c>
      <c r="D137" s="67">
        <f t="shared" si="17"/>
        <v>12</v>
      </c>
      <c r="E137" s="67">
        <f t="shared" si="18"/>
        <v>2.4849066497880004</v>
      </c>
      <c r="F137" s="132"/>
      <c r="G137" s="53"/>
      <c r="H137" s="127"/>
      <c r="I137" s="128" t="e">
        <f t="shared" si="15"/>
        <v>#VALUE!</v>
      </c>
    </row>
    <row r="138" spans="1:9" ht="15" customHeight="1">
      <c r="A138" s="65">
        <f t="shared" si="14"/>
        <v>2001</v>
      </c>
      <c r="B138" s="104">
        <f t="shared" si="14"/>
        <v>19029</v>
      </c>
      <c r="C138" s="126">
        <f t="shared" si="16"/>
        <v>9.0980671294933977</v>
      </c>
      <c r="D138" s="67">
        <f t="shared" si="17"/>
        <v>13</v>
      </c>
      <c r="E138" s="67">
        <f t="shared" si="18"/>
        <v>2.5649493574615367</v>
      </c>
      <c r="F138" s="132"/>
      <c r="G138" s="53"/>
      <c r="H138" s="127"/>
      <c r="I138" s="128" t="e">
        <f t="shared" si="15"/>
        <v>#VALUE!</v>
      </c>
    </row>
    <row r="139" spans="1:9" ht="15" customHeight="1">
      <c r="A139" s="65">
        <f t="shared" si="14"/>
        <v>2002</v>
      </c>
      <c r="B139" s="104">
        <f t="shared" si="14"/>
        <v>20963</v>
      </c>
      <c r="C139" s="126">
        <f t="shared" si="16"/>
        <v>9.2939459558309796</v>
      </c>
      <c r="D139" s="67">
        <f t="shared" si="17"/>
        <v>14</v>
      </c>
      <c r="E139" s="67">
        <f t="shared" si="18"/>
        <v>2.6390573296152584</v>
      </c>
      <c r="F139" s="132"/>
      <c r="G139" s="53"/>
      <c r="H139" s="127"/>
      <c r="I139" s="128" t="e">
        <f t="shared" si="15"/>
        <v>#VALUE!</v>
      </c>
    </row>
    <row r="140" spans="1:9" ht="15" customHeight="1">
      <c r="A140" s="65">
        <f t="shared" si="14"/>
        <v>2003</v>
      </c>
      <c r="B140" s="104">
        <f t="shared" si="14"/>
        <v>21131</v>
      </c>
      <c r="C140" s="126">
        <f t="shared" si="16"/>
        <v>9.3092803198310872</v>
      </c>
      <c r="D140" s="67">
        <f t="shared" si="17"/>
        <v>15</v>
      </c>
      <c r="E140" s="67">
        <f t="shared" si="18"/>
        <v>2.7080502011022101</v>
      </c>
      <c r="F140" s="132"/>
      <c r="G140" s="53"/>
      <c r="H140" s="127"/>
      <c r="I140" s="128" t="e">
        <f t="shared" si="15"/>
        <v>#VALUE!</v>
      </c>
    </row>
    <row r="141" spans="1:9" ht="15" customHeight="1">
      <c r="A141" s="65">
        <f t="shared" ref="A141:B145" si="19">A21</f>
        <v>2004</v>
      </c>
      <c r="B141" s="104">
        <f t="shared" si="19"/>
        <v>21241</v>
      </c>
      <c r="C141" s="126">
        <f t="shared" si="16"/>
        <v>9.3191947768882653</v>
      </c>
      <c r="D141" s="67">
        <f t="shared" si="17"/>
        <v>16</v>
      </c>
      <c r="E141" s="67">
        <f t="shared" si="18"/>
        <v>2.7725887222397811</v>
      </c>
      <c r="F141" s="132"/>
      <c r="G141" s="53"/>
      <c r="H141" s="127"/>
      <c r="I141" s="128" t="e">
        <f t="shared" si="15"/>
        <v>#VALUE!</v>
      </c>
    </row>
    <row r="142" spans="1:9" ht="15" customHeight="1">
      <c r="A142" s="65">
        <f t="shared" si="19"/>
        <v>2005</v>
      </c>
      <c r="B142" s="104">
        <f t="shared" si="19"/>
        <v>21184</v>
      </c>
      <c r="C142" s="126">
        <f t="shared" si="16"/>
        <v>9.3140695577386587</v>
      </c>
      <c r="D142" s="67">
        <f t="shared" si="17"/>
        <v>17</v>
      </c>
      <c r="E142" s="67">
        <f t="shared" si="18"/>
        <v>2.8332133440562162</v>
      </c>
      <c r="F142" s="132"/>
      <c r="G142" s="53"/>
      <c r="H142" s="127"/>
      <c r="I142" s="128" t="e">
        <f t="shared" si="15"/>
        <v>#VALUE!</v>
      </c>
    </row>
    <row r="143" spans="1:9" ht="15" customHeight="1">
      <c r="A143" s="65">
        <f t="shared" si="19"/>
        <v>2006</v>
      </c>
      <c r="B143" s="104">
        <f t="shared" si="19"/>
        <v>20836</v>
      </c>
      <c r="C143" s="126">
        <f t="shared" si="16"/>
        <v>9.2821958090766117</v>
      </c>
      <c r="D143" s="67">
        <f t="shared" si="17"/>
        <v>18</v>
      </c>
      <c r="E143" s="67">
        <f t="shared" si="18"/>
        <v>2.8903717578961645</v>
      </c>
      <c r="F143" s="132"/>
      <c r="G143" s="53"/>
      <c r="H143" s="127"/>
      <c r="I143" s="128" t="e">
        <f t="shared" si="15"/>
        <v>#VALUE!</v>
      </c>
    </row>
    <row r="144" spans="1:9" ht="15" customHeight="1" thickBot="1">
      <c r="A144" s="97">
        <f t="shared" si="19"/>
        <v>2007</v>
      </c>
      <c r="B144" s="116">
        <f t="shared" si="19"/>
        <v>21215</v>
      </c>
      <c r="C144" s="141">
        <f t="shared" si="16"/>
        <v>9.3168602153538558</v>
      </c>
      <c r="D144" s="99">
        <f t="shared" si="17"/>
        <v>19</v>
      </c>
      <c r="E144" s="99">
        <f t="shared" si="18"/>
        <v>2.9444389791664403</v>
      </c>
      <c r="F144" s="182"/>
      <c r="G144" s="101"/>
      <c r="H144" s="143"/>
      <c r="I144" s="144" t="e">
        <f t="shared" si="15"/>
        <v>#VALUE!</v>
      </c>
    </row>
    <row r="145" spans="1:9" ht="15" customHeight="1" thickTop="1">
      <c r="A145" s="255">
        <f t="shared" si="19"/>
        <v>2008</v>
      </c>
      <c r="B145" s="81" t="e">
        <f>ROUND(LOOKUP(0,D$125:D$144,B$125:B$144)+G$129*D144^G$125,0)</f>
        <v>#VALUE!</v>
      </c>
      <c r="C145" s="257"/>
      <c r="D145" s="77">
        <f t="shared" si="17"/>
        <v>20</v>
      </c>
      <c r="E145" s="77">
        <f t="shared" si="18"/>
        <v>2.9957322735539909</v>
      </c>
      <c r="F145" s="122"/>
      <c r="G145" s="78"/>
      <c r="H145" s="258"/>
      <c r="I145" s="133" t="e">
        <f t="shared" si="15"/>
        <v>#VALUE!</v>
      </c>
    </row>
    <row r="146" spans="1:9" ht="15" customHeight="1">
      <c r="A146" s="80">
        <v>2009</v>
      </c>
      <c r="B146" s="81" t="e">
        <f>ROUND(LOOKUP(0,D$125:D$144,B$125:B$144)+G$129*D145^G$125,0)</f>
        <v>#VALUE!</v>
      </c>
      <c r="C146" s="134"/>
      <c r="D146" s="67">
        <f t="shared" si="17"/>
        <v>21</v>
      </c>
      <c r="E146" s="67"/>
      <c r="F146" s="83"/>
      <c r="G146" s="69"/>
      <c r="H146" s="84"/>
      <c r="I146" s="128" t="e">
        <f t="shared" si="15"/>
        <v>#VALUE!</v>
      </c>
    </row>
    <row r="147" spans="1:9" ht="15" customHeight="1">
      <c r="A147" s="80">
        <v>2010</v>
      </c>
      <c r="B147" s="81" t="e">
        <f t="shared" ref="B147:B162" si="20">ROUND(LOOKUP(0,D$125:D$144,B$125:B$144)+G$129*D146^G$125,0)</f>
        <v>#VALUE!</v>
      </c>
      <c r="C147" s="134"/>
      <c r="D147" s="67">
        <f t="shared" si="17"/>
        <v>22</v>
      </c>
      <c r="E147" s="67"/>
      <c r="F147" s="83"/>
      <c r="G147" s="69"/>
      <c r="H147" s="84"/>
      <c r="I147" s="128" t="e">
        <f t="shared" si="15"/>
        <v>#VALUE!</v>
      </c>
    </row>
    <row r="148" spans="1:9" ht="15" customHeight="1">
      <c r="A148" s="80">
        <v>2011</v>
      </c>
      <c r="B148" s="81" t="e">
        <f t="shared" si="20"/>
        <v>#VALUE!</v>
      </c>
      <c r="C148" s="134"/>
      <c r="D148" s="67">
        <f t="shared" si="17"/>
        <v>23</v>
      </c>
      <c r="E148" s="67"/>
      <c r="F148" s="83"/>
      <c r="G148" s="69"/>
      <c r="H148" s="84"/>
      <c r="I148" s="128" t="e">
        <f t="shared" si="15"/>
        <v>#VALUE!</v>
      </c>
    </row>
    <row r="149" spans="1:9" ht="15" customHeight="1">
      <c r="A149" s="80">
        <v>2012</v>
      </c>
      <c r="B149" s="81" t="e">
        <f t="shared" si="20"/>
        <v>#VALUE!</v>
      </c>
      <c r="C149" s="134"/>
      <c r="D149" s="67">
        <f t="shared" si="17"/>
        <v>24</v>
      </c>
      <c r="E149" s="67"/>
      <c r="F149" s="83"/>
      <c r="G149" s="69"/>
      <c r="H149" s="84"/>
      <c r="I149" s="128" t="e">
        <f t="shared" si="15"/>
        <v>#VALUE!</v>
      </c>
    </row>
    <row r="150" spans="1:9" ht="15" customHeight="1">
      <c r="A150" s="80">
        <v>2013</v>
      </c>
      <c r="B150" s="81" t="e">
        <f t="shared" si="20"/>
        <v>#VALUE!</v>
      </c>
      <c r="C150" s="134"/>
      <c r="D150" s="67">
        <f t="shared" si="17"/>
        <v>25</v>
      </c>
      <c r="E150" s="67"/>
      <c r="F150" s="83"/>
      <c r="G150" s="69"/>
      <c r="H150" s="84"/>
      <c r="I150" s="128" t="e">
        <f t="shared" si="15"/>
        <v>#VALUE!</v>
      </c>
    </row>
    <row r="151" spans="1:9" ht="15" customHeight="1">
      <c r="A151" s="80">
        <v>2014</v>
      </c>
      <c r="B151" s="81" t="e">
        <f t="shared" si="20"/>
        <v>#VALUE!</v>
      </c>
      <c r="C151" s="134"/>
      <c r="D151" s="67">
        <f t="shared" si="17"/>
        <v>26</v>
      </c>
      <c r="E151" s="67"/>
      <c r="F151" s="83"/>
      <c r="G151" s="69"/>
      <c r="H151" s="84"/>
      <c r="I151" s="128" t="e">
        <f t="shared" si="15"/>
        <v>#VALUE!</v>
      </c>
    </row>
    <row r="152" spans="1:9" ht="15" customHeight="1">
      <c r="A152" s="80">
        <v>2015</v>
      </c>
      <c r="B152" s="81" t="e">
        <f t="shared" si="20"/>
        <v>#VALUE!</v>
      </c>
      <c r="C152" s="134"/>
      <c r="D152" s="67">
        <f t="shared" si="17"/>
        <v>27</v>
      </c>
      <c r="E152" s="67"/>
      <c r="F152" s="83"/>
      <c r="G152" s="69"/>
      <c r="H152" s="84"/>
      <c r="I152" s="128" t="e">
        <f t="shared" si="15"/>
        <v>#VALUE!</v>
      </c>
    </row>
    <row r="153" spans="1:9" ht="15" customHeight="1">
      <c r="A153" s="80">
        <v>2016</v>
      </c>
      <c r="B153" s="81" t="e">
        <f t="shared" si="20"/>
        <v>#VALUE!</v>
      </c>
      <c r="C153" s="134"/>
      <c r="D153" s="67">
        <f t="shared" si="17"/>
        <v>28</v>
      </c>
      <c r="E153" s="67"/>
      <c r="F153" s="83"/>
      <c r="G153" s="69"/>
      <c r="H153" s="84"/>
      <c r="I153" s="128" t="e">
        <f t="shared" si="15"/>
        <v>#VALUE!</v>
      </c>
    </row>
    <row r="154" spans="1:9" ht="15" customHeight="1">
      <c r="A154" s="80">
        <v>2017</v>
      </c>
      <c r="B154" s="81" t="e">
        <f t="shared" si="20"/>
        <v>#VALUE!</v>
      </c>
      <c r="C154" s="134"/>
      <c r="D154" s="67">
        <f t="shared" si="17"/>
        <v>29</v>
      </c>
      <c r="E154" s="67"/>
      <c r="F154" s="83"/>
      <c r="G154" s="69"/>
      <c r="H154" s="84"/>
      <c r="I154" s="128" t="e">
        <f t="shared" si="15"/>
        <v>#VALUE!</v>
      </c>
    </row>
    <row r="155" spans="1:9" ht="15" customHeight="1">
      <c r="A155" s="80">
        <v>2018</v>
      </c>
      <c r="B155" s="81" t="e">
        <f t="shared" si="20"/>
        <v>#VALUE!</v>
      </c>
      <c r="C155" s="134"/>
      <c r="D155" s="67">
        <f t="shared" si="17"/>
        <v>30</v>
      </c>
      <c r="E155" s="67"/>
      <c r="F155" s="83"/>
      <c r="G155" s="69"/>
      <c r="H155" s="84"/>
      <c r="I155" s="128" t="e">
        <f t="shared" si="15"/>
        <v>#VALUE!</v>
      </c>
    </row>
    <row r="156" spans="1:9" ht="15" customHeight="1">
      <c r="A156" s="80">
        <v>2019</v>
      </c>
      <c r="B156" s="81" t="e">
        <f t="shared" si="20"/>
        <v>#VALUE!</v>
      </c>
      <c r="C156" s="134"/>
      <c r="D156" s="67">
        <f t="shared" si="17"/>
        <v>31</v>
      </c>
      <c r="E156" s="67"/>
      <c r="F156" s="83"/>
      <c r="G156" s="69"/>
      <c r="H156" s="84"/>
      <c r="I156" s="128" t="e">
        <f t="shared" si="15"/>
        <v>#VALUE!</v>
      </c>
    </row>
    <row r="157" spans="1:9" ht="15" customHeight="1">
      <c r="A157" s="80">
        <v>2020</v>
      </c>
      <c r="B157" s="81" t="e">
        <f t="shared" si="20"/>
        <v>#VALUE!</v>
      </c>
      <c r="C157" s="134"/>
      <c r="D157" s="67">
        <f t="shared" si="17"/>
        <v>32</v>
      </c>
      <c r="E157" s="67"/>
      <c r="F157" s="83"/>
      <c r="G157" s="69"/>
      <c r="H157" s="84"/>
      <c r="I157" s="128" t="e">
        <f t="shared" si="15"/>
        <v>#VALUE!</v>
      </c>
    </row>
    <row r="158" spans="1:9" ht="15" customHeight="1">
      <c r="A158" s="80">
        <v>2021</v>
      </c>
      <c r="B158" s="81" t="e">
        <f t="shared" si="20"/>
        <v>#VALUE!</v>
      </c>
      <c r="C158" s="134"/>
      <c r="D158" s="67">
        <f t="shared" si="17"/>
        <v>33</v>
      </c>
      <c r="E158" s="67"/>
      <c r="F158" s="83"/>
      <c r="G158" s="69"/>
      <c r="H158" s="84"/>
      <c r="I158" s="128" t="e">
        <f t="shared" si="15"/>
        <v>#VALUE!</v>
      </c>
    </row>
    <row r="159" spans="1:9" ht="15" customHeight="1">
      <c r="A159" s="80">
        <v>2022</v>
      </c>
      <c r="B159" s="81" t="e">
        <f t="shared" si="20"/>
        <v>#VALUE!</v>
      </c>
      <c r="C159" s="134"/>
      <c r="D159" s="67">
        <f t="shared" si="17"/>
        <v>34</v>
      </c>
      <c r="E159" s="67"/>
      <c r="F159" s="83"/>
      <c r="G159" s="69"/>
      <c r="H159" s="84"/>
      <c r="I159" s="128" t="e">
        <f t="shared" si="15"/>
        <v>#VALUE!</v>
      </c>
    </row>
    <row r="160" spans="1:9" ht="15" customHeight="1">
      <c r="A160" s="80">
        <v>2023</v>
      </c>
      <c r="B160" s="81" t="e">
        <f t="shared" si="20"/>
        <v>#VALUE!</v>
      </c>
      <c r="C160" s="134"/>
      <c r="D160" s="67">
        <f t="shared" si="17"/>
        <v>35</v>
      </c>
      <c r="E160" s="67"/>
      <c r="F160" s="83"/>
      <c r="G160" s="69"/>
      <c r="H160" s="84"/>
      <c r="I160" s="128" t="e">
        <f t="shared" si="15"/>
        <v>#VALUE!</v>
      </c>
    </row>
    <row r="161" spans="1:9" ht="15" customHeight="1">
      <c r="A161" s="80">
        <v>2024</v>
      </c>
      <c r="B161" s="81" t="e">
        <f t="shared" si="20"/>
        <v>#VALUE!</v>
      </c>
      <c r="C161" s="135"/>
      <c r="D161" s="67">
        <f t="shared" si="17"/>
        <v>36</v>
      </c>
      <c r="E161" s="67"/>
      <c r="F161" s="69"/>
      <c r="G161" s="69"/>
      <c r="H161" s="69"/>
      <c r="I161" s="136" t="e">
        <f t="shared" si="15"/>
        <v>#VALUE!</v>
      </c>
    </row>
    <row r="162" spans="1:9" ht="15" customHeight="1">
      <c r="A162" s="85">
        <v>2025</v>
      </c>
      <c r="B162" s="81" t="e">
        <f t="shared" si="20"/>
        <v>#VALUE!</v>
      </c>
      <c r="C162" s="137"/>
      <c r="D162" s="87">
        <f t="shared" si="17"/>
        <v>37</v>
      </c>
      <c r="E162" s="87"/>
      <c r="F162" s="89"/>
      <c r="G162" s="89"/>
      <c r="H162" s="89"/>
      <c r="I162" s="138" t="e">
        <f t="shared" si="15"/>
        <v>#VALUE!</v>
      </c>
    </row>
    <row r="163" spans="1:9" ht="15" customHeight="1">
      <c r="A163" s="56" t="s">
        <v>87</v>
      </c>
      <c r="B163" s="57"/>
    </row>
    <row r="164" spans="1:9" ht="15" customHeight="1">
      <c r="A164" s="58" t="s">
        <v>32</v>
      </c>
      <c r="B164" s="59" t="s">
        <v>40</v>
      </c>
      <c r="C164" s="59" t="s">
        <v>36</v>
      </c>
      <c r="D164" s="59" t="s">
        <v>33</v>
      </c>
      <c r="E164" s="103"/>
      <c r="F164" s="60"/>
      <c r="G164" s="61"/>
      <c r="H164" s="63" t="s">
        <v>104</v>
      </c>
      <c r="I164" s="64">
        <f>RSQ(I165:I185,B165:B185)</f>
        <v>0.9257850147375859</v>
      </c>
    </row>
    <row r="165" spans="1:9" ht="15" customHeight="1">
      <c r="A165" s="65">
        <f t="shared" ref="A165:A185" si="21">A5</f>
        <v>1988</v>
      </c>
      <c r="B165" s="104">
        <f t="shared" ref="B165:B184" si="22">+B5</f>
        <v>10091</v>
      </c>
      <c r="C165" s="126">
        <f t="shared" ref="C165:C184" si="23">LN(F$168/B165-1)</f>
        <v>1.1662366689507213</v>
      </c>
      <c r="D165" s="67">
        <v>0</v>
      </c>
      <c r="E165" s="106" t="s">
        <v>75</v>
      </c>
      <c r="F165" s="139">
        <f>INDEX(LINEST(C165:C184,D165:D184),1)</f>
        <v>-8.5727998125405672E-2</v>
      </c>
      <c r="G165" s="140" t="s">
        <v>88</v>
      </c>
      <c r="H165" s="127"/>
      <c r="I165" s="128">
        <f t="shared" ref="I165:I202" si="24">$F$168/(1+EXP($F$166+$F$165*D165))</f>
        <v>7831.9217518636906</v>
      </c>
    </row>
    <row r="166" spans="1:9" ht="15" customHeight="1">
      <c r="A166" s="65">
        <f t="shared" si="21"/>
        <v>1989</v>
      </c>
      <c r="B166" s="104">
        <f t="shared" si="22"/>
        <v>10204</v>
      </c>
      <c r="C166" s="126">
        <f t="shared" si="23"/>
        <v>1.1516060833340658</v>
      </c>
      <c r="D166" s="67">
        <f t="shared" ref="D166:D202" si="25">D165+1</f>
        <v>1</v>
      </c>
      <c r="E166" s="106" t="s">
        <v>76</v>
      </c>
      <c r="F166" s="139">
        <f>INDEX(LINEST(C165:C184,D165:D184),2)</f>
        <v>1.487092069522884</v>
      </c>
      <c r="G166" s="69"/>
      <c r="H166" s="127"/>
      <c r="I166" s="128">
        <f t="shared" si="24"/>
        <v>8394.4322877415125</v>
      </c>
    </row>
    <row r="167" spans="1:9" ht="15" customHeight="1">
      <c r="A167" s="65">
        <f t="shared" si="21"/>
        <v>1990</v>
      </c>
      <c r="B167" s="104">
        <f t="shared" si="22"/>
        <v>9169</v>
      </c>
      <c r="C167" s="126">
        <f t="shared" si="23"/>
        <v>1.2901194821265232</v>
      </c>
      <c r="D167" s="67">
        <f t="shared" si="25"/>
        <v>2</v>
      </c>
      <c r="E167" s="106" t="s">
        <v>77</v>
      </c>
      <c r="F167" s="73">
        <f>I164</f>
        <v>0.9257850147375859</v>
      </c>
      <c r="G167" s="69"/>
      <c r="H167" s="127"/>
      <c r="I167" s="128">
        <f t="shared" si="24"/>
        <v>8986.8654553786164</v>
      </c>
    </row>
    <row r="168" spans="1:9" ht="15" customHeight="1">
      <c r="A168" s="65">
        <f t="shared" si="21"/>
        <v>1991</v>
      </c>
      <c r="B168" s="104">
        <f t="shared" si="22"/>
        <v>9282</v>
      </c>
      <c r="C168" s="126">
        <f t="shared" si="23"/>
        <v>1.2744728351034587</v>
      </c>
      <c r="D168" s="67">
        <f t="shared" si="25"/>
        <v>3</v>
      </c>
      <c r="E168" s="106" t="s">
        <v>39</v>
      </c>
      <c r="F168" s="110">
        <f>MAX(B165:B184)*2</f>
        <v>42482</v>
      </c>
      <c r="G168" s="69"/>
      <c r="H168" s="127"/>
      <c r="I168" s="128">
        <f t="shared" si="24"/>
        <v>9609.3228379575994</v>
      </c>
    </row>
    <row r="169" spans="1:9" ht="15" customHeight="1">
      <c r="A169" s="65">
        <f t="shared" si="21"/>
        <v>1992</v>
      </c>
      <c r="B169" s="104">
        <f t="shared" si="22"/>
        <v>9168</v>
      </c>
      <c r="C169" s="126">
        <f t="shared" si="23"/>
        <v>1.2902585690825321</v>
      </c>
      <c r="D169" s="67">
        <f t="shared" si="25"/>
        <v>4</v>
      </c>
      <c r="E169" s="106"/>
      <c r="F169" s="53"/>
      <c r="G169" s="69"/>
      <c r="H169" s="127"/>
      <c r="I169" s="128">
        <f t="shared" si="24"/>
        <v>10261.68516296105</v>
      </c>
    </row>
    <row r="170" spans="1:9" ht="15" customHeight="1">
      <c r="A170" s="65">
        <f t="shared" si="21"/>
        <v>1993</v>
      </c>
      <c r="B170" s="104">
        <f t="shared" si="22"/>
        <v>9159</v>
      </c>
      <c r="C170" s="126">
        <f t="shared" si="23"/>
        <v>1.2915108468391987</v>
      </c>
      <c r="D170" s="67">
        <f t="shared" si="25"/>
        <v>5</v>
      </c>
      <c r="E170" s="106"/>
      <c r="F170" s="53"/>
      <c r="G170" s="69"/>
      <c r="H170" s="127"/>
      <c r="I170" s="128">
        <f t="shared" si="24"/>
        <v>10943.591563676062</v>
      </c>
    </row>
    <row r="171" spans="1:9" ht="15" customHeight="1">
      <c r="A171" s="65">
        <f t="shared" si="21"/>
        <v>1994</v>
      </c>
      <c r="B171" s="104">
        <f t="shared" si="22"/>
        <v>9336</v>
      </c>
      <c r="C171" s="126">
        <f t="shared" si="23"/>
        <v>1.2670441507170975</v>
      </c>
      <c r="D171" s="67">
        <f t="shared" si="25"/>
        <v>6</v>
      </c>
      <c r="E171" s="132" t="s">
        <v>89</v>
      </c>
      <c r="F171" s="53"/>
      <c r="G171" s="69"/>
      <c r="H171" s="127"/>
      <c r="I171" s="128">
        <f t="shared" si="24"/>
        <v>11654.421318258315</v>
      </c>
    </row>
    <row r="172" spans="1:9" ht="15" customHeight="1">
      <c r="A172" s="65">
        <f t="shared" si="21"/>
        <v>1995</v>
      </c>
      <c r="B172" s="104">
        <f t="shared" si="22"/>
        <v>11008</v>
      </c>
      <c r="C172" s="126">
        <f t="shared" si="23"/>
        <v>1.0505395269876849</v>
      </c>
      <c r="D172" s="67">
        <f t="shared" si="25"/>
        <v>7</v>
      </c>
      <c r="E172" s="132" t="s">
        <v>90</v>
      </c>
      <c r="F172" s="53"/>
      <c r="G172" s="69"/>
      <c r="H172" s="127"/>
      <c r="I172" s="128">
        <f t="shared" si="24"/>
        <v>12393.278927491176</v>
      </c>
    </row>
    <row r="173" spans="1:9" ht="15" customHeight="1">
      <c r="A173" s="65">
        <f t="shared" si="21"/>
        <v>1996</v>
      </c>
      <c r="B173" s="104">
        <f t="shared" si="22"/>
        <v>12272</v>
      </c>
      <c r="C173" s="126">
        <f t="shared" si="23"/>
        <v>0.90085275077368021</v>
      </c>
      <c r="D173" s="67">
        <f t="shared" si="25"/>
        <v>8</v>
      </c>
      <c r="E173" s="132"/>
      <c r="F173" s="53"/>
      <c r="G173" s="69"/>
      <c r="H173" s="127"/>
      <c r="I173" s="128">
        <f t="shared" si="24"/>
        <v>13158.983390333531</v>
      </c>
    </row>
    <row r="174" spans="1:9" ht="15" customHeight="1">
      <c r="A174" s="65">
        <f t="shared" si="21"/>
        <v>1997</v>
      </c>
      <c r="B174" s="104">
        <f t="shared" si="22"/>
        <v>13056</v>
      </c>
      <c r="C174" s="126">
        <f t="shared" si="23"/>
        <v>0.81263083905400413</v>
      </c>
      <c r="D174" s="67">
        <f t="shared" si="25"/>
        <v>9</v>
      </c>
      <c r="E174" s="132"/>
      <c r="F174" s="53"/>
      <c r="G174" s="69"/>
      <c r="H174" s="127"/>
      <c r="I174" s="128">
        <f t="shared" si="24"/>
        <v>13950.062490182592</v>
      </c>
    </row>
    <row r="175" spans="1:9" ht="15" customHeight="1">
      <c r="A175" s="65">
        <f t="shared" si="21"/>
        <v>1998</v>
      </c>
      <c r="B175" s="104">
        <f t="shared" si="22"/>
        <v>14417</v>
      </c>
      <c r="C175" s="126">
        <f t="shared" si="23"/>
        <v>0.66611518256439595</v>
      </c>
      <c r="D175" s="67">
        <f t="shared" si="25"/>
        <v>10</v>
      </c>
      <c r="E175" s="132"/>
      <c r="F175" s="53"/>
      <c r="G175" s="69"/>
      <c r="H175" s="127"/>
      <c r="I175" s="128">
        <f t="shared" si="24"/>
        <v>14764.752809657333</v>
      </c>
    </row>
    <row r="176" spans="1:9" ht="15" customHeight="1">
      <c r="A176" s="65">
        <f t="shared" si="21"/>
        <v>1999</v>
      </c>
      <c r="B176" s="104">
        <f t="shared" si="22"/>
        <v>15218</v>
      </c>
      <c r="C176" s="126">
        <f t="shared" si="23"/>
        <v>0.58308821289257418</v>
      </c>
      <c r="D176" s="67">
        <f t="shared" si="25"/>
        <v>11</v>
      </c>
      <c r="E176" s="132"/>
      <c r="F176" s="53"/>
      <c r="G176" s="69"/>
      <c r="H176" s="127"/>
      <c r="I176" s="128">
        <f t="shared" si="24"/>
        <v>15601.006045792075</v>
      </c>
    </row>
    <row r="177" spans="1:9" ht="15" customHeight="1">
      <c r="A177" s="65">
        <f t="shared" si="21"/>
        <v>2000</v>
      </c>
      <c r="B177" s="104">
        <f t="shared" si="22"/>
        <v>16870</v>
      </c>
      <c r="C177" s="126">
        <f t="shared" si="23"/>
        <v>0.41752409509867877</v>
      </c>
      <c r="D177" s="67">
        <f t="shared" si="25"/>
        <v>12</v>
      </c>
      <c r="E177" s="132"/>
      <c r="F177" s="53"/>
      <c r="G177" s="69"/>
      <c r="H177" s="127"/>
      <c r="I177" s="128">
        <f t="shared" si="24"/>
        <v>16456.502002727957</v>
      </c>
    </row>
    <row r="178" spans="1:9" ht="15" customHeight="1">
      <c r="A178" s="65">
        <f t="shared" si="21"/>
        <v>2001</v>
      </c>
      <c r="B178" s="104">
        <f t="shared" si="22"/>
        <v>19029</v>
      </c>
      <c r="C178" s="126">
        <f t="shared" si="23"/>
        <v>0.20903428715957026</v>
      </c>
      <c r="D178" s="67">
        <f t="shared" si="25"/>
        <v>13</v>
      </c>
      <c r="E178" s="132"/>
      <c r="F178" s="53"/>
      <c r="G178" s="69"/>
      <c r="H178" s="127"/>
      <c r="I178" s="128">
        <f t="shared" si="24"/>
        <v>17328.668401465759</v>
      </c>
    </row>
    <row r="179" spans="1:9" ht="15" customHeight="1">
      <c r="A179" s="65">
        <f t="shared" si="21"/>
        <v>2002</v>
      </c>
      <c r="B179" s="104">
        <f t="shared" si="22"/>
        <v>20963</v>
      </c>
      <c r="C179" s="126">
        <f t="shared" si="23"/>
        <v>2.6177286830661457E-2</v>
      </c>
      <c r="D179" s="67">
        <f t="shared" si="25"/>
        <v>14</v>
      </c>
      <c r="E179" s="132"/>
      <c r="F179" s="53"/>
      <c r="G179" s="69"/>
      <c r="H179" s="127"/>
      <c r="I179" s="128">
        <f t="shared" si="24"/>
        <v>18214.707376515937</v>
      </c>
    </row>
    <row r="180" spans="1:9" ht="15" customHeight="1">
      <c r="A180" s="65">
        <f t="shared" si="21"/>
        <v>2003</v>
      </c>
      <c r="B180" s="104">
        <f t="shared" si="22"/>
        <v>21131</v>
      </c>
      <c r="C180" s="126">
        <f t="shared" si="23"/>
        <v>1.0357420400453442E-2</v>
      </c>
      <c r="D180" s="67">
        <f t="shared" si="25"/>
        <v>15</v>
      </c>
      <c r="E180" s="132"/>
      <c r="F180" s="53"/>
      <c r="G180" s="69"/>
      <c r="H180" s="127"/>
      <c r="I180" s="128">
        <f t="shared" si="24"/>
        <v>19111.628241843537</v>
      </c>
    </row>
    <row r="181" spans="1:9" ht="15" customHeight="1">
      <c r="A181" s="65">
        <f t="shared" si="21"/>
        <v>2004</v>
      </c>
      <c r="B181" s="104">
        <f t="shared" si="22"/>
        <v>21241</v>
      </c>
      <c r="C181" s="126">
        <f t="shared" si="23"/>
        <v>0</v>
      </c>
      <c r="D181" s="67">
        <f t="shared" si="25"/>
        <v>16</v>
      </c>
      <c r="E181" s="106"/>
      <c r="F181" s="53"/>
      <c r="G181" s="69"/>
      <c r="H181" s="127"/>
      <c r="I181" s="128">
        <f t="shared" si="24"/>
        <v>20016.285820922374</v>
      </c>
    </row>
    <row r="182" spans="1:9" ht="15" customHeight="1">
      <c r="A182" s="65">
        <f t="shared" si="21"/>
        <v>2005</v>
      </c>
      <c r="B182" s="104">
        <f t="shared" si="22"/>
        <v>21184</v>
      </c>
      <c r="C182" s="126">
        <f t="shared" si="23"/>
        <v>5.3669918385944688E-3</v>
      </c>
      <c r="D182" s="67">
        <f t="shared" si="25"/>
        <v>17</v>
      </c>
      <c r="E182" s="83"/>
      <c r="F182" s="69"/>
      <c r="G182" s="69"/>
      <c r="H182" s="127"/>
      <c r="I182" s="128">
        <f t="shared" si="24"/>
        <v>20925.423367243457</v>
      </c>
    </row>
    <row r="183" spans="1:9" ht="15" customHeight="1">
      <c r="A183" s="65">
        <f t="shared" si="21"/>
        <v>2006</v>
      </c>
      <c r="B183" s="104">
        <f t="shared" si="22"/>
        <v>20836</v>
      </c>
      <c r="C183" s="126">
        <f t="shared" si="23"/>
        <v>3.8138419990009602E-2</v>
      </c>
      <c r="D183" s="67">
        <f t="shared" si="25"/>
        <v>18</v>
      </c>
      <c r="E183" s="83"/>
      <c r="F183" s="69"/>
      <c r="G183" s="69"/>
      <c r="H183" s="127"/>
      <c r="I183" s="128">
        <f t="shared" si="24"/>
        <v>21835.718871490048</v>
      </c>
    </row>
    <row r="184" spans="1:9" ht="15" customHeight="1" thickBot="1">
      <c r="A184" s="97">
        <f t="shared" si="21"/>
        <v>2007</v>
      </c>
      <c r="B184" s="116">
        <f t="shared" si="22"/>
        <v>21215</v>
      </c>
      <c r="C184" s="141">
        <f t="shared" si="23"/>
        <v>2.4480968867019973E-3</v>
      </c>
      <c r="D184" s="99">
        <f t="shared" si="25"/>
        <v>19</v>
      </c>
      <c r="E184" s="142"/>
      <c r="F184" s="100"/>
      <c r="G184" s="100"/>
      <c r="H184" s="143"/>
      <c r="I184" s="144">
        <f t="shared" si="24"/>
        <v>22743.833377094528</v>
      </c>
    </row>
    <row r="185" spans="1:9" ht="15" customHeight="1" thickTop="1">
      <c r="A185" s="255">
        <f t="shared" si="21"/>
        <v>2008</v>
      </c>
      <c r="B185" s="81">
        <f t="shared" ref="B185:B202" si="26">ROUND(F$168/(1+EXP(F$166+F$165*D185)),0)</f>
        <v>23646</v>
      </c>
      <c r="C185" s="257"/>
      <c r="D185" s="77">
        <f t="shared" si="25"/>
        <v>20</v>
      </c>
      <c r="E185" s="122"/>
      <c r="F185" s="78"/>
      <c r="G185" s="78"/>
      <c r="H185" s="258"/>
      <c r="I185" s="133">
        <f t="shared" si="24"/>
        <v>23646.459820596709</v>
      </c>
    </row>
    <row r="186" spans="1:9" ht="15" customHeight="1">
      <c r="A186" s="80">
        <v>2009</v>
      </c>
      <c r="B186" s="81">
        <f t="shared" si="26"/>
        <v>24540</v>
      </c>
      <c r="C186" s="134"/>
      <c r="D186" s="67">
        <f t="shared" si="25"/>
        <v>21</v>
      </c>
      <c r="E186" s="83"/>
      <c r="F186" s="69"/>
      <c r="G186" s="69"/>
      <c r="H186" s="84"/>
      <c r="I186" s="128">
        <f t="shared" si="24"/>
        <v>24540.370885492212</v>
      </c>
    </row>
    <row r="187" spans="1:9" ht="15" customHeight="1">
      <c r="A187" s="80">
        <v>2010</v>
      </c>
      <c r="B187" s="81">
        <f t="shared" si="26"/>
        <v>25422</v>
      </c>
      <c r="C187" s="134"/>
      <c r="D187" s="67">
        <f t="shared" si="25"/>
        <v>22</v>
      </c>
      <c r="E187" s="83"/>
      <c r="F187" s="69"/>
      <c r="G187" s="69"/>
      <c r="H187" s="84"/>
      <c r="I187" s="128">
        <f t="shared" si="24"/>
        <v>25422.464410314162</v>
      </c>
    </row>
    <row r="188" spans="1:9" ht="15" customHeight="1">
      <c r="A188" s="80">
        <v>2011</v>
      </c>
      <c r="B188" s="81">
        <f t="shared" si="26"/>
        <v>26290</v>
      </c>
      <c r="C188" s="134"/>
      <c r="D188" s="67">
        <f t="shared" si="25"/>
        <v>23</v>
      </c>
      <c r="E188" s="83"/>
      <c r="F188" s="69"/>
      <c r="G188" s="69"/>
      <c r="H188" s="84"/>
      <c r="I188" s="128">
        <f t="shared" si="24"/>
        <v>26289.805019367737</v>
      </c>
    </row>
    <row r="189" spans="1:9" ht="15" customHeight="1">
      <c r="A189" s="80">
        <v>2012</v>
      </c>
      <c r="B189" s="81">
        <f t="shared" si="26"/>
        <v>27140</v>
      </c>
      <c r="C189" s="134"/>
      <c r="D189" s="67">
        <f t="shared" si="25"/>
        <v>24</v>
      </c>
      <c r="E189" s="83"/>
      <c r="F189" s="69"/>
      <c r="G189" s="69"/>
      <c r="H189" s="84"/>
      <c r="I189" s="128">
        <f t="shared" si="24"/>
        <v>27139.660837747731</v>
      </c>
    </row>
    <row r="190" spans="1:9" ht="15" customHeight="1">
      <c r="A190" s="80">
        <v>2013</v>
      </c>
      <c r="B190" s="81">
        <f t="shared" si="26"/>
        <v>27970</v>
      </c>
      <c r="C190" s="134"/>
      <c r="D190" s="67">
        <f t="shared" si="25"/>
        <v>25</v>
      </c>
      <c r="E190" s="83"/>
      <c r="F190" s="69"/>
      <c r="G190" s="69"/>
      <c r="H190" s="84"/>
      <c r="I190" s="128">
        <f t="shared" si="24"/>
        <v>27969.534396126841</v>
      </c>
    </row>
    <row r="191" spans="1:9" ht="15" customHeight="1">
      <c r="A191" s="80">
        <v>2014</v>
      </c>
      <c r="B191" s="81">
        <f t="shared" si="26"/>
        <v>28777</v>
      </c>
      <c r="C191" s="134"/>
      <c r="D191" s="67">
        <f t="shared" si="25"/>
        <v>26</v>
      </c>
      <c r="E191" s="83"/>
      <c r="F191" s="69"/>
      <c r="G191" s="69"/>
      <c r="H191" s="84"/>
      <c r="I191" s="128">
        <f t="shared" si="24"/>
        <v>28777.187107216509</v>
      </c>
    </row>
    <row r="192" spans="1:9" ht="15" customHeight="1">
      <c r="A192" s="80">
        <v>2015</v>
      </c>
      <c r="B192" s="81">
        <f t="shared" si="26"/>
        <v>29561</v>
      </c>
      <c r="C192" s="134"/>
      <c r="D192" s="67">
        <f t="shared" si="25"/>
        <v>27</v>
      </c>
      <c r="E192" s="83"/>
      <c r="F192" s="69"/>
      <c r="G192" s="69"/>
      <c r="H192" s="84"/>
      <c r="I192" s="128">
        <f t="shared" si="24"/>
        <v>29560.656985341942</v>
      </c>
    </row>
    <row r="193" spans="1:10" ht="15" customHeight="1">
      <c r="A193" s="80">
        <v>2016</v>
      </c>
      <c r="B193" s="81">
        <f t="shared" si="26"/>
        <v>30318</v>
      </c>
      <c r="C193" s="134"/>
      <c r="D193" s="67">
        <f t="shared" si="25"/>
        <v>28</v>
      </c>
      <c r="E193" s="83"/>
      <c r="F193" s="69"/>
      <c r="G193" s="69"/>
      <c r="H193" s="84"/>
      <c r="I193" s="128">
        <f t="shared" si="24"/>
        <v>30318.269564326696</v>
      </c>
    </row>
    <row r="194" spans="1:10" ht="15" customHeight="1">
      <c r="A194" s="80">
        <v>2017</v>
      </c>
      <c r="B194" s="81">
        <f t="shared" si="26"/>
        <v>31049</v>
      </c>
      <c r="C194" s="134"/>
      <c r="D194" s="67">
        <f t="shared" si="25"/>
        <v>29</v>
      </c>
      <c r="E194" s="83"/>
      <c r="F194" s="69"/>
      <c r="G194" s="69"/>
      <c r="H194" s="84"/>
      <c r="I194" s="128">
        <f t="shared" si="24"/>
        <v>31048.642230102043</v>
      </c>
    </row>
    <row r="195" spans="1:10" ht="15" customHeight="1">
      <c r="A195" s="80">
        <v>2018</v>
      </c>
      <c r="B195" s="81">
        <f t="shared" si="26"/>
        <v>31751</v>
      </c>
      <c r="C195" s="134"/>
      <c r="D195" s="67">
        <f t="shared" si="25"/>
        <v>30</v>
      </c>
      <c r="E195" s="83"/>
      <c r="F195" s="69"/>
      <c r="G195" s="69"/>
      <c r="H195" s="84"/>
      <c r="I195" s="128">
        <f t="shared" si="24"/>
        <v>31750.682409795623</v>
      </c>
    </row>
    <row r="196" spans="1:10" ht="15" customHeight="1">
      <c r="A196" s="80">
        <v>2019</v>
      </c>
      <c r="B196" s="81">
        <f t="shared" si="26"/>
        <v>32424</v>
      </c>
      <c r="C196" s="134"/>
      <c r="D196" s="67">
        <f t="shared" si="25"/>
        <v>31</v>
      </c>
      <c r="E196" s="83"/>
      <c r="F196" s="69"/>
      <c r="G196" s="69"/>
      <c r="H196" s="84"/>
      <c r="I196" s="128">
        <f t="shared" si="24"/>
        <v>32423.580239312927</v>
      </c>
    </row>
    <row r="197" spans="1:10" ht="15" customHeight="1">
      <c r="A197" s="80">
        <v>2020</v>
      </c>
      <c r="B197" s="81">
        <f t="shared" si="26"/>
        <v>33067</v>
      </c>
      <c r="C197" s="134"/>
      <c r="D197" s="67">
        <f t="shared" si="25"/>
        <v>32</v>
      </c>
      <c r="E197" s="83"/>
      <c r="F197" s="69"/>
      <c r="G197" s="69"/>
      <c r="H197" s="84"/>
      <c r="I197" s="128">
        <f t="shared" si="24"/>
        <v>33066.796461777019</v>
      </c>
    </row>
    <row r="198" spans="1:10" ht="15" customHeight="1">
      <c r="A198" s="80">
        <v>2021</v>
      </c>
      <c r="B198" s="81">
        <f t="shared" si="26"/>
        <v>33680</v>
      </c>
      <c r="C198" s="134"/>
      <c r="D198" s="67">
        <f t="shared" si="25"/>
        <v>33</v>
      </c>
      <c r="E198" s="83"/>
      <c r="F198" s="69"/>
      <c r="G198" s="69"/>
      <c r="H198" s="84"/>
      <c r="I198" s="128">
        <f t="shared" si="24"/>
        <v>33680.046388945921</v>
      </c>
    </row>
    <row r="199" spans="1:10" ht="15" customHeight="1">
      <c r="A199" s="80">
        <v>2022</v>
      </c>
      <c r="B199" s="81">
        <f t="shared" si="26"/>
        <v>34263</v>
      </c>
      <c r="C199" s="134"/>
      <c r="D199" s="67">
        <f t="shared" si="25"/>
        <v>34</v>
      </c>
      <c r="E199" s="83"/>
      <c r="F199" s="69"/>
      <c r="G199" s="69"/>
      <c r="H199" s="84"/>
      <c r="I199" s="128">
        <f t="shared" si="24"/>
        <v>34263.28078973174</v>
      </c>
    </row>
    <row r="200" spans="1:10" ht="15" customHeight="1">
      <c r="A200" s="80">
        <v>2023</v>
      </c>
      <c r="B200" s="81">
        <f t="shared" si="26"/>
        <v>34817</v>
      </c>
      <c r="C200" s="134"/>
      <c r="D200" s="67">
        <f t="shared" si="25"/>
        <v>35</v>
      </c>
      <c r="E200" s="83"/>
      <c r="F200" s="69"/>
      <c r="G200" s="69"/>
      <c r="H200" s="84"/>
      <c r="I200" s="128">
        <f t="shared" si="24"/>
        <v>34816.664559764875</v>
      </c>
    </row>
    <row r="201" spans="1:10" ht="15" customHeight="1">
      <c r="A201" s="80">
        <v>2024</v>
      </c>
      <c r="B201" s="81">
        <f t="shared" si="26"/>
        <v>35341</v>
      </c>
      <c r="C201" s="135"/>
      <c r="D201" s="67">
        <f t="shared" si="25"/>
        <v>36</v>
      </c>
      <c r="E201" s="69"/>
      <c r="F201" s="69"/>
      <c r="G201" s="69"/>
      <c r="H201" s="69"/>
      <c r="I201" s="136">
        <f t="shared" si="24"/>
        <v>35340.553980934565</v>
      </c>
    </row>
    <row r="202" spans="1:10" ht="15" customHeight="1">
      <c r="A202" s="85">
        <v>2025</v>
      </c>
      <c r="B202" s="86">
        <f t="shared" si="26"/>
        <v>35835</v>
      </c>
      <c r="C202" s="137"/>
      <c r="D202" s="87">
        <f t="shared" si="25"/>
        <v>37</v>
      </c>
      <c r="E202" s="89"/>
      <c r="F202" s="89"/>
      <c r="G202" s="89"/>
      <c r="H202" s="89"/>
      <c r="I202" s="138">
        <f t="shared" si="24"/>
        <v>35835.473308241875</v>
      </c>
    </row>
    <row r="203" spans="1:10" ht="15" customHeight="1">
      <c r="A203" s="56" t="s">
        <v>105</v>
      </c>
      <c r="B203" s="57"/>
    </row>
    <row r="204" spans="1:10" ht="15" customHeight="1">
      <c r="A204" s="56"/>
      <c r="B204" s="57"/>
    </row>
    <row r="205" spans="1:10" ht="24">
      <c r="A205" s="145" t="s">
        <v>32</v>
      </c>
      <c r="B205" s="146" t="s">
        <v>91</v>
      </c>
      <c r="C205" s="147" t="s">
        <v>72</v>
      </c>
      <c r="D205" s="147" t="s">
        <v>92</v>
      </c>
      <c r="E205" s="147" t="s">
        <v>93</v>
      </c>
      <c r="F205" s="147" t="s">
        <v>94</v>
      </c>
      <c r="G205" s="147" t="s">
        <v>95</v>
      </c>
      <c r="H205" s="148" t="s">
        <v>96</v>
      </c>
      <c r="I205" s="149" t="s">
        <v>106</v>
      </c>
      <c r="J205" s="150" t="s">
        <v>107</v>
      </c>
    </row>
    <row r="206" spans="1:10" ht="20.100000000000001" customHeight="1">
      <c r="A206" s="65">
        <v>2008</v>
      </c>
      <c r="B206" s="151">
        <f t="shared" ref="B206:B223" si="27">B25</f>
        <v>21800</v>
      </c>
      <c r="C206" s="152">
        <f t="shared" ref="C206:C223" si="28">B65</f>
        <v>23213</v>
      </c>
      <c r="D206" s="152">
        <f t="shared" ref="D206:D223" si="29">B105</f>
        <v>22060</v>
      </c>
      <c r="E206" s="152"/>
      <c r="F206" s="152">
        <f t="shared" ref="F206:F223" si="30">B185</f>
        <v>23646</v>
      </c>
      <c r="G206" s="152">
        <f t="shared" ref="G206:G223" si="31">ROUND(AVERAGE(B206:F206),1)</f>
        <v>22679.8</v>
      </c>
      <c r="H206" s="152">
        <f t="shared" ref="H206:H223" si="32">ROUND((SUM(B206:F206)-MAX(B206:F206)-MIN(B206:F206))/(COUNT(B206:F206)-2),1)</f>
        <v>22636.5</v>
      </c>
      <c r="I206" s="153">
        <f t="shared" ref="I206:I223" si="33">ROUND(SUMIF(B$224:H$224,"○",B206:H206),0)</f>
        <v>22680</v>
      </c>
      <c r="J206" s="261"/>
    </row>
    <row r="207" spans="1:10" ht="20.100000000000001" customHeight="1">
      <c r="A207" s="80">
        <v>2009</v>
      </c>
      <c r="B207" s="151">
        <f t="shared" si="27"/>
        <v>22386</v>
      </c>
      <c r="C207" s="152">
        <f t="shared" si="28"/>
        <v>24020</v>
      </c>
      <c r="D207" s="152">
        <f t="shared" si="29"/>
        <v>22939</v>
      </c>
      <c r="E207" s="152"/>
      <c r="F207" s="152">
        <f t="shared" si="30"/>
        <v>24540</v>
      </c>
      <c r="G207" s="152">
        <f t="shared" si="31"/>
        <v>23471.3</v>
      </c>
      <c r="H207" s="152">
        <f t="shared" si="32"/>
        <v>23479.5</v>
      </c>
      <c r="I207" s="153">
        <f t="shared" si="33"/>
        <v>23471</v>
      </c>
      <c r="J207" s="154"/>
    </row>
    <row r="208" spans="1:10" ht="20.100000000000001" customHeight="1">
      <c r="A208" s="80">
        <v>2010</v>
      </c>
      <c r="B208" s="151">
        <f t="shared" si="27"/>
        <v>22971</v>
      </c>
      <c r="C208" s="152">
        <f t="shared" si="28"/>
        <v>24827</v>
      </c>
      <c r="D208" s="152">
        <f t="shared" si="29"/>
        <v>23854</v>
      </c>
      <c r="E208" s="152"/>
      <c r="F208" s="152">
        <f t="shared" si="30"/>
        <v>25422</v>
      </c>
      <c r="G208" s="152">
        <f t="shared" si="31"/>
        <v>24268.5</v>
      </c>
      <c r="H208" s="152">
        <f t="shared" si="32"/>
        <v>24340.5</v>
      </c>
      <c r="I208" s="153">
        <f t="shared" si="33"/>
        <v>24269</v>
      </c>
      <c r="J208" s="154"/>
    </row>
    <row r="209" spans="1:49" ht="20.100000000000001" customHeight="1">
      <c r="A209" s="80">
        <v>2011</v>
      </c>
      <c r="B209" s="151">
        <f t="shared" si="27"/>
        <v>23557</v>
      </c>
      <c r="C209" s="152">
        <f t="shared" si="28"/>
        <v>25634</v>
      </c>
      <c r="D209" s="152">
        <f t="shared" si="29"/>
        <v>24806</v>
      </c>
      <c r="E209" s="152"/>
      <c r="F209" s="152">
        <f t="shared" si="30"/>
        <v>26290</v>
      </c>
      <c r="G209" s="152">
        <f t="shared" si="31"/>
        <v>25071.8</v>
      </c>
      <c r="H209" s="152">
        <f t="shared" si="32"/>
        <v>25220</v>
      </c>
      <c r="I209" s="153">
        <f t="shared" si="33"/>
        <v>25072</v>
      </c>
      <c r="J209" s="154"/>
    </row>
    <row r="210" spans="1:49" ht="20.100000000000001" customHeight="1">
      <c r="A210" s="80">
        <v>2012</v>
      </c>
      <c r="B210" s="151">
        <f t="shared" si="27"/>
        <v>24142</v>
      </c>
      <c r="C210" s="152">
        <f t="shared" si="28"/>
        <v>26440</v>
      </c>
      <c r="D210" s="152">
        <f t="shared" si="29"/>
        <v>25795</v>
      </c>
      <c r="E210" s="152"/>
      <c r="F210" s="152">
        <f t="shared" si="30"/>
        <v>27140</v>
      </c>
      <c r="G210" s="152">
        <f t="shared" si="31"/>
        <v>25879.3</v>
      </c>
      <c r="H210" s="152">
        <f t="shared" si="32"/>
        <v>26117.5</v>
      </c>
      <c r="I210" s="153">
        <f t="shared" si="33"/>
        <v>25879</v>
      </c>
      <c r="J210" s="154"/>
    </row>
    <row r="211" spans="1:49" ht="20.100000000000001" customHeight="1">
      <c r="A211" s="80">
        <v>2013</v>
      </c>
      <c r="B211" s="151">
        <f t="shared" si="27"/>
        <v>24728</v>
      </c>
      <c r="C211" s="152">
        <f t="shared" si="28"/>
        <v>27247</v>
      </c>
      <c r="D211" s="152">
        <f t="shared" si="29"/>
        <v>26823</v>
      </c>
      <c r="E211" s="152"/>
      <c r="F211" s="152">
        <f t="shared" si="30"/>
        <v>27970</v>
      </c>
      <c r="G211" s="152">
        <f t="shared" si="31"/>
        <v>26692</v>
      </c>
      <c r="H211" s="152">
        <f t="shared" si="32"/>
        <v>27035</v>
      </c>
      <c r="I211" s="153">
        <f t="shared" si="33"/>
        <v>26692</v>
      </c>
      <c r="J211" s="154"/>
    </row>
    <row r="212" spans="1:49" ht="20.100000000000001" customHeight="1">
      <c r="A212" s="80">
        <v>2014</v>
      </c>
      <c r="B212" s="151">
        <f t="shared" si="27"/>
        <v>25313</v>
      </c>
      <c r="C212" s="152">
        <f t="shared" si="28"/>
        <v>28054</v>
      </c>
      <c r="D212" s="152">
        <f t="shared" si="29"/>
        <v>27893</v>
      </c>
      <c r="E212" s="152"/>
      <c r="F212" s="152">
        <f t="shared" si="30"/>
        <v>28777</v>
      </c>
      <c r="G212" s="152">
        <f t="shared" si="31"/>
        <v>27509.3</v>
      </c>
      <c r="H212" s="152">
        <f t="shared" si="32"/>
        <v>27973.5</v>
      </c>
      <c r="I212" s="153">
        <f t="shared" si="33"/>
        <v>27509</v>
      </c>
      <c r="J212" s="154"/>
    </row>
    <row r="213" spans="1:49" ht="20.100000000000001" customHeight="1">
      <c r="A213" s="80">
        <v>2015</v>
      </c>
      <c r="B213" s="151">
        <f t="shared" si="27"/>
        <v>25899</v>
      </c>
      <c r="C213" s="152">
        <f t="shared" si="28"/>
        <v>28861</v>
      </c>
      <c r="D213" s="152">
        <f t="shared" si="29"/>
        <v>29006</v>
      </c>
      <c r="E213" s="152"/>
      <c r="F213" s="152">
        <f t="shared" si="30"/>
        <v>29561</v>
      </c>
      <c r="G213" s="152">
        <f t="shared" si="31"/>
        <v>28331.8</v>
      </c>
      <c r="H213" s="152">
        <f t="shared" si="32"/>
        <v>28933.5</v>
      </c>
      <c r="I213" s="153">
        <f t="shared" si="33"/>
        <v>28332</v>
      </c>
      <c r="J213" s="154"/>
    </row>
    <row r="214" spans="1:49" ht="20.100000000000001" customHeight="1">
      <c r="A214" s="80">
        <v>2016</v>
      </c>
      <c r="B214" s="151">
        <f t="shared" si="27"/>
        <v>26484</v>
      </c>
      <c r="C214" s="152">
        <f t="shared" si="28"/>
        <v>29667</v>
      </c>
      <c r="D214" s="152">
        <f t="shared" si="29"/>
        <v>30162</v>
      </c>
      <c r="E214" s="152"/>
      <c r="F214" s="152">
        <f t="shared" si="30"/>
        <v>30318</v>
      </c>
      <c r="G214" s="152">
        <f t="shared" si="31"/>
        <v>29157.8</v>
      </c>
      <c r="H214" s="152">
        <f t="shared" si="32"/>
        <v>29914.5</v>
      </c>
      <c r="I214" s="153">
        <f t="shared" si="33"/>
        <v>29158</v>
      </c>
      <c r="J214" s="154"/>
    </row>
    <row r="215" spans="1:49" ht="20.100000000000001" customHeight="1">
      <c r="A215" s="80">
        <v>2017</v>
      </c>
      <c r="B215" s="151">
        <f t="shared" si="27"/>
        <v>27070</v>
      </c>
      <c r="C215" s="152">
        <f t="shared" si="28"/>
        <v>30474</v>
      </c>
      <c r="D215" s="152">
        <f t="shared" si="29"/>
        <v>31365</v>
      </c>
      <c r="E215" s="152"/>
      <c r="F215" s="152">
        <f t="shared" si="30"/>
        <v>31049</v>
      </c>
      <c r="G215" s="152">
        <f t="shared" si="31"/>
        <v>29989.5</v>
      </c>
      <c r="H215" s="152">
        <f t="shared" si="32"/>
        <v>30761.5</v>
      </c>
      <c r="I215" s="153">
        <f t="shared" si="33"/>
        <v>29990</v>
      </c>
      <c r="J215" s="154"/>
    </row>
    <row r="216" spans="1:49" ht="20.100000000000001" customHeight="1">
      <c r="A216" s="80">
        <v>2018</v>
      </c>
      <c r="B216" s="151">
        <f t="shared" si="27"/>
        <v>27655</v>
      </c>
      <c r="C216" s="152">
        <f t="shared" si="28"/>
        <v>31281</v>
      </c>
      <c r="D216" s="152">
        <f t="shared" si="29"/>
        <v>32616</v>
      </c>
      <c r="E216" s="152"/>
      <c r="F216" s="152">
        <f t="shared" si="30"/>
        <v>31751</v>
      </c>
      <c r="G216" s="152">
        <f t="shared" si="31"/>
        <v>30825.8</v>
      </c>
      <c r="H216" s="152">
        <f t="shared" si="32"/>
        <v>31516</v>
      </c>
      <c r="I216" s="153">
        <f t="shared" si="33"/>
        <v>30826</v>
      </c>
      <c r="J216" s="154"/>
    </row>
    <row r="217" spans="1:49" ht="20.100000000000001" customHeight="1">
      <c r="A217" s="80">
        <v>2019</v>
      </c>
      <c r="B217" s="151">
        <f t="shared" si="27"/>
        <v>28241</v>
      </c>
      <c r="C217" s="152">
        <f t="shared" si="28"/>
        <v>32088</v>
      </c>
      <c r="D217" s="152">
        <f t="shared" si="29"/>
        <v>33917</v>
      </c>
      <c r="E217" s="152"/>
      <c r="F217" s="152">
        <f t="shared" si="30"/>
        <v>32424</v>
      </c>
      <c r="G217" s="152">
        <f t="shared" si="31"/>
        <v>31667.5</v>
      </c>
      <c r="H217" s="152">
        <f t="shared" si="32"/>
        <v>32256</v>
      </c>
      <c r="I217" s="153">
        <f t="shared" si="33"/>
        <v>31668</v>
      </c>
      <c r="J217" s="154"/>
    </row>
    <row r="218" spans="1:49" ht="20.100000000000001" customHeight="1">
      <c r="A218" s="80">
        <v>2020</v>
      </c>
      <c r="B218" s="151">
        <f t="shared" si="27"/>
        <v>28826</v>
      </c>
      <c r="C218" s="152">
        <f t="shared" si="28"/>
        <v>32894</v>
      </c>
      <c r="D218" s="152">
        <f t="shared" si="29"/>
        <v>35269</v>
      </c>
      <c r="E218" s="152"/>
      <c r="F218" s="152">
        <f t="shared" si="30"/>
        <v>33067</v>
      </c>
      <c r="G218" s="152">
        <f t="shared" si="31"/>
        <v>32514</v>
      </c>
      <c r="H218" s="152">
        <f t="shared" si="32"/>
        <v>32980.5</v>
      </c>
      <c r="I218" s="153">
        <f t="shared" si="33"/>
        <v>32514</v>
      </c>
      <c r="J218" s="154"/>
    </row>
    <row r="219" spans="1:49" ht="20.100000000000001" customHeight="1">
      <c r="A219" s="80">
        <v>2021</v>
      </c>
      <c r="B219" s="151">
        <f t="shared" si="27"/>
        <v>29412</v>
      </c>
      <c r="C219" s="152">
        <f t="shared" si="28"/>
        <v>33701</v>
      </c>
      <c r="D219" s="152">
        <f t="shared" si="29"/>
        <v>36676</v>
      </c>
      <c r="E219" s="152"/>
      <c r="F219" s="152">
        <f t="shared" si="30"/>
        <v>33680</v>
      </c>
      <c r="G219" s="152">
        <f t="shared" si="31"/>
        <v>33367.300000000003</v>
      </c>
      <c r="H219" s="152">
        <f t="shared" si="32"/>
        <v>33690.5</v>
      </c>
      <c r="I219" s="153">
        <f t="shared" si="33"/>
        <v>33367</v>
      </c>
      <c r="J219" s="154"/>
    </row>
    <row r="220" spans="1:49" ht="20.100000000000001" customHeight="1">
      <c r="A220" s="80">
        <v>2022</v>
      </c>
      <c r="B220" s="151">
        <f t="shared" si="27"/>
        <v>29997</v>
      </c>
      <c r="C220" s="152">
        <f t="shared" si="28"/>
        <v>34508</v>
      </c>
      <c r="D220" s="152">
        <f t="shared" si="29"/>
        <v>38139</v>
      </c>
      <c r="E220" s="152"/>
      <c r="F220" s="152">
        <f t="shared" si="30"/>
        <v>34263</v>
      </c>
      <c r="G220" s="152">
        <f t="shared" si="31"/>
        <v>34226.800000000003</v>
      </c>
      <c r="H220" s="152">
        <f t="shared" si="32"/>
        <v>34385.5</v>
      </c>
      <c r="I220" s="153">
        <f t="shared" si="33"/>
        <v>34227</v>
      </c>
      <c r="J220" s="154"/>
      <c r="L220" s="55">
        <v>806200</v>
      </c>
    </row>
    <row r="221" spans="1:49" ht="20.100000000000001" customHeight="1">
      <c r="A221" s="80">
        <v>2023</v>
      </c>
      <c r="B221" s="151">
        <f t="shared" si="27"/>
        <v>30583</v>
      </c>
      <c r="C221" s="152">
        <f t="shared" si="28"/>
        <v>35315</v>
      </c>
      <c r="D221" s="152">
        <f t="shared" si="29"/>
        <v>39659</v>
      </c>
      <c r="E221" s="152"/>
      <c r="F221" s="152">
        <f t="shared" si="30"/>
        <v>34817</v>
      </c>
      <c r="G221" s="152">
        <f t="shared" si="31"/>
        <v>35093.5</v>
      </c>
      <c r="H221" s="152">
        <f t="shared" si="32"/>
        <v>35066</v>
      </c>
      <c r="I221" s="153">
        <f t="shared" si="33"/>
        <v>35094</v>
      </c>
      <c r="J221" s="154"/>
      <c r="K221" s="55">
        <v>51000</v>
      </c>
      <c r="L221" s="75">
        <f>+K221+E221</f>
        <v>51000</v>
      </c>
    </row>
    <row r="222" spans="1:49" ht="20.100000000000001" customHeight="1">
      <c r="A222" s="80">
        <v>2024</v>
      </c>
      <c r="B222" s="151">
        <f t="shared" si="27"/>
        <v>31168</v>
      </c>
      <c r="C222" s="152">
        <f t="shared" si="28"/>
        <v>36121</v>
      </c>
      <c r="D222" s="152">
        <f t="shared" si="29"/>
        <v>41241</v>
      </c>
      <c r="E222" s="152"/>
      <c r="F222" s="152">
        <f t="shared" si="30"/>
        <v>35341</v>
      </c>
      <c r="G222" s="152">
        <f t="shared" si="31"/>
        <v>35967.800000000003</v>
      </c>
      <c r="H222" s="152">
        <f t="shared" si="32"/>
        <v>35731</v>
      </c>
      <c r="I222" s="153">
        <f t="shared" si="33"/>
        <v>35968</v>
      </c>
      <c r="J222" s="154"/>
      <c r="L222" s="75">
        <f>+L220-L221</f>
        <v>755200</v>
      </c>
    </row>
    <row r="223" spans="1:49" ht="19.5" customHeight="1">
      <c r="A223" s="80">
        <v>2025</v>
      </c>
      <c r="B223" s="151">
        <f t="shared" si="27"/>
        <v>31754</v>
      </c>
      <c r="C223" s="152">
        <f t="shared" si="28"/>
        <v>36928</v>
      </c>
      <c r="D223" s="152">
        <f t="shared" si="29"/>
        <v>42886</v>
      </c>
      <c r="E223" s="152"/>
      <c r="F223" s="152">
        <f t="shared" si="30"/>
        <v>35835</v>
      </c>
      <c r="G223" s="152">
        <f t="shared" si="31"/>
        <v>36850.800000000003</v>
      </c>
      <c r="H223" s="152">
        <f t="shared" si="32"/>
        <v>36381.5</v>
      </c>
      <c r="I223" s="153">
        <f t="shared" si="33"/>
        <v>36851</v>
      </c>
      <c r="J223" s="154"/>
      <c r="K223" s="161"/>
      <c r="L223" s="161">
        <f>B165</f>
        <v>10091</v>
      </c>
      <c r="M223" s="162">
        <f>B166</f>
        <v>10204</v>
      </c>
      <c r="N223" s="161">
        <f>B167</f>
        <v>9169</v>
      </c>
      <c r="O223" s="162">
        <f>B168</f>
        <v>9282</v>
      </c>
      <c r="P223" s="161">
        <f>B169</f>
        <v>9168</v>
      </c>
      <c r="Q223" s="162">
        <f>B170</f>
        <v>9159</v>
      </c>
      <c r="R223" s="162">
        <f>B171</f>
        <v>9336</v>
      </c>
      <c r="S223" s="162">
        <f>B172</f>
        <v>11008</v>
      </c>
      <c r="T223" s="162">
        <f>B173</f>
        <v>12272</v>
      </c>
      <c r="U223" s="162">
        <f>B174</f>
        <v>13056</v>
      </c>
      <c r="V223" s="162">
        <f>B175</f>
        <v>14417</v>
      </c>
      <c r="W223" s="162">
        <f>B176</f>
        <v>15218</v>
      </c>
      <c r="X223" s="162">
        <f>B177</f>
        <v>16870</v>
      </c>
      <c r="Y223" s="162">
        <f>B178</f>
        <v>19029</v>
      </c>
      <c r="Z223" s="162">
        <f>B179</f>
        <v>20963</v>
      </c>
      <c r="AA223" s="162">
        <f>B180</f>
        <v>21131</v>
      </c>
      <c r="AB223" s="162">
        <f>B181</f>
        <v>21241</v>
      </c>
      <c r="AC223" s="162">
        <f>B182</f>
        <v>21184</v>
      </c>
      <c r="AD223" s="162">
        <f>B183</f>
        <v>20836</v>
      </c>
      <c r="AE223" s="162">
        <f>B184</f>
        <v>21215</v>
      </c>
      <c r="AF223" s="162">
        <f>$B185</f>
        <v>23646</v>
      </c>
      <c r="AG223" s="162"/>
      <c r="AH223" s="161"/>
      <c r="AI223" s="161"/>
      <c r="AJ223" s="161"/>
      <c r="AK223" s="161"/>
      <c r="AL223" s="161"/>
      <c r="AM223" s="161"/>
      <c r="AN223" s="161"/>
      <c r="AO223" s="161"/>
      <c r="AP223" s="161"/>
      <c r="AQ223" s="161"/>
      <c r="AR223" s="161"/>
      <c r="AS223" s="161"/>
      <c r="AT223" s="161"/>
      <c r="AU223" s="161"/>
      <c r="AV223" s="161"/>
      <c r="AW223" s="161"/>
    </row>
    <row r="224" spans="1:49" ht="20.100000000000001" customHeight="1">
      <c r="A224" s="155" t="s">
        <v>97</v>
      </c>
      <c r="B224" s="156"/>
      <c r="C224" s="157"/>
      <c r="D224" s="157"/>
      <c r="E224" s="157"/>
      <c r="F224" s="156"/>
      <c r="G224" s="158" t="s">
        <v>243</v>
      </c>
      <c r="H224" s="157"/>
      <c r="I224" s="159"/>
      <c r="J224" s="160"/>
      <c r="K224" s="161"/>
      <c r="L224" s="161"/>
      <c r="M224" s="161"/>
      <c r="N224" s="161"/>
      <c r="O224" s="161"/>
      <c r="P224" s="161"/>
      <c r="Q224" s="161"/>
      <c r="R224" s="161"/>
      <c r="S224" s="161"/>
      <c r="T224" s="161"/>
      <c r="U224" s="161"/>
      <c r="V224" s="161"/>
      <c r="W224" s="161"/>
      <c r="X224" s="161"/>
      <c r="Y224" s="161"/>
      <c r="Z224" s="161"/>
      <c r="AA224" s="161"/>
      <c r="AB224" s="161"/>
      <c r="AC224" s="161"/>
      <c r="AD224" s="161"/>
      <c r="AE224" s="161"/>
      <c r="AF224" s="161"/>
      <c r="AG224" s="161"/>
      <c r="AH224" s="161"/>
      <c r="AI224" s="161"/>
      <c r="AJ224" s="161"/>
      <c r="AK224" s="161"/>
      <c r="AL224" s="161"/>
      <c r="AM224" s="161"/>
      <c r="AN224" s="161"/>
      <c r="AO224" s="161"/>
      <c r="AP224" s="161"/>
      <c r="AQ224" s="161"/>
      <c r="AR224" s="161"/>
      <c r="AS224" s="161"/>
      <c r="AT224" s="161"/>
      <c r="AU224" s="161"/>
      <c r="AV224" s="161"/>
      <c r="AW224" s="161"/>
    </row>
    <row r="225" spans="1:50" s="161" customFormat="1" ht="20.100000000000001" customHeight="1">
      <c r="A225" s="85"/>
      <c r="B225" s="163"/>
      <c r="C225" s="164"/>
      <c r="D225" s="164"/>
      <c r="E225" s="164"/>
      <c r="F225" s="164"/>
      <c r="G225" s="164"/>
      <c r="H225" s="164"/>
      <c r="I225" s="165"/>
      <c r="J225" s="166"/>
      <c r="K225" s="208">
        <f>MAX(B225:I225,F225)</f>
        <v>0</v>
      </c>
      <c r="L225" s="209">
        <f>A165</f>
        <v>1988</v>
      </c>
      <c r="M225" s="209">
        <f t="shared" ref="M225:AW225" si="34">+L225+1</f>
        <v>1989</v>
      </c>
      <c r="N225" s="209">
        <f t="shared" si="34"/>
        <v>1990</v>
      </c>
      <c r="O225" s="209">
        <f t="shared" si="34"/>
        <v>1991</v>
      </c>
      <c r="P225" s="209">
        <f t="shared" si="34"/>
        <v>1992</v>
      </c>
      <c r="Q225" s="209">
        <f t="shared" si="34"/>
        <v>1993</v>
      </c>
      <c r="R225" s="209">
        <f t="shared" si="34"/>
        <v>1994</v>
      </c>
      <c r="S225" s="209">
        <f t="shared" si="34"/>
        <v>1995</v>
      </c>
      <c r="T225" s="209">
        <f t="shared" si="34"/>
        <v>1996</v>
      </c>
      <c r="U225" s="209">
        <f t="shared" si="34"/>
        <v>1997</v>
      </c>
      <c r="V225" s="209">
        <f t="shared" si="34"/>
        <v>1998</v>
      </c>
      <c r="W225" s="209">
        <f t="shared" si="34"/>
        <v>1999</v>
      </c>
      <c r="X225" s="209">
        <f t="shared" si="34"/>
        <v>2000</v>
      </c>
      <c r="Y225" s="209">
        <f t="shared" si="34"/>
        <v>2001</v>
      </c>
      <c r="Z225" s="209">
        <f t="shared" si="34"/>
        <v>2002</v>
      </c>
      <c r="AA225" s="209">
        <f t="shared" si="34"/>
        <v>2003</v>
      </c>
      <c r="AB225" s="209">
        <f t="shared" si="34"/>
        <v>2004</v>
      </c>
      <c r="AC225" s="209">
        <f t="shared" si="34"/>
        <v>2005</v>
      </c>
      <c r="AD225" s="209">
        <f t="shared" si="34"/>
        <v>2006</v>
      </c>
      <c r="AE225" s="209">
        <f t="shared" si="34"/>
        <v>2007</v>
      </c>
      <c r="AF225" s="209">
        <f t="shared" si="34"/>
        <v>2008</v>
      </c>
      <c r="AG225" s="209">
        <f t="shared" si="34"/>
        <v>2009</v>
      </c>
      <c r="AH225" s="209">
        <f t="shared" si="34"/>
        <v>2010</v>
      </c>
      <c r="AI225" s="209">
        <f t="shared" si="34"/>
        <v>2011</v>
      </c>
      <c r="AJ225" s="209">
        <f t="shared" si="34"/>
        <v>2012</v>
      </c>
      <c r="AK225" s="209">
        <f t="shared" si="34"/>
        <v>2013</v>
      </c>
      <c r="AL225" s="209">
        <f t="shared" si="34"/>
        <v>2014</v>
      </c>
      <c r="AM225" s="209">
        <f t="shared" si="34"/>
        <v>2015</v>
      </c>
      <c r="AN225" s="209">
        <f t="shared" si="34"/>
        <v>2016</v>
      </c>
      <c r="AO225" s="209">
        <f t="shared" si="34"/>
        <v>2017</v>
      </c>
      <c r="AP225" s="209">
        <f t="shared" si="34"/>
        <v>2018</v>
      </c>
      <c r="AQ225" s="209">
        <f t="shared" si="34"/>
        <v>2019</v>
      </c>
      <c r="AR225" s="209">
        <f t="shared" si="34"/>
        <v>2020</v>
      </c>
      <c r="AS225" s="209">
        <f t="shared" si="34"/>
        <v>2021</v>
      </c>
      <c r="AT225" s="209">
        <f t="shared" si="34"/>
        <v>2022</v>
      </c>
      <c r="AU225" s="209">
        <f t="shared" si="34"/>
        <v>2023</v>
      </c>
      <c r="AV225" s="209">
        <f t="shared" si="34"/>
        <v>2024</v>
      </c>
      <c r="AW225" s="209">
        <f t="shared" si="34"/>
        <v>2025</v>
      </c>
    </row>
    <row r="226" spans="1:50" ht="20.100000000000001" customHeight="1">
      <c r="A226" s="167" t="s">
        <v>98</v>
      </c>
      <c r="B226" s="168">
        <f>I4</f>
        <v>0.89613899465176383</v>
      </c>
      <c r="C226" s="169">
        <f>I44</f>
        <v>0.90901228649151367</v>
      </c>
      <c r="D226" s="169">
        <f>I84</f>
        <v>0.90788524209221566</v>
      </c>
      <c r="E226" s="169"/>
      <c r="F226" s="169">
        <f>I164</f>
        <v>0.9257850147375859</v>
      </c>
      <c r="G226" s="170"/>
      <c r="H226" s="171"/>
      <c r="I226" s="172"/>
      <c r="J226" s="173"/>
      <c r="K226" s="209" t="s">
        <v>99</v>
      </c>
      <c r="L226" s="209"/>
      <c r="M226" s="209"/>
      <c r="N226" s="209"/>
      <c r="O226" s="209"/>
      <c r="P226" s="209"/>
      <c r="Q226" s="209"/>
      <c r="R226" s="209"/>
      <c r="S226" s="209"/>
      <c r="T226" s="209"/>
      <c r="U226" s="209"/>
      <c r="V226" s="209"/>
      <c r="W226" s="209"/>
      <c r="X226" s="209"/>
      <c r="Y226" s="209"/>
      <c r="Z226" s="209"/>
      <c r="AA226" s="209"/>
      <c r="AB226" s="209"/>
      <c r="AC226" s="209"/>
      <c r="AD226" s="209"/>
      <c r="AE226" s="210">
        <f>+AE223</f>
        <v>21215</v>
      </c>
      <c r="AF226" s="210">
        <f>+B25</f>
        <v>21800</v>
      </c>
      <c r="AG226" s="210">
        <f>B26</f>
        <v>22386</v>
      </c>
      <c r="AH226" s="210">
        <f>B27</f>
        <v>22971</v>
      </c>
      <c r="AI226" s="210">
        <f>B28</f>
        <v>23557</v>
      </c>
      <c r="AJ226" s="210">
        <f>B29</f>
        <v>24142</v>
      </c>
      <c r="AK226" s="210">
        <f>B30</f>
        <v>24728</v>
      </c>
      <c r="AL226" s="210">
        <f>B31</f>
        <v>25313</v>
      </c>
      <c r="AM226" s="210">
        <f>B32</f>
        <v>25899</v>
      </c>
      <c r="AN226" s="210">
        <f>B33</f>
        <v>26484</v>
      </c>
      <c r="AO226" s="210">
        <f>B34</f>
        <v>27070</v>
      </c>
      <c r="AP226" s="210">
        <f>B35</f>
        <v>27655</v>
      </c>
      <c r="AQ226" s="210">
        <f>B36</f>
        <v>28241</v>
      </c>
      <c r="AR226" s="210">
        <f>B37</f>
        <v>28826</v>
      </c>
      <c r="AS226" s="210">
        <f>B38</f>
        <v>29412</v>
      </c>
      <c r="AT226" s="210">
        <f>B39</f>
        <v>29997</v>
      </c>
      <c r="AU226" s="210">
        <f>B40</f>
        <v>30583</v>
      </c>
      <c r="AV226" s="210">
        <f>B41</f>
        <v>31168</v>
      </c>
      <c r="AW226" s="210">
        <f>B42</f>
        <v>31754</v>
      </c>
      <c r="AX226" s="161"/>
    </row>
    <row r="227" spans="1:50" ht="20.100000000000001" customHeight="1">
      <c r="K227" s="209" t="s">
        <v>100</v>
      </c>
      <c r="L227" s="209"/>
      <c r="M227" s="209"/>
      <c r="N227" s="209"/>
      <c r="O227" s="209"/>
      <c r="P227" s="209"/>
      <c r="Q227" s="209"/>
      <c r="R227" s="209"/>
      <c r="S227" s="209"/>
      <c r="T227" s="209"/>
      <c r="U227" s="209"/>
      <c r="V227" s="209"/>
      <c r="W227" s="209"/>
      <c r="X227" s="209"/>
      <c r="Y227" s="209"/>
      <c r="Z227" s="209"/>
      <c r="AA227" s="209"/>
      <c r="AB227" s="209"/>
      <c r="AC227" s="209"/>
      <c r="AD227" s="209"/>
      <c r="AE227" s="210">
        <f>+AE226</f>
        <v>21215</v>
      </c>
      <c r="AF227" s="210">
        <f>+B65</f>
        <v>23213</v>
      </c>
      <c r="AG227" s="210">
        <f>B66</f>
        <v>24020</v>
      </c>
      <c r="AH227" s="210">
        <f>B67</f>
        <v>24827</v>
      </c>
      <c r="AI227" s="210">
        <f>B68</f>
        <v>25634</v>
      </c>
      <c r="AJ227" s="210">
        <f>B69</f>
        <v>26440</v>
      </c>
      <c r="AK227" s="210">
        <f>B70</f>
        <v>27247</v>
      </c>
      <c r="AL227" s="210">
        <f>B71</f>
        <v>28054</v>
      </c>
      <c r="AM227" s="210">
        <f>B72</f>
        <v>28861</v>
      </c>
      <c r="AN227" s="210">
        <f>B73</f>
        <v>29667</v>
      </c>
      <c r="AO227" s="210">
        <f>B74</f>
        <v>30474</v>
      </c>
      <c r="AP227" s="210">
        <f>B75</f>
        <v>31281</v>
      </c>
      <c r="AQ227" s="210">
        <f>B76</f>
        <v>32088</v>
      </c>
      <c r="AR227" s="210">
        <f>B77</f>
        <v>32894</v>
      </c>
      <c r="AS227" s="210">
        <f>B78</f>
        <v>33701</v>
      </c>
      <c r="AT227" s="210">
        <f>B79</f>
        <v>34508</v>
      </c>
      <c r="AU227" s="210">
        <f>B80</f>
        <v>35315</v>
      </c>
      <c r="AV227" s="210">
        <f>B81</f>
        <v>36121</v>
      </c>
      <c r="AW227" s="210">
        <f>B82</f>
        <v>36928</v>
      </c>
      <c r="AX227" s="161"/>
    </row>
    <row r="228" spans="1:50" ht="20.100000000000001" customHeight="1">
      <c r="K228" s="209" t="s">
        <v>101</v>
      </c>
      <c r="L228" s="209"/>
      <c r="M228" s="209"/>
      <c r="N228" s="209"/>
      <c r="O228" s="209"/>
      <c r="P228" s="209"/>
      <c r="Q228" s="209"/>
      <c r="R228" s="209"/>
      <c r="S228" s="209"/>
      <c r="T228" s="209"/>
      <c r="U228" s="209"/>
      <c r="V228" s="209"/>
      <c r="W228" s="209"/>
      <c r="X228" s="209"/>
      <c r="Y228" s="209"/>
      <c r="Z228" s="209"/>
      <c r="AA228" s="209"/>
      <c r="AB228" s="209"/>
      <c r="AC228" s="209"/>
      <c r="AD228" s="209"/>
      <c r="AE228" s="210">
        <f>+AE227</f>
        <v>21215</v>
      </c>
      <c r="AF228" s="210">
        <f>+B105</f>
        <v>22060</v>
      </c>
      <c r="AG228" s="210">
        <f>B106</f>
        <v>22939</v>
      </c>
      <c r="AH228" s="210">
        <f>B107</f>
        <v>23854</v>
      </c>
      <c r="AI228" s="210">
        <f>B108</f>
        <v>24806</v>
      </c>
      <c r="AJ228" s="210">
        <f>B109</f>
        <v>25795</v>
      </c>
      <c r="AK228" s="210">
        <f>B110</f>
        <v>26823</v>
      </c>
      <c r="AL228" s="210">
        <f>B111</f>
        <v>27893</v>
      </c>
      <c r="AM228" s="210">
        <f>B112</f>
        <v>29006</v>
      </c>
      <c r="AN228" s="210">
        <f>B113</f>
        <v>30162</v>
      </c>
      <c r="AO228" s="210">
        <f>B114</f>
        <v>31365</v>
      </c>
      <c r="AP228" s="210">
        <f>B115</f>
        <v>32616</v>
      </c>
      <c r="AQ228" s="210">
        <f>B116</f>
        <v>33917</v>
      </c>
      <c r="AR228" s="210">
        <f>B117</f>
        <v>35269</v>
      </c>
      <c r="AS228" s="210">
        <f>B118</f>
        <v>36676</v>
      </c>
      <c r="AT228" s="210">
        <f>B119</f>
        <v>38139</v>
      </c>
      <c r="AU228" s="210">
        <f>B120</f>
        <v>39659</v>
      </c>
      <c r="AV228" s="210">
        <f>B121</f>
        <v>41241</v>
      </c>
      <c r="AW228" s="210">
        <f>B122</f>
        <v>42886</v>
      </c>
      <c r="AX228" s="161"/>
    </row>
    <row r="229" spans="1:50" ht="20.100000000000001" customHeight="1">
      <c r="K229" s="209" t="s">
        <v>102</v>
      </c>
      <c r="L229" s="209"/>
      <c r="M229" s="209"/>
      <c r="N229" s="209"/>
      <c r="O229" s="209"/>
      <c r="P229" s="209"/>
      <c r="Q229" s="209"/>
      <c r="R229" s="209"/>
      <c r="S229" s="209"/>
      <c r="T229" s="209"/>
      <c r="U229" s="209"/>
      <c r="V229" s="209"/>
      <c r="W229" s="209"/>
      <c r="X229" s="209"/>
      <c r="Y229" s="209"/>
      <c r="Z229" s="209"/>
      <c r="AA229" s="209"/>
      <c r="AB229" s="209"/>
      <c r="AC229" s="209"/>
      <c r="AD229" s="209"/>
      <c r="AE229" s="210">
        <f>+AE228</f>
        <v>21215</v>
      </c>
      <c r="AF229" s="210" t="e">
        <f>+B145</f>
        <v>#VALUE!</v>
      </c>
      <c r="AG229" s="210" t="e">
        <f>+B146</f>
        <v>#VALUE!</v>
      </c>
      <c r="AH229" s="210" t="e">
        <f>+B147</f>
        <v>#VALUE!</v>
      </c>
      <c r="AI229" s="210" t="e">
        <f>+B148</f>
        <v>#VALUE!</v>
      </c>
      <c r="AJ229" s="210" t="e">
        <f>+B149</f>
        <v>#VALUE!</v>
      </c>
      <c r="AK229" s="210" t="e">
        <f>+B150</f>
        <v>#VALUE!</v>
      </c>
      <c r="AL229" s="210" t="e">
        <f>+B151</f>
        <v>#VALUE!</v>
      </c>
      <c r="AM229" s="210" t="e">
        <f>+B152</f>
        <v>#VALUE!</v>
      </c>
      <c r="AN229" s="210" t="e">
        <f>+B153</f>
        <v>#VALUE!</v>
      </c>
      <c r="AO229" s="210" t="e">
        <f>+B154</f>
        <v>#VALUE!</v>
      </c>
      <c r="AP229" s="210" t="e">
        <f>+B155</f>
        <v>#VALUE!</v>
      </c>
      <c r="AQ229" s="210" t="e">
        <f>+B156</f>
        <v>#VALUE!</v>
      </c>
      <c r="AR229" s="210" t="e">
        <f>+B157</f>
        <v>#VALUE!</v>
      </c>
      <c r="AS229" s="210" t="e">
        <f>+B158</f>
        <v>#VALUE!</v>
      </c>
      <c r="AT229" s="210" t="e">
        <f>+B159</f>
        <v>#VALUE!</v>
      </c>
      <c r="AU229" s="210" t="e">
        <f>+B160</f>
        <v>#VALUE!</v>
      </c>
      <c r="AV229" s="210" t="e">
        <f>+B161</f>
        <v>#VALUE!</v>
      </c>
      <c r="AW229" s="210" t="e">
        <f>+B162</f>
        <v>#VALUE!</v>
      </c>
      <c r="AX229" s="161"/>
    </row>
    <row r="230" spans="1:50" ht="20.100000000000001" customHeight="1">
      <c r="K230" s="209" t="s">
        <v>103</v>
      </c>
      <c r="L230" s="209"/>
      <c r="M230" s="209"/>
      <c r="N230" s="209"/>
      <c r="O230" s="209"/>
      <c r="P230" s="209"/>
      <c r="Q230" s="209"/>
      <c r="R230" s="209"/>
      <c r="S230" s="209"/>
      <c r="T230" s="209"/>
      <c r="U230" s="209"/>
      <c r="V230" s="209"/>
      <c r="W230" s="209"/>
      <c r="X230" s="209"/>
      <c r="Y230" s="209"/>
      <c r="Z230" s="209"/>
      <c r="AA230" s="209"/>
      <c r="AB230" s="209"/>
      <c r="AC230" s="209"/>
      <c r="AD230" s="209"/>
      <c r="AE230" s="210">
        <f>+AE229</f>
        <v>21215</v>
      </c>
      <c r="AF230" s="210">
        <f>+B185</f>
        <v>23646</v>
      </c>
      <c r="AG230" s="210">
        <f>B186</f>
        <v>24540</v>
      </c>
      <c r="AH230" s="210">
        <f>B187</f>
        <v>25422</v>
      </c>
      <c r="AI230" s="210">
        <f>B188</f>
        <v>26290</v>
      </c>
      <c r="AJ230" s="210">
        <f>B189</f>
        <v>27140</v>
      </c>
      <c r="AK230" s="210">
        <f>B190</f>
        <v>27970</v>
      </c>
      <c r="AL230" s="210">
        <f>B191</f>
        <v>28777</v>
      </c>
      <c r="AM230" s="210">
        <f>B192</f>
        <v>29561</v>
      </c>
      <c r="AN230" s="210">
        <f>B193</f>
        <v>30318</v>
      </c>
      <c r="AO230" s="210">
        <f>B194</f>
        <v>31049</v>
      </c>
      <c r="AP230" s="210">
        <f>B195</f>
        <v>31751</v>
      </c>
      <c r="AQ230" s="210">
        <f>B196</f>
        <v>32424</v>
      </c>
      <c r="AR230" s="210">
        <f>B197</f>
        <v>33067</v>
      </c>
      <c r="AS230" s="210">
        <f>B198</f>
        <v>33680</v>
      </c>
      <c r="AT230" s="210">
        <f>B199</f>
        <v>34263</v>
      </c>
      <c r="AU230" s="210">
        <f>B200</f>
        <v>34817</v>
      </c>
      <c r="AV230" s="210">
        <f>B201</f>
        <v>35341</v>
      </c>
      <c r="AW230" s="210">
        <f>B202</f>
        <v>35835</v>
      </c>
      <c r="AX230" s="161"/>
    </row>
    <row r="231" spans="1:50" ht="20.100000000000001" customHeight="1">
      <c r="K231" s="209" t="s">
        <v>95</v>
      </c>
      <c r="L231" s="209"/>
      <c r="M231" s="209"/>
      <c r="N231" s="209"/>
      <c r="O231" s="209"/>
      <c r="P231" s="209"/>
      <c r="Q231" s="209"/>
      <c r="R231" s="209"/>
      <c r="S231" s="209"/>
      <c r="T231" s="209"/>
      <c r="U231" s="209"/>
      <c r="V231" s="209"/>
      <c r="W231" s="209"/>
      <c r="X231" s="209"/>
      <c r="Y231" s="209"/>
      <c r="Z231" s="209"/>
      <c r="AA231" s="209"/>
      <c r="AB231" s="209"/>
      <c r="AC231" s="209"/>
      <c r="AD231" s="209"/>
      <c r="AE231" s="210">
        <f>+AE230</f>
        <v>21215</v>
      </c>
      <c r="AF231" s="211">
        <f>+H206</f>
        <v>22636.5</v>
      </c>
      <c r="AG231" s="211">
        <f>+H207</f>
        <v>23479.5</v>
      </c>
      <c r="AH231" s="211">
        <f>+H208</f>
        <v>24340.5</v>
      </c>
      <c r="AI231" s="211">
        <f>+H209</f>
        <v>25220</v>
      </c>
      <c r="AJ231" s="211">
        <f>+H210</f>
        <v>26117.5</v>
      </c>
      <c r="AK231" s="211">
        <f>+H211</f>
        <v>27035</v>
      </c>
      <c r="AL231" s="211">
        <f>+H212</f>
        <v>27973.5</v>
      </c>
      <c r="AM231" s="211">
        <f>+H213</f>
        <v>28933.5</v>
      </c>
      <c r="AN231" s="211">
        <f>+H214</f>
        <v>29914.5</v>
      </c>
      <c r="AO231" s="211">
        <f>+H215</f>
        <v>30761.5</v>
      </c>
      <c r="AP231" s="211">
        <f>+H216</f>
        <v>31516</v>
      </c>
      <c r="AQ231" s="211">
        <f>+H217</f>
        <v>32256</v>
      </c>
      <c r="AR231" s="211">
        <f>+H218</f>
        <v>32980.5</v>
      </c>
      <c r="AS231" s="211">
        <f>+H219</f>
        <v>33690.5</v>
      </c>
      <c r="AT231" s="211">
        <f>+H220</f>
        <v>34385.5</v>
      </c>
      <c r="AU231" s="211">
        <f>+H221</f>
        <v>35066</v>
      </c>
      <c r="AV231" s="211">
        <f>+H222</f>
        <v>35731</v>
      </c>
      <c r="AW231" s="75">
        <f>+H223</f>
        <v>36381.5</v>
      </c>
      <c r="AX231" s="161"/>
    </row>
    <row r="232" spans="1:50" ht="20.100000000000001" customHeight="1"/>
    <row r="233" spans="1:50" ht="20.100000000000001" customHeight="1"/>
    <row r="234" spans="1:50" ht="20.100000000000001" customHeight="1"/>
    <row r="235" spans="1:50" ht="20.100000000000001" customHeight="1"/>
    <row r="236" spans="1:50" ht="20.100000000000001" customHeight="1"/>
    <row r="237" spans="1:50" ht="20.100000000000001" customHeight="1"/>
    <row r="238" spans="1:50" ht="20.100000000000001" customHeight="1"/>
    <row r="239" spans="1:50" ht="20.100000000000001" customHeight="1"/>
    <row r="240" spans="1:50" ht="20.100000000000001" customHeight="1"/>
    <row r="241" ht="20.100000000000001" customHeight="1"/>
    <row r="242" ht="20.100000000000001" customHeight="1"/>
    <row r="243" ht="20.100000000000001" customHeight="1"/>
    <row r="244" ht="20.100000000000001" customHeight="1"/>
    <row r="245" ht="20.100000000000001" customHeight="1"/>
    <row r="246" ht="20.100000000000001" customHeight="1"/>
    <row r="247" ht="20.100000000000001" customHeight="1"/>
    <row r="248" ht="20.100000000000001" customHeight="1"/>
  </sheetData>
  <phoneticPr fontId="50" type="noConversion"/>
  <pageMargins left="0.74803149606299213" right="0.74803149606299213" top="0.78740157480314965" bottom="0.78740157480314965" header="0.51181102362204722" footer="0.51181102362204722"/>
  <pageSetup paperSize="9" scale="70" fitToHeight="3" orientation="portrait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>
  <sheetPr codeName="Sheet34">
    <tabColor indexed="47"/>
  </sheetPr>
  <dimension ref="A1:AO204"/>
  <sheetViews>
    <sheetView workbookViewId="0"/>
  </sheetViews>
  <sheetFormatPr defaultRowHeight="15" customHeight="1"/>
  <cols>
    <col min="1" max="1" width="8.88671875" style="55"/>
    <col min="2" max="2" width="9.21875" style="55" customWidth="1"/>
    <col min="3" max="3" width="9.5546875" style="55" customWidth="1"/>
    <col min="4" max="4" width="9" style="55" customWidth="1"/>
    <col min="5" max="5" width="11.33203125" style="55" customWidth="1"/>
    <col min="6" max="6" width="9.44140625" style="55" customWidth="1"/>
    <col min="7" max="7" width="15.109375" style="55" bestFit="1" customWidth="1"/>
    <col min="8" max="8" width="12.88671875" style="55" bestFit="1" customWidth="1"/>
    <col min="9" max="9" width="11.5546875" style="55" bestFit="1" customWidth="1"/>
    <col min="10" max="11" width="8.88671875" style="55"/>
    <col min="12" max="41" width="6.77734375" style="55" customWidth="1"/>
    <col min="42" max="16384" width="8.88671875" style="55"/>
  </cols>
  <sheetData>
    <row r="1" spans="1:13" ht="15" customHeight="1">
      <c r="A1" s="54" t="s">
        <v>279</v>
      </c>
    </row>
    <row r="2" spans="1:13" ht="15" customHeight="1">
      <c r="A2" s="54"/>
    </row>
    <row r="3" spans="1:13" ht="15" customHeight="1">
      <c r="A3" s="56" t="s">
        <v>74</v>
      </c>
      <c r="B3" s="57"/>
    </row>
    <row r="4" spans="1:13" ht="15" customHeight="1">
      <c r="A4" s="58" t="s">
        <v>32</v>
      </c>
      <c r="B4" s="59" t="s">
        <v>40</v>
      </c>
      <c r="C4" s="59" t="s">
        <v>33</v>
      </c>
      <c r="D4" s="60"/>
      <c r="E4" s="60"/>
      <c r="F4" s="61"/>
      <c r="G4" s="62"/>
      <c r="H4" s="63" t="s">
        <v>250</v>
      </c>
      <c r="I4" s="64">
        <f>RSQ(I5:I15,B5:B15)</f>
        <v>0.8216779126149456</v>
      </c>
    </row>
    <row r="5" spans="1:13" ht="15" customHeight="1">
      <c r="A5" s="176">
        <v>1997</v>
      </c>
      <c r="B5" s="180">
        <f>+북삼동20년!B14</f>
        <v>13056</v>
      </c>
      <c r="C5" s="177">
        <v>0</v>
      </c>
      <c r="D5" s="178"/>
      <c r="E5" s="178"/>
      <c r="F5" s="179"/>
      <c r="G5" s="262"/>
      <c r="H5" s="263"/>
      <c r="I5" s="70">
        <f t="shared" ref="I5:I33" si="0">$E$6*C5+$E$7</f>
        <v>13056</v>
      </c>
    </row>
    <row r="6" spans="1:13" ht="15" customHeight="1">
      <c r="A6" s="65" t="e">
        <f>#REF!</f>
        <v>#REF!</v>
      </c>
      <c r="B6" s="180">
        <f>+북삼동20년!B15</f>
        <v>14417</v>
      </c>
      <c r="C6" s="67">
        <f>+C5+1</f>
        <v>1</v>
      </c>
      <c r="D6" s="53" t="s">
        <v>75</v>
      </c>
      <c r="E6" s="68">
        <f>(B15-B5)/C15</f>
        <v>815.9</v>
      </c>
      <c r="F6" s="69"/>
      <c r="G6" s="53"/>
      <c r="H6" s="69"/>
      <c r="I6" s="70">
        <f t="shared" si="0"/>
        <v>13871.9</v>
      </c>
      <c r="J6" s="71">
        <v>570570</v>
      </c>
      <c r="K6" s="55">
        <v>570570</v>
      </c>
      <c r="L6" s="55">
        <v>766</v>
      </c>
    </row>
    <row r="7" spans="1:13" ht="15" customHeight="1">
      <c r="A7" s="65" t="e">
        <f>#REF!</f>
        <v>#REF!</v>
      </c>
      <c r="B7" s="180">
        <f>+북삼동20년!B16</f>
        <v>15218</v>
      </c>
      <c r="C7" s="67">
        <f t="shared" ref="C7:C33" si="1">C6+1</f>
        <v>2</v>
      </c>
      <c r="D7" s="53" t="s">
        <v>76</v>
      </c>
      <c r="E7" s="72">
        <f>B5</f>
        <v>13056</v>
      </c>
      <c r="F7" s="69"/>
      <c r="G7" s="53"/>
      <c r="H7" s="69"/>
      <c r="I7" s="70">
        <f t="shared" si="0"/>
        <v>14687.8</v>
      </c>
      <c r="J7" s="71">
        <v>583230</v>
      </c>
      <c r="K7" s="55">
        <v>583230</v>
      </c>
      <c r="L7" s="55">
        <v>1094</v>
      </c>
    </row>
    <row r="8" spans="1:13" ht="15" customHeight="1">
      <c r="A8" s="65" t="e">
        <f>#REF!</f>
        <v>#REF!</v>
      </c>
      <c r="B8" s="180">
        <f>+북삼동20년!B17</f>
        <v>16870</v>
      </c>
      <c r="C8" s="67">
        <f t="shared" si="1"/>
        <v>3</v>
      </c>
      <c r="D8" s="53" t="s">
        <v>77</v>
      </c>
      <c r="E8" s="73">
        <f>I4</f>
        <v>0.8216779126149456</v>
      </c>
      <c r="F8" s="69"/>
      <c r="G8" s="53"/>
      <c r="H8" s="69"/>
      <c r="I8" s="70">
        <f t="shared" si="0"/>
        <v>15503.7</v>
      </c>
      <c r="J8" s="71">
        <v>590162</v>
      </c>
      <c r="K8" s="55">
        <v>590162</v>
      </c>
      <c r="L8" s="55">
        <v>1277</v>
      </c>
    </row>
    <row r="9" spans="1:13" ht="15" customHeight="1">
      <c r="A9" s="65" t="e">
        <f>#REF!</f>
        <v>#REF!</v>
      </c>
      <c r="B9" s="180">
        <f>+북삼동20년!B18</f>
        <v>19029</v>
      </c>
      <c r="C9" s="67">
        <f t="shared" si="1"/>
        <v>4</v>
      </c>
      <c r="D9" s="53"/>
      <c r="E9" s="53"/>
      <c r="F9" s="69"/>
      <c r="G9" s="53"/>
      <c r="H9" s="69"/>
      <c r="I9" s="70">
        <f t="shared" si="0"/>
        <v>16319.6</v>
      </c>
      <c r="J9" s="71">
        <v>600343</v>
      </c>
      <c r="K9" s="55">
        <v>600343</v>
      </c>
      <c r="L9" s="55">
        <v>1147</v>
      </c>
    </row>
    <row r="10" spans="1:13" ht="15" customHeight="1">
      <c r="A10" s="65" t="e">
        <f>#REF!</f>
        <v>#REF!</v>
      </c>
      <c r="B10" s="180">
        <f>+북삼동20년!B19</f>
        <v>20963</v>
      </c>
      <c r="C10" s="67">
        <f t="shared" si="1"/>
        <v>5</v>
      </c>
      <c r="D10" s="53"/>
      <c r="E10" s="53"/>
      <c r="F10" s="69"/>
      <c r="G10" s="53"/>
      <c r="H10" s="69"/>
      <c r="I10" s="70">
        <f t="shared" si="0"/>
        <v>17135.5</v>
      </c>
      <c r="J10" s="71">
        <v>611921</v>
      </c>
      <c r="K10" s="55">
        <v>611921</v>
      </c>
      <c r="L10" s="55">
        <v>1355</v>
      </c>
    </row>
    <row r="11" spans="1:13" ht="15" customHeight="1">
      <c r="A11" s="65" t="e">
        <f>#REF!</f>
        <v>#REF!</v>
      </c>
      <c r="B11" s="180">
        <f>+북삼동20년!B20</f>
        <v>21131</v>
      </c>
      <c r="C11" s="67">
        <f t="shared" si="1"/>
        <v>6</v>
      </c>
      <c r="D11" s="53"/>
      <c r="E11" s="53"/>
      <c r="F11" s="69"/>
      <c r="G11" s="53"/>
      <c r="H11" s="69"/>
      <c r="I11" s="70">
        <f t="shared" si="0"/>
        <v>17951.400000000001</v>
      </c>
      <c r="J11" s="74">
        <v>622238</v>
      </c>
      <c r="K11" s="55">
        <v>622238</v>
      </c>
      <c r="L11" s="55">
        <v>1717</v>
      </c>
    </row>
    <row r="12" spans="1:13" ht="15" customHeight="1">
      <c r="A12" s="65" t="e">
        <f>#REF!</f>
        <v>#REF!</v>
      </c>
      <c r="B12" s="180">
        <f>+북삼동20년!B21</f>
        <v>21241</v>
      </c>
      <c r="C12" s="67">
        <f t="shared" si="1"/>
        <v>7</v>
      </c>
      <c r="D12" s="53" t="s">
        <v>73</v>
      </c>
      <c r="E12" s="53"/>
      <c r="F12" s="69"/>
      <c r="G12" s="53"/>
      <c r="H12" s="69"/>
      <c r="I12" s="70">
        <f t="shared" si="0"/>
        <v>18767.3</v>
      </c>
      <c r="J12" s="74">
        <v>623897</v>
      </c>
      <c r="K12" s="55">
        <v>623897</v>
      </c>
      <c r="L12" s="55">
        <v>1614</v>
      </c>
    </row>
    <row r="13" spans="1:13" ht="15" customHeight="1">
      <c r="A13" s="65" t="e">
        <f>#REF!</f>
        <v>#REF!</v>
      </c>
      <c r="B13" s="180">
        <f>+북삼동20년!B22</f>
        <v>21184</v>
      </c>
      <c r="C13" s="67">
        <f t="shared" si="1"/>
        <v>8</v>
      </c>
      <c r="D13" s="53"/>
      <c r="E13" s="53"/>
      <c r="F13" s="69"/>
      <c r="G13" s="53"/>
      <c r="H13" s="69"/>
      <c r="I13" s="70">
        <f t="shared" si="0"/>
        <v>19583.2</v>
      </c>
      <c r="J13" s="74">
        <v>626069</v>
      </c>
      <c r="K13" s="55">
        <v>626069</v>
      </c>
      <c r="L13" s="55">
        <v>1584</v>
      </c>
    </row>
    <row r="14" spans="1:13" ht="15" customHeight="1">
      <c r="A14" s="65" t="e">
        <f>#REF!</f>
        <v>#REF!</v>
      </c>
      <c r="B14" s="180">
        <f>+북삼동20년!B23</f>
        <v>20836</v>
      </c>
      <c r="C14" s="67">
        <f t="shared" si="1"/>
        <v>9</v>
      </c>
      <c r="D14" s="53"/>
      <c r="E14" s="53"/>
      <c r="F14" s="69"/>
      <c r="G14" s="53"/>
      <c r="H14" s="69"/>
      <c r="I14" s="70">
        <f t="shared" si="0"/>
        <v>20399.099999999999</v>
      </c>
      <c r="J14" s="74">
        <v>618816</v>
      </c>
      <c r="K14" s="55">
        <v>620374</v>
      </c>
      <c r="L14" s="75">
        <v>1555</v>
      </c>
      <c r="M14" s="75"/>
    </row>
    <row r="15" spans="1:13" ht="15" customHeight="1" thickBot="1">
      <c r="A15" s="97" t="e">
        <f>#REF!</f>
        <v>#REF!</v>
      </c>
      <c r="B15" s="181">
        <f>+북삼동20년!B24</f>
        <v>21215</v>
      </c>
      <c r="C15" s="99">
        <f t="shared" si="1"/>
        <v>10</v>
      </c>
      <c r="D15" s="101"/>
      <c r="E15" s="101"/>
      <c r="F15" s="100"/>
      <c r="G15" s="101"/>
      <c r="H15" s="100"/>
      <c r="I15" s="102">
        <f t="shared" si="0"/>
        <v>21215</v>
      </c>
      <c r="J15" s="74">
        <v>622472</v>
      </c>
      <c r="K15" s="55">
        <v>624260</v>
      </c>
      <c r="L15" s="75">
        <v>1788</v>
      </c>
      <c r="M15" s="75"/>
    </row>
    <row r="16" spans="1:13" ht="15" customHeight="1" thickTop="1">
      <c r="A16" s="80">
        <v>2008</v>
      </c>
      <c r="B16" s="81">
        <f t="shared" ref="B16:B33" si="2">ROUND($E$6*C16+$E$7,0)</f>
        <v>22031</v>
      </c>
      <c r="C16" s="77">
        <f t="shared" si="1"/>
        <v>11</v>
      </c>
      <c r="D16" s="256"/>
      <c r="E16" s="256"/>
      <c r="F16" s="78"/>
      <c r="G16" s="256"/>
      <c r="H16" s="78"/>
      <c r="I16" s="79">
        <f t="shared" si="0"/>
        <v>22030.9</v>
      </c>
      <c r="K16" s="55">
        <v>623804</v>
      </c>
      <c r="L16" s="75">
        <f>+J16-K16</f>
        <v>-623804</v>
      </c>
      <c r="M16" s="75"/>
    </row>
    <row r="17" spans="1:9" ht="15" customHeight="1">
      <c r="A17" s="80">
        <v>2009</v>
      </c>
      <c r="B17" s="81">
        <f t="shared" si="2"/>
        <v>22847</v>
      </c>
      <c r="C17" s="67">
        <f t="shared" si="1"/>
        <v>12</v>
      </c>
      <c r="D17" s="69"/>
      <c r="E17" s="69"/>
      <c r="F17" s="69"/>
      <c r="G17" s="69"/>
      <c r="H17" s="69"/>
      <c r="I17" s="70">
        <f t="shared" si="0"/>
        <v>22846.799999999999</v>
      </c>
    </row>
    <row r="18" spans="1:9" ht="15" customHeight="1">
      <c r="A18" s="80">
        <v>2010</v>
      </c>
      <c r="B18" s="81">
        <f t="shared" si="2"/>
        <v>23663</v>
      </c>
      <c r="C18" s="82">
        <f t="shared" si="1"/>
        <v>13</v>
      </c>
      <c r="D18" s="69"/>
      <c r="E18" s="69"/>
      <c r="F18" s="69"/>
      <c r="G18" s="69"/>
      <c r="H18" s="69"/>
      <c r="I18" s="70">
        <f t="shared" si="0"/>
        <v>23662.699999999997</v>
      </c>
    </row>
    <row r="19" spans="1:9" ht="15" customHeight="1">
      <c r="A19" s="80">
        <v>2011</v>
      </c>
      <c r="B19" s="81">
        <f t="shared" si="2"/>
        <v>24479</v>
      </c>
      <c r="C19" s="82">
        <f t="shared" si="1"/>
        <v>14</v>
      </c>
      <c r="D19" s="69"/>
      <c r="E19" s="69"/>
      <c r="F19" s="69"/>
      <c r="G19" s="69"/>
      <c r="H19" s="69"/>
      <c r="I19" s="70">
        <f t="shared" si="0"/>
        <v>24478.6</v>
      </c>
    </row>
    <row r="20" spans="1:9" ht="15" customHeight="1">
      <c r="A20" s="80">
        <v>2012</v>
      </c>
      <c r="B20" s="81">
        <f t="shared" si="2"/>
        <v>25295</v>
      </c>
      <c r="C20" s="82">
        <f t="shared" si="1"/>
        <v>15</v>
      </c>
      <c r="D20" s="69"/>
      <c r="E20" s="69"/>
      <c r="F20" s="69"/>
      <c r="G20" s="69"/>
      <c r="H20" s="69"/>
      <c r="I20" s="70">
        <f t="shared" si="0"/>
        <v>25294.5</v>
      </c>
    </row>
    <row r="21" spans="1:9" ht="15" customHeight="1">
      <c r="A21" s="80">
        <v>2013</v>
      </c>
      <c r="B21" s="81">
        <f t="shared" si="2"/>
        <v>26110</v>
      </c>
      <c r="C21" s="82">
        <f t="shared" si="1"/>
        <v>16</v>
      </c>
      <c r="D21" s="69"/>
      <c r="E21" s="69"/>
      <c r="F21" s="69"/>
      <c r="G21" s="69"/>
      <c r="H21" s="69"/>
      <c r="I21" s="70">
        <f t="shared" si="0"/>
        <v>26110.400000000001</v>
      </c>
    </row>
    <row r="22" spans="1:9" ht="15" customHeight="1">
      <c r="A22" s="80">
        <v>2014</v>
      </c>
      <c r="B22" s="81">
        <f t="shared" si="2"/>
        <v>26926</v>
      </c>
      <c r="C22" s="82">
        <f t="shared" si="1"/>
        <v>17</v>
      </c>
      <c r="D22" s="69"/>
      <c r="E22" s="69"/>
      <c r="F22" s="69"/>
      <c r="G22" s="69"/>
      <c r="H22" s="69"/>
      <c r="I22" s="70">
        <f t="shared" si="0"/>
        <v>26926.3</v>
      </c>
    </row>
    <row r="23" spans="1:9" ht="15" customHeight="1">
      <c r="A23" s="80">
        <v>2015</v>
      </c>
      <c r="B23" s="81">
        <f t="shared" si="2"/>
        <v>27742</v>
      </c>
      <c r="C23" s="82">
        <f t="shared" si="1"/>
        <v>18</v>
      </c>
      <c r="D23" s="69"/>
      <c r="E23" s="69"/>
      <c r="F23" s="69"/>
      <c r="G23" s="69"/>
      <c r="H23" s="69"/>
      <c r="I23" s="70">
        <f t="shared" si="0"/>
        <v>27742.199999999997</v>
      </c>
    </row>
    <row r="24" spans="1:9" ht="15" customHeight="1">
      <c r="A24" s="80">
        <v>2016</v>
      </c>
      <c r="B24" s="81">
        <f t="shared" si="2"/>
        <v>28558</v>
      </c>
      <c r="C24" s="82">
        <f t="shared" si="1"/>
        <v>19</v>
      </c>
      <c r="D24" s="69"/>
      <c r="E24" s="69"/>
      <c r="F24" s="69"/>
      <c r="G24" s="69"/>
      <c r="H24" s="69"/>
      <c r="I24" s="70">
        <f t="shared" si="0"/>
        <v>28558.1</v>
      </c>
    </row>
    <row r="25" spans="1:9" ht="15" customHeight="1">
      <c r="A25" s="80">
        <v>2017</v>
      </c>
      <c r="B25" s="81">
        <f t="shared" si="2"/>
        <v>29374</v>
      </c>
      <c r="C25" s="82">
        <f t="shared" si="1"/>
        <v>20</v>
      </c>
      <c r="D25" s="69"/>
      <c r="E25" s="69"/>
      <c r="F25" s="69"/>
      <c r="G25" s="69"/>
      <c r="H25" s="69"/>
      <c r="I25" s="70">
        <f t="shared" si="0"/>
        <v>29374</v>
      </c>
    </row>
    <row r="26" spans="1:9" ht="15" customHeight="1">
      <c r="A26" s="80">
        <v>2018</v>
      </c>
      <c r="B26" s="81">
        <f t="shared" si="2"/>
        <v>30190</v>
      </c>
      <c r="C26" s="82">
        <f t="shared" si="1"/>
        <v>21</v>
      </c>
      <c r="D26" s="69"/>
      <c r="E26" s="69"/>
      <c r="F26" s="69"/>
      <c r="G26" s="69"/>
      <c r="H26" s="69"/>
      <c r="I26" s="70">
        <f t="shared" si="0"/>
        <v>30189.899999999998</v>
      </c>
    </row>
    <row r="27" spans="1:9" ht="15" customHeight="1">
      <c r="A27" s="80">
        <v>2019</v>
      </c>
      <c r="B27" s="81">
        <f t="shared" si="2"/>
        <v>31006</v>
      </c>
      <c r="C27" s="82">
        <f t="shared" si="1"/>
        <v>22</v>
      </c>
      <c r="D27" s="69"/>
      <c r="E27" s="69"/>
      <c r="F27" s="69"/>
      <c r="G27" s="69"/>
      <c r="H27" s="69"/>
      <c r="I27" s="70">
        <f t="shared" si="0"/>
        <v>31005.8</v>
      </c>
    </row>
    <row r="28" spans="1:9" ht="15" customHeight="1">
      <c r="A28" s="80">
        <v>2020</v>
      </c>
      <c r="B28" s="81">
        <f t="shared" si="2"/>
        <v>31822</v>
      </c>
      <c r="C28" s="82">
        <f t="shared" si="1"/>
        <v>23</v>
      </c>
      <c r="D28" s="69"/>
      <c r="E28" s="69"/>
      <c r="F28" s="69"/>
      <c r="G28" s="69"/>
      <c r="H28" s="69"/>
      <c r="I28" s="70">
        <f t="shared" si="0"/>
        <v>31821.7</v>
      </c>
    </row>
    <row r="29" spans="1:9" ht="15" customHeight="1">
      <c r="A29" s="80">
        <v>2021</v>
      </c>
      <c r="B29" s="81">
        <f t="shared" si="2"/>
        <v>32638</v>
      </c>
      <c r="C29" s="82">
        <f t="shared" si="1"/>
        <v>24</v>
      </c>
      <c r="D29" s="69"/>
      <c r="E29" s="69"/>
      <c r="F29" s="69"/>
      <c r="G29" s="69"/>
      <c r="H29" s="69"/>
      <c r="I29" s="70">
        <f t="shared" si="0"/>
        <v>32637.599999999999</v>
      </c>
    </row>
    <row r="30" spans="1:9" ht="15" customHeight="1">
      <c r="A30" s="80">
        <v>2022</v>
      </c>
      <c r="B30" s="81">
        <f t="shared" si="2"/>
        <v>33454</v>
      </c>
      <c r="C30" s="82">
        <f t="shared" si="1"/>
        <v>25</v>
      </c>
      <c r="D30" s="69"/>
      <c r="E30" s="69"/>
      <c r="F30" s="69"/>
      <c r="G30" s="69"/>
      <c r="H30" s="69"/>
      <c r="I30" s="70">
        <f t="shared" si="0"/>
        <v>33453.5</v>
      </c>
    </row>
    <row r="31" spans="1:9" ht="15" customHeight="1">
      <c r="A31" s="80">
        <v>2023</v>
      </c>
      <c r="B31" s="81">
        <f t="shared" si="2"/>
        <v>34269</v>
      </c>
      <c r="C31" s="82">
        <f t="shared" si="1"/>
        <v>26</v>
      </c>
      <c r="D31" s="69"/>
      <c r="E31" s="69"/>
      <c r="F31" s="69"/>
      <c r="G31" s="69"/>
      <c r="H31" s="69"/>
      <c r="I31" s="70">
        <f t="shared" si="0"/>
        <v>34269.399999999994</v>
      </c>
    </row>
    <row r="32" spans="1:9" ht="15" customHeight="1">
      <c r="A32" s="80">
        <v>2024</v>
      </c>
      <c r="B32" s="81">
        <f t="shared" si="2"/>
        <v>35085</v>
      </c>
      <c r="C32" s="67">
        <f t="shared" si="1"/>
        <v>27</v>
      </c>
      <c r="D32" s="83"/>
      <c r="E32" s="69"/>
      <c r="F32" s="69"/>
      <c r="G32" s="69"/>
      <c r="H32" s="84"/>
      <c r="I32" s="70">
        <f t="shared" si="0"/>
        <v>35085.300000000003</v>
      </c>
    </row>
    <row r="33" spans="1:9" ht="15" customHeight="1">
      <c r="A33" s="85">
        <v>2025</v>
      </c>
      <c r="B33" s="86">
        <f t="shared" si="2"/>
        <v>35901</v>
      </c>
      <c r="C33" s="87">
        <f t="shared" si="1"/>
        <v>28</v>
      </c>
      <c r="D33" s="88"/>
      <c r="E33" s="89"/>
      <c r="F33" s="89"/>
      <c r="G33" s="89"/>
      <c r="H33" s="90"/>
      <c r="I33" s="91">
        <f t="shared" si="0"/>
        <v>35901.199999999997</v>
      </c>
    </row>
    <row r="34" spans="1:9" ht="15" customHeight="1">
      <c r="A34" s="56" t="s">
        <v>78</v>
      </c>
      <c r="B34" s="92"/>
      <c r="I34" s="89"/>
    </row>
    <row r="35" spans="1:9" ht="15" customHeight="1">
      <c r="A35" s="58" t="s">
        <v>32</v>
      </c>
      <c r="B35" s="59" t="s">
        <v>40</v>
      </c>
      <c r="C35" s="59" t="s">
        <v>33</v>
      </c>
      <c r="D35" s="60"/>
      <c r="E35" s="60"/>
      <c r="F35" s="61"/>
      <c r="G35" s="62"/>
      <c r="H35" s="63" t="s">
        <v>250</v>
      </c>
      <c r="I35" s="64">
        <f>RSQ(I36:I46,B36:B46)</f>
        <v>0.82167791261494516</v>
      </c>
    </row>
    <row r="36" spans="1:9" ht="15" customHeight="1">
      <c r="A36" s="65">
        <f t="shared" ref="A36:B46" si="3">A5</f>
        <v>1997</v>
      </c>
      <c r="B36" s="93">
        <f t="shared" si="3"/>
        <v>13056</v>
      </c>
      <c r="C36" s="67">
        <v>0</v>
      </c>
      <c r="D36" s="53"/>
      <c r="E36" s="53"/>
      <c r="F36" s="69"/>
      <c r="G36" s="264"/>
      <c r="H36" s="265"/>
      <c r="I36" s="94">
        <f t="shared" ref="I36:I64" si="4">$E$37*C36+$E$38</f>
        <v>14323.045454545456</v>
      </c>
    </row>
    <row r="37" spans="1:9" ht="15" customHeight="1">
      <c r="A37" s="65" t="e">
        <f t="shared" si="3"/>
        <v>#REF!</v>
      </c>
      <c r="B37" s="93">
        <f t="shared" si="3"/>
        <v>14417</v>
      </c>
      <c r="C37" s="67">
        <f>+C36+1</f>
        <v>1</v>
      </c>
      <c r="D37" s="53" t="s">
        <v>75</v>
      </c>
      <c r="E37" s="68">
        <f>INDEX(LINEST(B36:B46,C36:C46),1)</f>
        <v>865.57272727272743</v>
      </c>
      <c r="F37" s="69"/>
      <c r="G37" s="53"/>
      <c r="H37" s="69"/>
      <c r="I37" s="70">
        <f t="shared" si="4"/>
        <v>15188.618181818183</v>
      </c>
    </row>
    <row r="38" spans="1:9" ht="15" customHeight="1">
      <c r="A38" s="65" t="e">
        <f t="shared" si="3"/>
        <v>#REF!</v>
      </c>
      <c r="B38" s="93">
        <f t="shared" si="3"/>
        <v>15218</v>
      </c>
      <c r="C38" s="67">
        <f t="shared" ref="C38:C64" si="5">C37+1</f>
        <v>2</v>
      </c>
      <c r="D38" s="53" t="s">
        <v>76</v>
      </c>
      <c r="E38" s="72">
        <f>INDEX(LINEST(B36:B46,C36:C46),2)</f>
        <v>14323.045454545456</v>
      </c>
      <c r="F38" s="69"/>
      <c r="G38" s="53"/>
      <c r="H38" s="69"/>
      <c r="I38" s="70">
        <f t="shared" si="4"/>
        <v>16054.19090909091</v>
      </c>
    </row>
    <row r="39" spans="1:9" ht="15" customHeight="1">
      <c r="A39" s="65" t="e">
        <f t="shared" si="3"/>
        <v>#REF!</v>
      </c>
      <c r="B39" s="93">
        <f t="shared" si="3"/>
        <v>16870</v>
      </c>
      <c r="C39" s="67">
        <f t="shared" si="5"/>
        <v>3</v>
      </c>
      <c r="D39" s="53" t="s">
        <v>77</v>
      </c>
      <c r="E39" s="73">
        <f>I35</f>
        <v>0.82167791261494516</v>
      </c>
      <c r="F39" s="69"/>
      <c r="G39" s="53"/>
      <c r="H39" s="69"/>
      <c r="I39" s="70">
        <f t="shared" si="4"/>
        <v>16919.763636363637</v>
      </c>
    </row>
    <row r="40" spans="1:9" ht="15" customHeight="1">
      <c r="A40" s="65" t="e">
        <f t="shared" si="3"/>
        <v>#REF!</v>
      </c>
      <c r="B40" s="93">
        <f t="shared" si="3"/>
        <v>19029</v>
      </c>
      <c r="C40" s="67">
        <f t="shared" si="5"/>
        <v>4</v>
      </c>
      <c r="D40" s="53"/>
      <c r="E40" s="53"/>
      <c r="F40" s="69"/>
      <c r="G40" s="53"/>
      <c r="H40" s="69"/>
      <c r="I40" s="70">
        <f t="shared" si="4"/>
        <v>17785.336363636365</v>
      </c>
    </row>
    <row r="41" spans="1:9" ht="15" customHeight="1">
      <c r="A41" s="65" t="e">
        <f t="shared" si="3"/>
        <v>#REF!</v>
      </c>
      <c r="B41" s="93">
        <f t="shared" si="3"/>
        <v>20963</v>
      </c>
      <c r="C41" s="67">
        <f t="shared" si="5"/>
        <v>5</v>
      </c>
      <c r="D41" s="53"/>
      <c r="E41" s="53"/>
      <c r="F41" s="69"/>
      <c r="G41" s="95"/>
      <c r="H41" s="69"/>
      <c r="I41" s="70">
        <f t="shared" si="4"/>
        <v>18650.909090909092</v>
      </c>
    </row>
    <row r="42" spans="1:9" ht="15" customHeight="1">
      <c r="A42" s="65" t="e">
        <f t="shared" si="3"/>
        <v>#REF!</v>
      </c>
      <c r="B42" s="93">
        <f t="shared" si="3"/>
        <v>21131</v>
      </c>
      <c r="C42" s="67">
        <f t="shared" si="5"/>
        <v>6</v>
      </c>
      <c r="D42" s="53"/>
      <c r="E42" s="53"/>
      <c r="F42" s="69"/>
      <c r="G42" s="53"/>
      <c r="H42" s="69"/>
      <c r="I42" s="70">
        <f t="shared" si="4"/>
        <v>19516.481818181819</v>
      </c>
    </row>
    <row r="43" spans="1:9" ht="15" customHeight="1">
      <c r="A43" s="65" t="e">
        <f t="shared" si="3"/>
        <v>#REF!</v>
      </c>
      <c r="B43" s="93">
        <f t="shared" si="3"/>
        <v>21241</v>
      </c>
      <c r="C43" s="67">
        <f t="shared" si="5"/>
        <v>7</v>
      </c>
      <c r="D43" s="53" t="s">
        <v>73</v>
      </c>
      <c r="E43" s="53"/>
      <c r="F43" s="69"/>
      <c r="G43" s="53"/>
      <c r="H43" s="69"/>
      <c r="I43" s="70">
        <f t="shared" si="4"/>
        <v>20382.05454545455</v>
      </c>
    </row>
    <row r="44" spans="1:9" ht="15" customHeight="1">
      <c r="A44" s="65" t="e">
        <f t="shared" si="3"/>
        <v>#REF!</v>
      </c>
      <c r="B44" s="93">
        <f t="shared" si="3"/>
        <v>21184</v>
      </c>
      <c r="C44" s="67">
        <f t="shared" si="5"/>
        <v>8</v>
      </c>
      <c r="D44" s="53"/>
      <c r="E44" s="53"/>
      <c r="F44" s="69"/>
      <c r="G44" s="53"/>
      <c r="H44" s="69"/>
      <c r="I44" s="70">
        <f t="shared" si="4"/>
        <v>21247.627272727274</v>
      </c>
    </row>
    <row r="45" spans="1:9" ht="15" customHeight="1">
      <c r="A45" s="65" t="e">
        <f t="shared" si="3"/>
        <v>#REF!</v>
      </c>
      <c r="B45" s="93">
        <f t="shared" si="3"/>
        <v>20836</v>
      </c>
      <c r="C45" s="67">
        <f t="shared" si="5"/>
        <v>9</v>
      </c>
      <c r="D45" s="53"/>
      <c r="E45" s="53"/>
      <c r="F45" s="69"/>
      <c r="G45" s="53"/>
      <c r="H45" s="69"/>
      <c r="I45" s="70">
        <f t="shared" si="4"/>
        <v>22113.200000000004</v>
      </c>
    </row>
    <row r="46" spans="1:9" ht="15" customHeight="1" thickBot="1">
      <c r="A46" s="97" t="e">
        <f t="shared" si="3"/>
        <v>#REF!</v>
      </c>
      <c r="B46" s="98">
        <f t="shared" si="3"/>
        <v>21215</v>
      </c>
      <c r="C46" s="99">
        <f t="shared" si="5"/>
        <v>10</v>
      </c>
      <c r="D46" s="100"/>
      <c r="E46" s="100"/>
      <c r="F46" s="100"/>
      <c r="G46" s="101"/>
      <c r="H46" s="101"/>
      <c r="I46" s="102">
        <f t="shared" si="4"/>
        <v>22978.772727272728</v>
      </c>
    </row>
    <row r="47" spans="1:9" ht="15" customHeight="1" thickTop="1">
      <c r="A47" s="80">
        <v>2008</v>
      </c>
      <c r="B47" s="81">
        <f t="shared" ref="B47:B64" si="6">ROUND(E$37*C47+E$38,0)</f>
        <v>23844</v>
      </c>
      <c r="C47" s="77">
        <f t="shared" si="5"/>
        <v>11</v>
      </c>
      <c r="D47" s="78"/>
      <c r="E47" s="78"/>
      <c r="F47" s="78"/>
      <c r="G47" s="256"/>
      <c r="H47" s="256"/>
      <c r="I47" s="79">
        <f t="shared" si="4"/>
        <v>23844.345454545459</v>
      </c>
    </row>
    <row r="48" spans="1:9" ht="15" customHeight="1">
      <c r="A48" s="80">
        <v>2009</v>
      </c>
      <c r="B48" s="81">
        <f t="shared" si="6"/>
        <v>24710</v>
      </c>
      <c r="C48" s="67">
        <f t="shared" si="5"/>
        <v>12</v>
      </c>
      <c r="D48" s="69"/>
      <c r="E48" s="69"/>
      <c r="F48" s="69"/>
      <c r="G48" s="69"/>
      <c r="H48" s="69"/>
      <c r="I48" s="70">
        <f t="shared" si="4"/>
        <v>24709.918181818186</v>
      </c>
    </row>
    <row r="49" spans="1:9" ht="15" customHeight="1">
      <c r="A49" s="80">
        <v>2010</v>
      </c>
      <c r="B49" s="81">
        <f t="shared" si="6"/>
        <v>25575</v>
      </c>
      <c r="C49" s="82">
        <f t="shared" si="5"/>
        <v>13</v>
      </c>
      <c r="D49" s="69"/>
      <c r="E49" s="69"/>
      <c r="F49" s="69"/>
      <c r="G49" s="69"/>
      <c r="H49" s="69"/>
      <c r="I49" s="70">
        <f t="shared" si="4"/>
        <v>25575.490909090913</v>
      </c>
    </row>
    <row r="50" spans="1:9" ht="15" customHeight="1">
      <c r="A50" s="80">
        <v>2011</v>
      </c>
      <c r="B50" s="81">
        <f t="shared" si="6"/>
        <v>26441</v>
      </c>
      <c r="C50" s="82">
        <f t="shared" si="5"/>
        <v>14</v>
      </c>
      <c r="D50" s="69"/>
      <c r="E50" s="69"/>
      <c r="F50" s="69"/>
      <c r="G50" s="69"/>
      <c r="H50" s="69"/>
      <c r="I50" s="70">
        <f t="shared" si="4"/>
        <v>26441.06363636364</v>
      </c>
    </row>
    <row r="51" spans="1:9" ht="15" customHeight="1">
      <c r="A51" s="80">
        <v>2012</v>
      </c>
      <c r="B51" s="81">
        <f t="shared" si="6"/>
        <v>27307</v>
      </c>
      <c r="C51" s="82">
        <f t="shared" si="5"/>
        <v>15</v>
      </c>
      <c r="D51" s="69"/>
      <c r="E51" s="69"/>
      <c r="F51" s="69"/>
      <c r="G51" s="69"/>
      <c r="H51" s="69"/>
      <c r="I51" s="70">
        <f t="shared" si="4"/>
        <v>27306.636363636368</v>
      </c>
    </row>
    <row r="52" spans="1:9" ht="15" customHeight="1">
      <c r="A52" s="80">
        <v>2013</v>
      </c>
      <c r="B52" s="81">
        <f t="shared" si="6"/>
        <v>28172</v>
      </c>
      <c r="C52" s="82">
        <f t="shared" si="5"/>
        <v>16</v>
      </c>
      <c r="D52" s="69"/>
      <c r="E52" s="69"/>
      <c r="F52" s="69"/>
      <c r="G52" s="69"/>
      <c r="H52" s="69"/>
      <c r="I52" s="70">
        <f t="shared" si="4"/>
        <v>28172.209090909095</v>
      </c>
    </row>
    <row r="53" spans="1:9" ht="15" customHeight="1">
      <c r="A53" s="80">
        <v>2014</v>
      </c>
      <c r="B53" s="81">
        <f t="shared" si="6"/>
        <v>29038</v>
      </c>
      <c r="C53" s="82">
        <f t="shared" si="5"/>
        <v>17</v>
      </c>
      <c r="D53" s="69"/>
      <c r="E53" s="69"/>
      <c r="F53" s="69"/>
      <c r="G53" s="69"/>
      <c r="H53" s="69"/>
      <c r="I53" s="70">
        <f t="shared" si="4"/>
        <v>29037.781818181822</v>
      </c>
    </row>
    <row r="54" spans="1:9" ht="15" customHeight="1">
      <c r="A54" s="80">
        <v>2015</v>
      </c>
      <c r="B54" s="81">
        <f t="shared" si="6"/>
        <v>29903</v>
      </c>
      <c r="C54" s="82">
        <f t="shared" si="5"/>
        <v>18</v>
      </c>
      <c r="D54" s="69"/>
      <c r="E54" s="69"/>
      <c r="F54" s="69"/>
      <c r="G54" s="69"/>
      <c r="H54" s="69"/>
      <c r="I54" s="70">
        <f t="shared" si="4"/>
        <v>29903.354545454549</v>
      </c>
    </row>
    <row r="55" spans="1:9" ht="15" customHeight="1">
      <c r="A55" s="80">
        <v>2016</v>
      </c>
      <c r="B55" s="81">
        <f t="shared" si="6"/>
        <v>30769</v>
      </c>
      <c r="C55" s="82">
        <f t="shared" si="5"/>
        <v>19</v>
      </c>
      <c r="D55" s="69"/>
      <c r="E55" s="69"/>
      <c r="F55" s="69"/>
      <c r="G55" s="69"/>
      <c r="H55" s="69"/>
      <c r="I55" s="70">
        <f t="shared" si="4"/>
        <v>30768.927272727276</v>
      </c>
    </row>
    <row r="56" spans="1:9" ht="15" customHeight="1">
      <c r="A56" s="80">
        <v>2017</v>
      </c>
      <c r="B56" s="81">
        <f t="shared" si="6"/>
        <v>31635</v>
      </c>
      <c r="C56" s="82">
        <f t="shared" si="5"/>
        <v>20</v>
      </c>
      <c r="D56" s="69"/>
      <c r="E56" s="69"/>
      <c r="F56" s="69"/>
      <c r="G56" s="69"/>
      <c r="H56" s="69"/>
      <c r="I56" s="70">
        <f t="shared" si="4"/>
        <v>31634.500000000004</v>
      </c>
    </row>
    <row r="57" spans="1:9" ht="15" customHeight="1">
      <c r="A57" s="80">
        <v>2018</v>
      </c>
      <c r="B57" s="81">
        <f t="shared" si="6"/>
        <v>32500</v>
      </c>
      <c r="C57" s="82">
        <f t="shared" si="5"/>
        <v>21</v>
      </c>
      <c r="D57" s="69"/>
      <c r="E57" s="69"/>
      <c r="F57" s="69"/>
      <c r="G57" s="69"/>
      <c r="H57" s="69"/>
      <c r="I57" s="70">
        <f t="shared" si="4"/>
        <v>32500.072727272731</v>
      </c>
    </row>
    <row r="58" spans="1:9" ht="15" customHeight="1">
      <c r="A58" s="80">
        <v>2019</v>
      </c>
      <c r="B58" s="81">
        <f t="shared" si="6"/>
        <v>33366</v>
      </c>
      <c r="C58" s="82">
        <f t="shared" si="5"/>
        <v>22</v>
      </c>
      <c r="D58" s="69"/>
      <c r="E58" s="69"/>
      <c r="F58" s="69"/>
      <c r="G58" s="69"/>
      <c r="H58" s="69"/>
      <c r="I58" s="70">
        <f t="shared" si="4"/>
        <v>33365.645454545462</v>
      </c>
    </row>
    <row r="59" spans="1:9" ht="15" customHeight="1">
      <c r="A59" s="80">
        <v>2020</v>
      </c>
      <c r="B59" s="81">
        <f t="shared" si="6"/>
        <v>34231</v>
      </c>
      <c r="C59" s="82">
        <f t="shared" si="5"/>
        <v>23</v>
      </c>
      <c r="D59" s="69"/>
      <c r="E59" s="69"/>
      <c r="F59" s="69"/>
      <c r="G59" s="69"/>
      <c r="H59" s="69"/>
      <c r="I59" s="70">
        <f t="shared" si="4"/>
        <v>34231.218181818185</v>
      </c>
    </row>
    <row r="60" spans="1:9" ht="15" customHeight="1">
      <c r="A60" s="80">
        <v>2021</v>
      </c>
      <c r="B60" s="81">
        <f t="shared" si="6"/>
        <v>35097</v>
      </c>
      <c r="C60" s="82">
        <f t="shared" si="5"/>
        <v>24</v>
      </c>
      <c r="D60" s="69"/>
      <c r="E60" s="69"/>
      <c r="F60" s="69"/>
      <c r="G60" s="69"/>
      <c r="H60" s="69"/>
      <c r="I60" s="70">
        <f t="shared" si="4"/>
        <v>35096.790909090916</v>
      </c>
    </row>
    <row r="61" spans="1:9" ht="15" customHeight="1">
      <c r="A61" s="80">
        <v>2022</v>
      </c>
      <c r="B61" s="81">
        <f t="shared" si="6"/>
        <v>35962</v>
      </c>
      <c r="C61" s="82">
        <f t="shared" si="5"/>
        <v>25</v>
      </c>
      <c r="D61" s="69"/>
      <c r="E61" s="69"/>
      <c r="F61" s="69"/>
      <c r="G61" s="69"/>
      <c r="H61" s="69"/>
      <c r="I61" s="70">
        <f t="shared" si="4"/>
        <v>35962.363636363647</v>
      </c>
    </row>
    <row r="62" spans="1:9" ht="15" customHeight="1">
      <c r="A62" s="80">
        <v>2023</v>
      </c>
      <c r="B62" s="81">
        <f t="shared" si="6"/>
        <v>36828</v>
      </c>
      <c r="C62" s="82">
        <f t="shared" si="5"/>
        <v>26</v>
      </c>
      <c r="D62" s="69"/>
      <c r="E62" s="69"/>
      <c r="F62" s="69"/>
      <c r="G62" s="69"/>
      <c r="H62" s="69"/>
      <c r="I62" s="70">
        <f t="shared" si="4"/>
        <v>36827.936363636371</v>
      </c>
    </row>
    <row r="63" spans="1:9" ht="15" customHeight="1">
      <c r="A63" s="80">
        <v>2024</v>
      </c>
      <c r="B63" s="81">
        <f t="shared" si="6"/>
        <v>37694</v>
      </c>
      <c r="C63" s="67">
        <f t="shared" si="5"/>
        <v>27</v>
      </c>
      <c r="D63" s="69"/>
      <c r="E63" s="69"/>
      <c r="F63" s="69"/>
      <c r="G63" s="69"/>
      <c r="H63" s="69"/>
      <c r="I63" s="70">
        <f t="shared" si="4"/>
        <v>37693.509090909094</v>
      </c>
    </row>
    <row r="64" spans="1:9" ht="15" customHeight="1">
      <c r="A64" s="85">
        <v>2025</v>
      </c>
      <c r="B64" s="86">
        <f t="shared" si="6"/>
        <v>38559</v>
      </c>
      <c r="C64" s="87">
        <f t="shared" si="5"/>
        <v>28</v>
      </c>
      <c r="D64" s="89"/>
      <c r="E64" s="89"/>
      <c r="F64" s="89"/>
      <c r="G64" s="89"/>
      <c r="H64" s="89"/>
      <c r="I64" s="91">
        <f t="shared" si="4"/>
        <v>38559.081818181825</v>
      </c>
    </row>
    <row r="65" spans="1:11" ht="15" customHeight="1">
      <c r="A65" s="56" t="s">
        <v>79</v>
      </c>
      <c r="B65" s="57"/>
    </row>
    <row r="66" spans="1:11" ht="15" customHeight="1">
      <c r="A66" s="58" t="s">
        <v>32</v>
      </c>
      <c r="B66" s="59" t="s">
        <v>40</v>
      </c>
      <c r="C66" s="59" t="s">
        <v>34</v>
      </c>
      <c r="D66" s="59" t="s">
        <v>33</v>
      </c>
      <c r="E66" s="103"/>
      <c r="F66" s="60"/>
      <c r="G66" s="61"/>
      <c r="H66" s="63" t="s">
        <v>250</v>
      </c>
      <c r="I66" s="64">
        <f>RSQ(I67:I77,B67:B77)</f>
        <v>0.77216249779244739</v>
      </c>
    </row>
    <row r="67" spans="1:11" ht="15" customHeight="1">
      <c r="A67" s="65">
        <v>1997</v>
      </c>
      <c r="B67" s="104">
        <f t="shared" ref="B67:B77" si="7">B5</f>
        <v>13056</v>
      </c>
      <c r="C67" s="105">
        <f t="shared" ref="C67:C95" si="8">LN(B67)</f>
        <v>9.4770030772038876</v>
      </c>
      <c r="D67" s="67">
        <v>0</v>
      </c>
      <c r="E67" s="106"/>
      <c r="F67" s="53"/>
      <c r="G67" s="69"/>
      <c r="H67" s="265"/>
      <c r="I67" s="109">
        <f t="shared" ref="I67:I95" si="9">ROUND($F$69*(1+$F$68)^(D67),1)</f>
        <v>13056</v>
      </c>
    </row>
    <row r="68" spans="1:11" ht="15" customHeight="1">
      <c r="A68" s="65" t="e">
        <f t="shared" ref="A68:A77" si="10">A6</f>
        <v>#REF!</v>
      </c>
      <c r="B68" s="104">
        <f t="shared" si="7"/>
        <v>14417</v>
      </c>
      <c r="C68" s="105">
        <f t="shared" si="8"/>
        <v>9.5761633448119046</v>
      </c>
      <c r="D68" s="67">
        <f>+D67+1</f>
        <v>1</v>
      </c>
      <c r="E68" s="106" t="s">
        <v>37</v>
      </c>
      <c r="F68" s="73">
        <f>ROUND((B77/B67)^(1/D77)-1,5)</f>
        <v>4.9739999999999999E-2</v>
      </c>
      <c r="G68" s="107"/>
      <c r="H68" s="108"/>
      <c r="I68" s="109">
        <f t="shared" si="9"/>
        <v>13705.4</v>
      </c>
    </row>
    <row r="69" spans="1:11" ht="15" customHeight="1">
      <c r="A69" s="65" t="e">
        <f t="shared" si="10"/>
        <v>#REF!</v>
      </c>
      <c r="B69" s="104">
        <f t="shared" si="7"/>
        <v>15218</v>
      </c>
      <c r="C69" s="105">
        <f t="shared" si="8"/>
        <v>9.6302342167364685</v>
      </c>
      <c r="D69" s="67">
        <f t="shared" ref="D69:D95" si="11">D68+1</f>
        <v>2</v>
      </c>
      <c r="E69" s="106" t="s">
        <v>80</v>
      </c>
      <c r="F69" s="110">
        <f>B67</f>
        <v>13056</v>
      </c>
      <c r="G69" s="107"/>
      <c r="H69" s="108"/>
      <c r="I69" s="109">
        <f t="shared" si="9"/>
        <v>14387.1</v>
      </c>
      <c r="K69" s="111"/>
    </row>
    <row r="70" spans="1:11" ht="15" customHeight="1">
      <c r="A70" s="65" t="e">
        <f t="shared" si="10"/>
        <v>#REF!</v>
      </c>
      <c r="B70" s="104">
        <f t="shared" si="7"/>
        <v>16870</v>
      </c>
      <c r="C70" s="105">
        <f t="shared" si="8"/>
        <v>9.7332921755400132</v>
      </c>
      <c r="D70" s="67">
        <f t="shared" si="11"/>
        <v>3</v>
      </c>
      <c r="E70" s="106" t="s">
        <v>77</v>
      </c>
      <c r="F70" s="73">
        <f>I66</f>
        <v>0.77216249779244739</v>
      </c>
      <c r="G70" s="108"/>
      <c r="H70" s="108"/>
      <c r="I70" s="109">
        <f t="shared" si="9"/>
        <v>15102.7</v>
      </c>
    </row>
    <row r="71" spans="1:11" ht="15" customHeight="1">
      <c r="A71" s="65" t="e">
        <f t="shared" si="10"/>
        <v>#REF!</v>
      </c>
      <c r="B71" s="104">
        <f t="shared" si="7"/>
        <v>19029</v>
      </c>
      <c r="C71" s="105">
        <f t="shared" si="8"/>
        <v>9.8537194103020074</v>
      </c>
      <c r="D71" s="67">
        <f t="shared" si="11"/>
        <v>4</v>
      </c>
      <c r="E71" s="106"/>
      <c r="F71" s="73"/>
      <c r="G71" s="108"/>
      <c r="H71" s="108"/>
      <c r="I71" s="109">
        <f t="shared" si="9"/>
        <v>15853.9</v>
      </c>
    </row>
    <row r="72" spans="1:11" ht="15" customHeight="1">
      <c r="A72" s="65" t="e">
        <f t="shared" si="10"/>
        <v>#REF!</v>
      </c>
      <c r="B72" s="104">
        <f t="shared" si="7"/>
        <v>20963</v>
      </c>
      <c r="C72" s="105">
        <f t="shared" si="8"/>
        <v>9.9505142579638832</v>
      </c>
      <c r="D72" s="67">
        <f t="shared" si="11"/>
        <v>5</v>
      </c>
      <c r="E72" s="106" t="s">
        <v>81</v>
      </c>
      <c r="F72" s="72"/>
      <c r="G72" s="108"/>
      <c r="H72" s="108"/>
      <c r="I72" s="109">
        <f t="shared" si="9"/>
        <v>16642.5</v>
      </c>
    </row>
    <row r="73" spans="1:11" ht="15" customHeight="1">
      <c r="A73" s="65" t="e">
        <f t="shared" si="10"/>
        <v>#REF!</v>
      </c>
      <c r="B73" s="104">
        <f t="shared" si="7"/>
        <v>21131</v>
      </c>
      <c r="C73" s="105">
        <f t="shared" si="8"/>
        <v>9.9584964355669268</v>
      </c>
      <c r="D73" s="67">
        <f t="shared" si="11"/>
        <v>6</v>
      </c>
      <c r="E73" s="112"/>
      <c r="F73" s="113"/>
      <c r="G73" s="108"/>
      <c r="H73" s="108"/>
      <c r="I73" s="109">
        <f t="shared" si="9"/>
        <v>17470.3</v>
      </c>
    </row>
    <row r="74" spans="1:11" ht="15" customHeight="1">
      <c r="A74" s="65" t="e">
        <f t="shared" si="10"/>
        <v>#REF!</v>
      </c>
      <c r="B74" s="104">
        <f t="shared" si="7"/>
        <v>21241</v>
      </c>
      <c r="C74" s="105">
        <f t="shared" si="8"/>
        <v>9.9636885552268843</v>
      </c>
      <c r="D74" s="67">
        <f t="shared" si="11"/>
        <v>7</v>
      </c>
      <c r="E74" s="114"/>
      <c r="F74" s="113"/>
      <c r="G74" s="108"/>
      <c r="H74" s="108"/>
      <c r="I74" s="109">
        <f t="shared" si="9"/>
        <v>18339.3</v>
      </c>
    </row>
    <row r="75" spans="1:11" ht="15" customHeight="1">
      <c r="A75" s="65" t="e">
        <f t="shared" si="10"/>
        <v>#REF!</v>
      </c>
      <c r="B75" s="104">
        <f t="shared" si="7"/>
        <v>21184</v>
      </c>
      <c r="C75" s="105">
        <f t="shared" si="8"/>
        <v>9.9610014587367353</v>
      </c>
      <c r="D75" s="67">
        <f t="shared" si="11"/>
        <v>8</v>
      </c>
      <c r="E75" s="114"/>
      <c r="F75" s="113"/>
      <c r="G75" s="108"/>
      <c r="H75" s="108"/>
      <c r="I75" s="109">
        <f t="shared" si="9"/>
        <v>19251.5</v>
      </c>
    </row>
    <row r="76" spans="1:11" ht="15" customHeight="1">
      <c r="A76" s="65" t="e">
        <f t="shared" si="10"/>
        <v>#REF!</v>
      </c>
      <c r="B76" s="104">
        <f t="shared" si="7"/>
        <v>20836</v>
      </c>
      <c r="C76" s="105">
        <f t="shared" si="8"/>
        <v>9.944437538865083</v>
      </c>
      <c r="D76" s="67">
        <f t="shared" si="11"/>
        <v>9</v>
      </c>
      <c r="E76" s="108"/>
      <c r="F76" s="108"/>
      <c r="G76" s="115"/>
      <c r="H76" s="108"/>
      <c r="I76" s="109">
        <f t="shared" si="9"/>
        <v>20209</v>
      </c>
    </row>
    <row r="77" spans="1:11" s="100" customFormat="1" ht="15" customHeight="1" thickBot="1">
      <c r="A77" s="97" t="e">
        <f t="shared" si="10"/>
        <v>#REF!</v>
      </c>
      <c r="B77" s="116">
        <f t="shared" si="7"/>
        <v>21215</v>
      </c>
      <c r="C77" s="117">
        <f t="shared" si="8"/>
        <v>9.9624637576364261</v>
      </c>
      <c r="D77" s="99">
        <f t="shared" si="11"/>
        <v>10</v>
      </c>
      <c r="E77" s="118"/>
      <c r="F77" s="118"/>
      <c r="G77" s="119"/>
      <c r="H77" s="118"/>
      <c r="I77" s="120">
        <f t="shared" si="9"/>
        <v>21214.2</v>
      </c>
    </row>
    <row r="78" spans="1:11" s="78" customFormat="1" ht="15" customHeight="1" thickTop="1">
      <c r="A78" s="80">
        <v>2008</v>
      </c>
      <c r="B78" s="81">
        <f t="shared" ref="B78:B95" si="12">ROUND(F$69*(1+F$68)^D78,0)</f>
        <v>22269</v>
      </c>
      <c r="C78" s="121">
        <f t="shared" si="8"/>
        <v>10.010950855785657</v>
      </c>
      <c r="D78" s="77">
        <f t="shared" si="11"/>
        <v>11</v>
      </c>
      <c r="E78" s="259"/>
      <c r="F78" s="259"/>
      <c r="G78" s="260"/>
      <c r="H78" s="259"/>
      <c r="I78" s="123">
        <f t="shared" si="9"/>
        <v>22269.4</v>
      </c>
    </row>
    <row r="79" spans="1:11" ht="15" customHeight="1">
      <c r="A79" s="80">
        <v>2009</v>
      </c>
      <c r="B79" s="81">
        <f t="shared" si="12"/>
        <v>23377</v>
      </c>
      <c r="C79" s="105">
        <f t="shared" si="8"/>
        <v>10.059507911994038</v>
      </c>
      <c r="D79" s="67">
        <f t="shared" si="11"/>
        <v>12</v>
      </c>
      <c r="E79" s="83"/>
      <c r="F79" s="69"/>
      <c r="G79" s="69"/>
      <c r="H79" s="69"/>
      <c r="I79" s="109">
        <f t="shared" si="9"/>
        <v>23377.1</v>
      </c>
    </row>
    <row r="80" spans="1:11" ht="15" customHeight="1">
      <c r="A80" s="80">
        <v>2010</v>
      </c>
      <c r="B80" s="81">
        <f t="shared" si="12"/>
        <v>24540</v>
      </c>
      <c r="C80" s="105">
        <f t="shared" si="8"/>
        <v>10.108059718264903</v>
      </c>
      <c r="D80" s="67">
        <f t="shared" si="11"/>
        <v>13</v>
      </c>
      <c r="E80" s="83"/>
      <c r="F80" s="69"/>
      <c r="G80" s="69"/>
      <c r="H80" s="69"/>
      <c r="I80" s="109">
        <f t="shared" si="9"/>
        <v>24539.9</v>
      </c>
    </row>
    <row r="81" spans="1:9" ht="15" customHeight="1">
      <c r="A81" s="80">
        <v>2011</v>
      </c>
      <c r="B81" s="81">
        <f t="shared" si="12"/>
        <v>25761</v>
      </c>
      <c r="C81" s="105">
        <f t="shared" si="8"/>
        <v>10.156616999340594</v>
      </c>
      <c r="D81" s="67">
        <f t="shared" si="11"/>
        <v>14</v>
      </c>
      <c r="E81" s="83"/>
      <c r="F81" s="69"/>
      <c r="G81" s="69"/>
      <c r="H81" s="69"/>
      <c r="I81" s="109">
        <f t="shared" si="9"/>
        <v>25760.5</v>
      </c>
    </row>
    <row r="82" spans="1:9" ht="15" customHeight="1">
      <c r="A82" s="80">
        <v>2012</v>
      </c>
      <c r="B82" s="81">
        <f t="shared" si="12"/>
        <v>27042</v>
      </c>
      <c r="C82" s="105">
        <f t="shared" si="8"/>
        <v>10.205146491918704</v>
      </c>
      <c r="D82" s="67">
        <f t="shared" si="11"/>
        <v>15</v>
      </c>
      <c r="E82" s="83"/>
      <c r="F82" s="69"/>
      <c r="G82" s="69"/>
      <c r="H82" s="69"/>
      <c r="I82" s="109">
        <f t="shared" si="9"/>
        <v>27041.8</v>
      </c>
    </row>
    <row r="83" spans="1:9" ht="15" customHeight="1">
      <c r="A83" s="80">
        <v>2013</v>
      </c>
      <c r="B83" s="81">
        <f t="shared" si="12"/>
        <v>28387</v>
      </c>
      <c r="C83" s="105">
        <f t="shared" si="8"/>
        <v>10.253686572872523</v>
      </c>
      <c r="D83" s="67">
        <f t="shared" si="11"/>
        <v>16</v>
      </c>
      <c r="E83" s="83"/>
      <c r="F83" s="69"/>
      <c r="G83" s="69"/>
      <c r="H83" s="69"/>
      <c r="I83" s="109">
        <f t="shared" si="9"/>
        <v>28386.9</v>
      </c>
    </row>
    <row r="84" spans="1:9" ht="15" customHeight="1">
      <c r="A84" s="80">
        <v>2014</v>
      </c>
      <c r="B84" s="81">
        <f t="shared" si="12"/>
        <v>29799</v>
      </c>
      <c r="C84" s="105">
        <f t="shared" si="8"/>
        <v>10.302230114883466</v>
      </c>
      <c r="D84" s="67">
        <f t="shared" si="11"/>
        <v>17</v>
      </c>
      <c r="E84" s="83"/>
      <c r="F84" s="69"/>
      <c r="G84" s="69"/>
      <c r="H84" s="69"/>
      <c r="I84" s="109">
        <f t="shared" si="9"/>
        <v>29798.9</v>
      </c>
    </row>
    <row r="85" spans="1:9" ht="15" customHeight="1">
      <c r="A85" s="80">
        <v>2015</v>
      </c>
      <c r="B85" s="81">
        <f t="shared" si="12"/>
        <v>31281</v>
      </c>
      <c r="C85" s="105">
        <f t="shared" si="8"/>
        <v>10.350766163457703</v>
      </c>
      <c r="D85" s="67">
        <f t="shared" si="11"/>
        <v>18</v>
      </c>
      <c r="E85" s="83"/>
      <c r="F85" s="69"/>
      <c r="G85" s="69"/>
      <c r="H85" s="69"/>
      <c r="I85" s="109">
        <f t="shared" si="9"/>
        <v>31281.1</v>
      </c>
    </row>
    <row r="86" spans="1:9" ht="15" customHeight="1">
      <c r="A86" s="80">
        <v>2016</v>
      </c>
      <c r="B86" s="81">
        <f t="shared" si="12"/>
        <v>32837</v>
      </c>
      <c r="C86" s="105">
        <f t="shared" si="8"/>
        <v>10.399311207383771</v>
      </c>
      <c r="D86" s="67">
        <f t="shared" si="11"/>
        <v>19</v>
      </c>
      <c r="E86" s="83"/>
      <c r="F86" s="69"/>
      <c r="G86" s="69"/>
      <c r="H86" s="69"/>
      <c r="I86" s="109">
        <f t="shared" si="9"/>
        <v>32837</v>
      </c>
    </row>
    <row r="87" spans="1:9" ht="15" customHeight="1">
      <c r="A87" s="80">
        <v>2017</v>
      </c>
      <c r="B87" s="81">
        <f t="shared" si="12"/>
        <v>34470</v>
      </c>
      <c r="C87" s="105">
        <f t="shared" si="8"/>
        <v>10.447844659510912</v>
      </c>
      <c r="D87" s="67">
        <f t="shared" si="11"/>
        <v>20</v>
      </c>
      <c r="E87" s="83"/>
      <c r="F87" s="69"/>
      <c r="G87" s="69"/>
      <c r="H87" s="69"/>
      <c r="I87" s="109">
        <f t="shared" si="9"/>
        <v>34470.300000000003</v>
      </c>
    </row>
    <row r="88" spans="1:9" ht="15" customHeight="1">
      <c r="A88" s="80">
        <v>2018</v>
      </c>
      <c r="B88" s="81">
        <f t="shared" si="12"/>
        <v>36185</v>
      </c>
      <c r="C88" s="105">
        <f t="shared" si="8"/>
        <v>10.496399947300228</v>
      </c>
      <c r="D88" s="67">
        <f t="shared" si="11"/>
        <v>21</v>
      </c>
      <c r="E88" s="83"/>
      <c r="F88" s="69"/>
      <c r="G88" s="69"/>
      <c r="H88" s="69"/>
      <c r="I88" s="109">
        <f t="shared" si="9"/>
        <v>36184.9</v>
      </c>
    </row>
    <row r="89" spans="1:9" ht="15" customHeight="1">
      <c r="A89" s="80">
        <v>2019</v>
      </c>
      <c r="B89" s="81">
        <f t="shared" si="12"/>
        <v>37985</v>
      </c>
      <c r="C89" s="105">
        <f t="shared" si="8"/>
        <v>10.544946623937323</v>
      </c>
      <c r="D89" s="67">
        <f t="shared" si="11"/>
        <v>22</v>
      </c>
      <c r="E89" s="83"/>
      <c r="F89" s="69"/>
      <c r="G89" s="69"/>
      <c r="H89" s="69"/>
      <c r="I89" s="109">
        <f t="shared" si="9"/>
        <v>37984.699999999997</v>
      </c>
    </row>
    <row r="90" spans="1:9" ht="15" customHeight="1">
      <c r="A90" s="80">
        <v>2020</v>
      </c>
      <c r="B90" s="81">
        <f t="shared" si="12"/>
        <v>39874</v>
      </c>
      <c r="C90" s="105">
        <f t="shared" si="8"/>
        <v>10.593479761402772</v>
      </c>
      <c r="D90" s="67">
        <f t="shared" si="11"/>
        <v>23</v>
      </c>
      <c r="E90" s="83"/>
      <c r="F90" s="69"/>
      <c r="G90" s="69"/>
      <c r="H90" s="69"/>
      <c r="I90" s="109">
        <f t="shared" si="9"/>
        <v>39874</v>
      </c>
    </row>
    <row r="91" spans="1:9" ht="15" customHeight="1">
      <c r="A91" s="80">
        <v>2021</v>
      </c>
      <c r="B91" s="81">
        <f t="shared" si="12"/>
        <v>41857</v>
      </c>
      <c r="C91" s="105">
        <f t="shared" si="8"/>
        <v>10.642014325968784</v>
      </c>
      <c r="D91" s="67">
        <f t="shared" si="11"/>
        <v>24</v>
      </c>
      <c r="E91" s="83"/>
      <c r="F91" s="69"/>
      <c r="G91" s="69"/>
      <c r="H91" s="69"/>
      <c r="I91" s="109">
        <f t="shared" si="9"/>
        <v>41857.4</v>
      </c>
    </row>
    <row r="92" spans="1:9" ht="15" customHeight="1">
      <c r="A92" s="80">
        <v>2022</v>
      </c>
      <c r="B92" s="81">
        <f t="shared" si="12"/>
        <v>43939</v>
      </c>
      <c r="C92" s="105">
        <f t="shared" si="8"/>
        <v>10.690557587372846</v>
      </c>
      <c r="D92" s="67">
        <f t="shared" si="11"/>
        <v>25</v>
      </c>
      <c r="E92" s="83"/>
      <c r="F92" s="69"/>
      <c r="G92" s="69"/>
      <c r="H92" s="69"/>
      <c r="I92" s="109">
        <f t="shared" si="9"/>
        <v>43939.4</v>
      </c>
    </row>
    <row r="93" spans="1:9" ht="15" customHeight="1">
      <c r="A93" s="80">
        <v>2023</v>
      </c>
      <c r="B93" s="81">
        <f t="shared" si="12"/>
        <v>46125</v>
      </c>
      <c r="C93" s="105">
        <f t="shared" si="8"/>
        <v>10.739110381342828</v>
      </c>
      <c r="D93" s="67">
        <f t="shared" si="11"/>
        <v>26</v>
      </c>
      <c r="E93" s="83"/>
      <c r="F93" s="69"/>
      <c r="G93" s="69"/>
      <c r="H93" s="69"/>
      <c r="I93" s="109">
        <f t="shared" si="9"/>
        <v>46124.9</v>
      </c>
    </row>
    <row r="94" spans="1:9" ht="15" customHeight="1">
      <c r="A94" s="80">
        <v>2024</v>
      </c>
      <c r="B94" s="81">
        <f t="shared" si="12"/>
        <v>48419</v>
      </c>
      <c r="C94" s="105">
        <f t="shared" si="8"/>
        <v>10.787647577655898</v>
      </c>
      <c r="D94" s="67">
        <f t="shared" si="11"/>
        <v>27</v>
      </c>
      <c r="E94" s="69"/>
      <c r="F94" s="69"/>
      <c r="G94" s="69"/>
      <c r="H94" s="69"/>
      <c r="I94" s="109">
        <f t="shared" si="9"/>
        <v>48419.199999999997</v>
      </c>
    </row>
    <row r="95" spans="1:9" ht="15" customHeight="1">
      <c r="A95" s="85">
        <v>2025</v>
      </c>
      <c r="B95" s="86">
        <f t="shared" si="12"/>
        <v>50828</v>
      </c>
      <c r="C95" s="124">
        <f t="shared" si="8"/>
        <v>10.836202662824425</v>
      </c>
      <c r="D95" s="87">
        <f t="shared" si="11"/>
        <v>28</v>
      </c>
      <c r="E95" s="89"/>
      <c r="F95" s="89"/>
      <c r="G95" s="89"/>
      <c r="H95" s="89"/>
      <c r="I95" s="125">
        <f t="shared" si="9"/>
        <v>50827.5</v>
      </c>
    </row>
    <row r="96" spans="1:9" ht="15" customHeight="1">
      <c r="A96" s="56" t="s">
        <v>82</v>
      </c>
      <c r="B96" s="57"/>
    </row>
    <row r="97" spans="1:9" ht="15" customHeight="1">
      <c r="A97" s="58" t="s">
        <v>32</v>
      </c>
      <c r="B97" s="59" t="s">
        <v>40</v>
      </c>
      <c r="C97" s="59" t="s">
        <v>83</v>
      </c>
      <c r="D97" s="59" t="s">
        <v>33</v>
      </c>
      <c r="E97" s="59" t="s">
        <v>35</v>
      </c>
      <c r="F97" s="103"/>
      <c r="G97" s="60"/>
      <c r="H97" s="63" t="s">
        <v>250</v>
      </c>
      <c r="I97" s="64">
        <f>RSQ(I98:I108,B98:B108)</f>
        <v>0.85572848238227661</v>
      </c>
    </row>
    <row r="98" spans="1:9" ht="15" customHeight="1">
      <c r="A98" s="65">
        <v>1997</v>
      </c>
      <c r="B98" s="104">
        <f t="shared" ref="B98:B108" si="13">B5</f>
        <v>13056</v>
      </c>
      <c r="C98" s="126"/>
      <c r="D98" s="67">
        <v>0</v>
      </c>
      <c r="E98" s="67"/>
      <c r="F98" s="106"/>
      <c r="G98" s="53"/>
      <c r="H98" s="265"/>
      <c r="I98" s="267">
        <f>$B$98+$G$103*D98^$G$99</f>
        <v>13056</v>
      </c>
    </row>
    <row r="99" spans="1:9" ht="15" customHeight="1">
      <c r="A99" s="65" t="e">
        <f t="shared" ref="A99:A108" si="14">A6</f>
        <v>#REF!</v>
      </c>
      <c r="B99" s="104">
        <f t="shared" si="13"/>
        <v>14417</v>
      </c>
      <c r="C99" s="126">
        <f t="shared" ref="C99:C108" si="15">LN(-B$98+B99)</f>
        <v>7.215975002651466</v>
      </c>
      <c r="D99" s="67">
        <f>+D98+1</f>
        <v>1</v>
      </c>
      <c r="E99" s="67">
        <f t="shared" ref="E99:E108" si="16">LN(D99)</f>
        <v>0</v>
      </c>
      <c r="F99" s="106" t="s">
        <v>75</v>
      </c>
      <c r="G99" s="73">
        <f>INDEX(LINEST(C99:C108,E99:E108),1)</f>
        <v>0.84842589000847046</v>
      </c>
      <c r="H99" s="127"/>
      <c r="I99" s="128">
        <f>$B$98+$G$103*D99^$G$99</f>
        <v>14532.246023378671</v>
      </c>
    </row>
    <row r="100" spans="1:9" ht="15" customHeight="1">
      <c r="A100" s="65" t="e">
        <f t="shared" si="14"/>
        <v>#REF!</v>
      </c>
      <c r="B100" s="104">
        <f t="shared" si="13"/>
        <v>15218</v>
      </c>
      <c r="C100" s="126">
        <f t="shared" si="15"/>
        <v>7.6787889981991535</v>
      </c>
      <c r="D100" s="67">
        <f t="shared" ref="D100:D126" si="17">D99+1</f>
        <v>2</v>
      </c>
      <c r="E100" s="67">
        <f t="shared" si="16"/>
        <v>0.69314718055994529</v>
      </c>
      <c r="F100" s="106" t="s">
        <v>76</v>
      </c>
      <c r="G100" s="73">
        <f>INDEX(LINEST(C99:C108,E99:E108),2)</f>
        <v>7.2972576737763077</v>
      </c>
      <c r="H100" s="129" t="s">
        <v>84</v>
      </c>
      <c r="I100" s="128">
        <f t="shared" ref="I100:I126" si="18">$B$98+$G$103*D100^$G$99</f>
        <v>15714.033087193407</v>
      </c>
    </row>
    <row r="101" spans="1:9" ht="15" customHeight="1">
      <c r="A101" s="65" t="e">
        <f t="shared" si="14"/>
        <v>#REF!</v>
      </c>
      <c r="B101" s="104">
        <f t="shared" si="13"/>
        <v>16870</v>
      </c>
      <c r="C101" s="126">
        <f t="shared" si="15"/>
        <v>8.2464337861603649</v>
      </c>
      <c r="D101" s="67">
        <f t="shared" si="17"/>
        <v>3</v>
      </c>
      <c r="E101" s="67">
        <f t="shared" si="16"/>
        <v>1.0986122886681098</v>
      </c>
      <c r="F101" s="69"/>
      <c r="G101" s="130"/>
      <c r="H101" s="127"/>
      <c r="I101" s="128">
        <f t="shared" si="18"/>
        <v>16805.391287906907</v>
      </c>
    </row>
    <row r="102" spans="1:9" ht="15" customHeight="1">
      <c r="A102" s="65" t="e">
        <f t="shared" si="14"/>
        <v>#REF!</v>
      </c>
      <c r="B102" s="104">
        <f t="shared" si="13"/>
        <v>19029</v>
      </c>
      <c r="C102" s="126">
        <f t="shared" si="15"/>
        <v>8.6950045927323067</v>
      </c>
      <c r="D102" s="67">
        <f t="shared" si="17"/>
        <v>4</v>
      </c>
      <c r="E102" s="67">
        <f t="shared" si="16"/>
        <v>1.3862943611198906</v>
      </c>
      <c r="F102" s="106" t="s">
        <v>77</v>
      </c>
      <c r="G102" s="73">
        <f>I97</f>
        <v>0.85572848238227661</v>
      </c>
      <c r="H102" s="127"/>
      <c r="I102" s="128">
        <f t="shared" si="18"/>
        <v>17841.882421173261</v>
      </c>
    </row>
    <row r="103" spans="1:9" ht="15" customHeight="1">
      <c r="A103" s="65" t="e">
        <f t="shared" si="14"/>
        <v>#REF!</v>
      </c>
      <c r="B103" s="104">
        <f t="shared" si="13"/>
        <v>20963</v>
      </c>
      <c r="C103" s="126">
        <f t="shared" si="15"/>
        <v>8.9755037220709273</v>
      </c>
      <c r="D103" s="67">
        <f t="shared" si="17"/>
        <v>5</v>
      </c>
      <c r="E103" s="67">
        <f t="shared" si="16"/>
        <v>1.6094379124341003</v>
      </c>
      <c r="F103" s="106" t="s">
        <v>38</v>
      </c>
      <c r="G103" s="131">
        <f>EXP(G100)</f>
        <v>1476.2460233786721</v>
      </c>
      <c r="H103" s="127"/>
      <c r="I103" s="128">
        <f t="shared" si="18"/>
        <v>18839.396778812541</v>
      </c>
    </row>
    <row r="104" spans="1:9" ht="15" customHeight="1">
      <c r="A104" s="65" t="e">
        <f t="shared" si="14"/>
        <v>#REF!</v>
      </c>
      <c r="B104" s="104">
        <f t="shared" si="13"/>
        <v>21131</v>
      </c>
      <c r="C104" s="126">
        <f t="shared" si="15"/>
        <v>8.9965281480908565</v>
      </c>
      <c r="D104" s="67">
        <f t="shared" si="17"/>
        <v>6</v>
      </c>
      <c r="E104" s="67">
        <f t="shared" si="16"/>
        <v>1.791759469228055</v>
      </c>
      <c r="F104" s="106"/>
      <c r="G104" s="53"/>
      <c r="H104" s="127"/>
      <c r="I104" s="128">
        <f t="shared" si="18"/>
        <v>19806.911394350209</v>
      </c>
    </row>
    <row r="105" spans="1:9" ht="15" customHeight="1">
      <c r="A105" s="65" t="e">
        <f t="shared" si="14"/>
        <v>#REF!</v>
      </c>
      <c r="B105" s="104">
        <f t="shared" si="13"/>
        <v>21241</v>
      </c>
      <c r="C105" s="126">
        <f t="shared" si="15"/>
        <v>9.0100584898052354</v>
      </c>
      <c r="D105" s="67">
        <f t="shared" si="17"/>
        <v>7</v>
      </c>
      <c r="E105" s="67">
        <f t="shared" si="16"/>
        <v>1.9459101490553132</v>
      </c>
      <c r="F105" s="106"/>
      <c r="G105" s="53"/>
      <c r="H105" s="127"/>
      <c r="I105" s="128">
        <f t="shared" si="18"/>
        <v>20750.170351299355</v>
      </c>
    </row>
    <row r="106" spans="1:9" ht="15" customHeight="1">
      <c r="A106" s="65" t="e">
        <f t="shared" si="14"/>
        <v>#REF!</v>
      </c>
      <c r="B106" s="104">
        <f t="shared" si="13"/>
        <v>21184</v>
      </c>
      <c r="C106" s="126">
        <f t="shared" si="15"/>
        <v>9.0030701698182636</v>
      </c>
      <c r="D106" s="67">
        <f t="shared" si="17"/>
        <v>8</v>
      </c>
      <c r="E106" s="67">
        <f t="shared" si="16"/>
        <v>2.0794415416798357</v>
      </c>
      <c r="F106" s="132" t="s">
        <v>85</v>
      </c>
      <c r="G106" s="53"/>
      <c r="H106" s="127"/>
      <c r="I106" s="128">
        <f t="shared" si="18"/>
        <v>21673.150275386546</v>
      </c>
    </row>
    <row r="107" spans="1:9" ht="15" customHeight="1">
      <c r="A107" s="65" t="e">
        <f t="shared" si="14"/>
        <v>#REF!</v>
      </c>
      <c r="B107" s="104">
        <f t="shared" si="13"/>
        <v>20836</v>
      </c>
      <c r="C107" s="126">
        <f t="shared" si="15"/>
        <v>8.9593116171724372</v>
      </c>
      <c r="D107" s="67">
        <f t="shared" si="17"/>
        <v>9</v>
      </c>
      <c r="E107" s="67">
        <f t="shared" si="16"/>
        <v>2.1972245773362196</v>
      </c>
      <c r="F107" s="132" t="s">
        <v>86</v>
      </c>
      <c r="G107" s="53"/>
      <c r="H107" s="127"/>
      <c r="I107" s="128">
        <f t="shared" si="18"/>
        <v>22578.75894884915</v>
      </c>
    </row>
    <row r="108" spans="1:9" s="100" customFormat="1" ht="15" customHeight="1" thickBot="1">
      <c r="A108" s="97" t="e">
        <f t="shared" si="14"/>
        <v>#REF!</v>
      </c>
      <c r="B108" s="116">
        <f t="shared" si="13"/>
        <v>21215</v>
      </c>
      <c r="C108" s="126">
        <f t="shared" si="15"/>
        <v>9.0068768914287993</v>
      </c>
      <c r="D108" s="99">
        <f t="shared" si="17"/>
        <v>10</v>
      </c>
      <c r="E108" s="99">
        <f t="shared" si="16"/>
        <v>2.3025850929940459</v>
      </c>
      <c r="F108" s="182"/>
      <c r="G108" s="101"/>
      <c r="H108" s="143"/>
      <c r="I108" s="144">
        <f t="shared" si="18"/>
        <v>23469.21009574589</v>
      </c>
    </row>
    <row r="109" spans="1:9" s="78" customFormat="1" ht="15" customHeight="1" thickTop="1">
      <c r="A109" s="80">
        <v>2008</v>
      </c>
      <c r="B109" s="81">
        <f>ROUND(LOOKUP(0,D$98:D$108,B$98:B$108)+G$103*D109^G$99,0)</f>
        <v>24346</v>
      </c>
      <c r="C109" s="257"/>
      <c r="D109" s="77">
        <f t="shared" si="17"/>
        <v>11</v>
      </c>
      <c r="E109" s="77"/>
      <c r="F109" s="266"/>
      <c r="G109" s="256"/>
      <c r="H109" s="258"/>
      <c r="I109" s="133">
        <f t="shared" si="18"/>
        <v>24346.242146042059</v>
      </c>
    </row>
    <row r="110" spans="1:9" ht="15" customHeight="1">
      <c r="A110" s="80">
        <v>2009</v>
      </c>
      <c r="B110" s="81">
        <f t="shared" ref="B110:B126" si="19">ROUND(LOOKUP(0,D$98:D$108,B$98:B$108)+G$103*D110^G$99,0)</f>
        <v>25211</v>
      </c>
      <c r="C110" s="134"/>
      <c r="D110" s="67">
        <f t="shared" si="17"/>
        <v>12</v>
      </c>
      <c r="E110" s="67"/>
      <c r="F110" s="83"/>
      <c r="G110" s="69"/>
      <c r="H110" s="84"/>
      <c r="I110" s="128">
        <f t="shared" si="18"/>
        <v>25211.254321244654</v>
      </c>
    </row>
    <row r="111" spans="1:9" ht="15" customHeight="1">
      <c r="A111" s="80">
        <v>2010</v>
      </c>
      <c r="B111" s="81">
        <f t="shared" si="19"/>
        <v>26065</v>
      </c>
      <c r="C111" s="134"/>
      <c r="D111" s="67">
        <f t="shared" si="17"/>
        <v>13</v>
      </c>
      <c r="E111" s="67"/>
      <c r="F111" s="83"/>
      <c r="G111" s="69"/>
      <c r="H111" s="84"/>
      <c r="I111" s="128">
        <f t="shared" si="18"/>
        <v>26065.395617585102</v>
      </c>
    </row>
    <row r="112" spans="1:9" ht="15" customHeight="1">
      <c r="A112" s="80">
        <v>2011</v>
      </c>
      <c r="B112" s="81">
        <f t="shared" si="19"/>
        <v>26910</v>
      </c>
      <c r="C112" s="134"/>
      <c r="D112" s="67">
        <f t="shared" si="17"/>
        <v>14</v>
      </c>
      <c r="E112" s="67"/>
      <c r="F112" s="83"/>
      <c r="G112" s="69"/>
      <c r="H112" s="84"/>
      <c r="I112" s="128">
        <f t="shared" si="18"/>
        <v>26909.625377055614</v>
      </c>
    </row>
    <row r="113" spans="1:9" ht="15" customHeight="1">
      <c r="A113" s="80">
        <v>2012</v>
      </c>
      <c r="B113" s="81">
        <f t="shared" si="19"/>
        <v>27745</v>
      </c>
      <c r="C113" s="134"/>
      <c r="D113" s="67">
        <f t="shared" si="17"/>
        <v>15</v>
      </c>
      <c r="E113" s="67"/>
      <c r="F113" s="83"/>
      <c r="G113" s="69"/>
      <c r="H113" s="84"/>
      <c r="I113" s="128">
        <f t="shared" si="18"/>
        <v>27744.755907609575</v>
      </c>
    </row>
    <row r="114" spans="1:9" ht="15" customHeight="1">
      <c r="A114" s="80">
        <v>2013</v>
      </c>
      <c r="B114" s="81">
        <f t="shared" si="19"/>
        <v>28571</v>
      </c>
      <c r="C114" s="134"/>
      <c r="D114" s="67">
        <f t="shared" si="17"/>
        <v>16</v>
      </c>
      <c r="E114" s="67"/>
      <c r="F114" s="83"/>
      <c r="G114" s="69"/>
      <c r="H114" s="84"/>
      <c r="I114" s="128">
        <f t="shared" si="18"/>
        <v>28571.483318202947</v>
      </c>
    </row>
    <row r="115" spans="1:9" ht="15" customHeight="1">
      <c r="A115" s="80">
        <v>2014</v>
      </c>
      <c r="B115" s="81">
        <f t="shared" si="19"/>
        <v>29390</v>
      </c>
      <c r="C115" s="134"/>
      <c r="D115" s="67">
        <f t="shared" si="17"/>
        <v>17</v>
      </c>
      <c r="E115" s="67"/>
      <c r="F115" s="83"/>
      <c r="G115" s="69"/>
      <c r="H115" s="84"/>
      <c r="I115" s="128">
        <f t="shared" si="18"/>
        <v>29390.410362159957</v>
      </c>
    </row>
    <row r="116" spans="1:9" ht="15" customHeight="1">
      <c r="A116" s="80">
        <v>2015</v>
      </c>
      <c r="B116" s="81">
        <f t="shared" si="19"/>
        <v>30202</v>
      </c>
      <c r="C116" s="134"/>
      <c r="D116" s="67">
        <f t="shared" si="17"/>
        <v>18</v>
      </c>
      <c r="E116" s="67"/>
      <c r="F116" s="83"/>
      <c r="G116" s="69"/>
      <c r="H116" s="84"/>
      <c r="I116" s="128">
        <f t="shared" si="18"/>
        <v>30202.063709270642</v>
      </c>
    </row>
    <row r="117" spans="1:9" ht="15" customHeight="1">
      <c r="A117" s="80">
        <v>2016</v>
      </c>
      <c r="B117" s="81">
        <f t="shared" si="19"/>
        <v>31007</v>
      </c>
      <c r="C117" s="134"/>
      <c r="D117" s="67">
        <f t="shared" si="17"/>
        <v>19</v>
      </c>
      <c r="E117" s="67"/>
      <c r="F117" s="83"/>
      <c r="G117" s="69"/>
      <c r="H117" s="84"/>
      <c r="I117" s="128">
        <f t="shared" si="18"/>
        <v>31006.907239886066</v>
      </c>
    </row>
    <row r="118" spans="1:9" ht="15" customHeight="1">
      <c r="A118" s="80">
        <v>2017</v>
      </c>
      <c r="B118" s="81">
        <f t="shared" si="19"/>
        <v>31805</v>
      </c>
      <c r="C118" s="134"/>
      <c r="D118" s="67">
        <f t="shared" si="17"/>
        <v>20</v>
      </c>
      <c r="E118" s="67"/>
      <c r="F118" s="83"/>
      <c r="G118" s="69"/>
      <c r="H118" s="84"/>
      <c r="I118" s="128">
        <f t="shared" si="18"/>
        <v>31805.352438586811</v>
      </c>
    </row>
    <row r="119" spans="1:9" ht="15" customHeight="1">
      <c r="A119" s="80">
        <v>2018</v>
      </c>
      <c r="B119" s="81">
        <f t="shared" si="19"/>
        <v>32598</v>
      </c>
      <c r="C119" s="134"/>
      <c r="D119" s="67">
        <f t="shared" si="17"/>
        <v>21</v>
      </c>
      <c r="E119" s="67"/>
      <c r="F119" s="83"/>
      <c r="G119" s="69"/>
      <c r="H119" s="84"/>
      <c r="I119" s="128">
        <f t="shared" si="18"/>
        <v>32597.766633726958</v>
      </c>
    </row>
    <row r="120" spans="1:9" ht="15" customHeight="1">
      <c r="A120" s="80">
        <v>2019</v>
      </c>
      <c r="B120" s="81">
        <f t="shared" si="19"/>
        <v>33384</v>
      </c>
      <c r="C120" s="134"/>
      <c r="D120" s="67">
        <f t="shared" si="17"/>
        <v>22</v>
      </c>
      <c r="E120" s="67"/>
      <c r="F120" s="83"/>
      <c r="G120" s="69"/>
      <c r="H120" s="84"/>
      <c r="I120" s="128">
        <f t="shared" si="18"/>
        <v>33384.479610683062</v>
      </c>
    </row>
    <row r="121" spans="1:9" ht="15" customHeight="1">
      <c r="A121" s="80">
        <v>2020</v>
      </c>
      <c r="B121" s="81">
        <f t="shared" si="19"/>
        <v>34166</v>
      </c>
      <c r="C121" s="134"/>
      <c r="D121" s="67">
        <f t="shared" si="17"/>
        <v>23</v>
      </c>
      <c r="E121" s="67"/>
      <c r="F121" s="83"/>
      <c r="G121" s="69"/>
      <c r="H121" s="84"/>
      <c r="I121" s="128">
        <f t="shared" si="18"/>
        <v>34165.788979162593</v>
      </c>
    </row>
    <row r="122" spans="1:9" ht="15" customHeight="1">
      <c r="A122" s="80">
        <v>2021</v>
      </c>
      <c r="B122" s="81">
        <f t="shared" si="19"/>
        <v>34942</v>
      </c>
      <c r="C122" s="134"/>
      <c r="D122" s="67">
        <f t="shared" si="17"/>
        <v>24</v>
      </c>
      <c r="E122" s="67"/>
      <c r="F122" s="83"/>
      <c r="G122" s="69"/>
      <c r="H122" s="84"/>
      <c r="I122" s="128">
        <f t="shared" si="18"/>
        <v>34941.96457328531</v>
      </c>
    </row>
    <row r="123" spans="1:9" ht="15" customHeight="1">
      <c r="A123" s="80">
        <v>2022</v>
      </c>
      <c r="B123" s="81">
        <f t="shared" si="19"/>
        <v>35713</v>
      </c>
      <c r="C123" s="134"/>
      <c r="D123" s="67">
        <f t="shared" si="17"/>
        <v>25</v>
      </c>
      <c r="E123" s="67"/>
      <c r="F123" s="83"/>
      <c r="G123" s="69"/>
      <c r="H123" s="84"/>
      <c r="I123" s="128">
        <f t="shared" si="18"/>
        <v>35713.25209178064</v>
      </c>
    </row>
    <row r="124" spans="1:9" ht="15" customHeight="1">
      <c r="A124" s="80">
        <v>2023</v>
      </c>
      <c r="B124" s="81">
        <f t="shared" si="19"/>
        <v>36480</v>
      </c>
      <c r="C124" s="134"/>
      <c r="D124" s="67">
        <f t="shared" si="17"/>
        <v>26</v>
      </c>
      <c r="E124" s="67"/>
      <c r="F124" s="83"/>
      <c r="G124" s="69"/>
      <c r="H124" s="84"/>
      <c r="I124" s="128">
        <f t="shared" si="18"/>
        <v>36479.876134676066</v>
      </c>
    </row>
    <row r="125" spans="1:9" ht="15" customHeight="1">
      <c r="A125" s="80">
        <v>2024</v>
      </c>
      <c r="B125" s="81">
        <f t="shared" si="19"/>
        <v>37242</v>
      </c>
      <c r="C125" s="135"/>
      <c r="D125" s="67">
        <f t="shared" si="17"/>
        <v>27</v>
      </c>
      <c r="E125" s="67"/>
      <c r="F125" s="69"/>
      <c r="G125" s="69"/>
      <c r="H125" s="69"/>
      <c r="I125" s="136">
        <f t="shared" si="18"/>
        <v>37242.042755892304</v>
      </c>
    </row>
    <row r="126" spans="1:9" ht="15" customHeight="1">
      <c r="A126" s="85">
        <v>2025</v>
      </c>
      <c r="B126" s="86">
        <f t="shared" si="19"/>
        <v>38000</v>
      </c>
      <c r="C126" s="137"/>
      <c r="D126" s="87">
        <f t="shared" si="17"/>
        <v>28</v>
      </c>
      <c r="E126" s="87"/>
      <c r="F126" s="89"/>
      <c r="G126" s="89"/>
      <c r="H126" s="89"/>
      <c r="I126" s="138">
        <f t="shared" si="18"/>
        <v>37999.94162398397</v>
      </c>
    </row>
    <row r="127" spans="1:9" ht="15" customHeight="1">
      <c r="A127" s="56" t="s">
        <v>87</v>
      </c>
      <c r="B127" s="57"/>
    </row>
    <row r="128" spans="1:9" ht="15" customHeight="1">
      <c r="A128" s="58" t="s">
        <v>32</v>
      </c>
      <c r="B128" s="59" t="s">
        <v>40</v>
      </c>
      <c r="C128" s="59" t="s">
        <v>36</v>
      </c>
      <c r="D128" s="59" t="s">
        <v>33</v>
      </c>
      <c r="E128" s="103"/>
      <c r="F128" s="60"/>
      <c r="G128" s="61"/>
      <c r="H128" s="63" t="s">
        <v>250</v>
      </c>
      <c r="I128" s="64">
        <f>RSQ(I129:I139,B129:B139)</f>
        <v>0.81218390377300653</v>
      </c>
    </row>
    <row r="129" spans="1:9" ht="15" customHeight="1">
      <c r="A129" s="65">
        <v>1997</v>
      </c>
      <c r="B129" s="104">
        <f t="shared" ref="B129:B139" si="20">+B5</f>
        <v>13056</v>
      </c>
      <c r="C129" s="126">
        <f t="shared" ref="C129:C139" si="21">LN(F$133/B129-1)</f>
        <v>0.81263083905400413</v>
      </c>
      <c r="D129" s="67">
        <v>0</v>
      </c>
      <c r="E129" s="106"/>
      <c r="F129" s="53"/>
      <c r="G129" s="69"/>
      <c r="H129" s="265"/>
      <c r="I129" s="267">
        <f t="shared" ref="I129:I157" si="22">$F$133/(1+EXP($F$131+$F$130*D129))</f>
        <v>14323.231855020735</v>
      </c>
    </row>
    <row r="130" spans="1:9" ht="15" customHeight="1">
      <c r="A130" s="65" t="e">
        <f t="shared" ref="A130:A139" si="23">A6</f>
        <v>#REF!</v>
      </c>
      <c r="B130" s="104">
        <f t="shared" si="20"/>
        <v>14417</v>
      </c>
      <c r="C130" s="126">
        <f t="shared" si="21"/>
        <v>0.66611518256439595</v>
      </c>
      <c r="D130" s="67">
        <f>+D129+1</f>
        <v>1</v>
      </c>
      <c r="E130" s="106" t="s">
        <v>75</v>
      </c>
      <c r="F130" s="139">
        <f>INDEX(LINEST(C129:C139,D129:D139),1)</f>
        <v>-8.4815540738658823E-2</v>
      </c>
      <c r="G130" s="140" t="s">
        <v>88</v>
      </c>
      <c r="H130" s="127"/>
      <c r="I130" s="128">
        <f t="shared" si="22"/>
        <v>15139.252746399825</v>
      </c>
    </row>
    <row r="131" spans="1:9" ht="15" customHeight="1">
      <c r="A131" s="65" t="e">
        <f t="shared" si="23"/>
        <v>#REF!</v>
      </c>
      <c r="B131" s="104">
        <f t="shared" si="20"/>
        <v>15218</v>
      </c>
      <c r="C131" s="126">
        <f t="shared" si="21"/>
        <v>0.58308821289257418</v>
      </c>
      <c r="D131" s="67">
        <f t="shared" ref="D131:D157" si="24">D130+1</f>
        <v>2</v>
      </c>
      <c r="E131" s="106" t="s">
        <v>76</v>
      </c>
      <c r="F131" s="139">
        <f>INDEX(LINEST(C129:C139,D129:D139),2)</f>
        <v>0.67597596121289816</v>
      </c>
      <c r="G131" s="69"/>
      <c r="H131" s="127"/>
      <c r="I131" s="128">
        <f t="shared" si="22"/>
        <v>15975.388435092687</v>
      </c>
    </row>
    <row r="132" spans="1:9" ht="15" customHeight="1">
      <c r="A132" s="65" t="e">
        <f t="shared" si="23"/>
        <v>#REF!</v>
      </c>
      <c r="B132" s="104">
        <f t="shared" si="20"/>
        <v>16870</v>
      </c>
      <c r="C132" s="126">
        <f t="shared" si="21"/>
        <v>0.41752409509867877</v>
      </c>
      <c r="D132" s="67">
        <f t="shared" si="24"/>
        <v>3</v>
      </c>
      <c r="E132" s="106" t="s">
        <v>77</v>
      </c>
      <c r="F132" s="73">
        <f>I128</f>
        <v>0.81218390377300653</v>
      </c>
      <c r="G132" s="69"/>
      <c r="H132" s="127"/>
      <c r="I132" s="128">
        <f t="shared" si="22"/>
        <v>16829.280440474398</v>
      </c>
    </row>
    <row r="133" spans="1:9" ht="15" customHeight="1">
      <c r="A133" s="65" t="e">
        <f t="shared" si="23"/>
        <v>#REF!</v>
      </c>
      <c r="B133" s="104">
        <f t="shared" si="20"/>
        <v>19029</v>
      </c>
      <c r="C133" s="126">
        <f t="shared" si="21"/>
        <v>0.20903428715957026</v>
      </c>
      <c r="D133" s="67">
        <f t="shared" si="24"/>
        <v>4</v>
      </c>
      <c r="E133" s="106" t="s">
        <v>39</v>
      </c>
      <c r="F133" s="110">
        <f>MAX(B129:B139)*2</f>
        <v>42482</v>
      </c>
      <c r="G133" s="69"/>
      <c r="H133" s="127"/>
      <c r="I133" s="128">
        <f t="shared" si="22"/>
        <v>17698.339142225534</v>
      </c>
    </row>
    <row r="134" spans="1:9" ht="15" customHeight="1">
      <c r="A134" s="65" t="e">
        <f t="shared" si="23"/>
        <v>#REF!</v>
      </c>
      <c r="B134" s="104">
        <f t="shared" si="20"/>
        <v>20963</v>
      </c>
      <c r="C134" s="126">
        <f t="shared" si="21"/>
        <v>2.6177286830661457E-2</v>
      </c>
      <c r="D134" s="67">
        <f t="shared" si="24"/>
        <v>5</v>
      </c>
      <c r="E134" s="106"/>
      <c r="F134" s="53"/>
      <c r="G134" s="69"/>
      <c r="H134" s="127"/>
      <c r="I134" s="128">
        <f t="shared" si="22"/>
        <v>18579.771548180088</v>
      </c>
    </row>
    <row r="135" spans="1:9" ht="15" customHeight="1">
      <c r="A135" s="65" t="e">
        <f t="shared" si="23"/>
        <v>#REF!</v>
      </c>
      <c r="B135" s="104">
        <f t="shared" si="20"/>
        <v>21131</v>
      </c>
      <c r="C135" s="126">
        <f t="shared" si="21"/>
        <v>1.0357420400453442E-2</v>
      </c>
      <c r="D135" s="67">
        <f t="shared" si="24"/>
        <v>6</v>
      </c>
      <c r="E135" s="106"/>
      <c r="F135" s="53"/>
      <c r="G135" s="69"/>
      <c r="H135" s="127"/>
      <c r="I135" s="128">
        <f t="shared" si="22"/>
        <v>19470.614691338178</v>
      </c>
    </row>
    <row r="136" spans="1:9" ht="15" customHeight="1">
      <c r="A136" s="65" t="e">
        <f t="shared" si="23"/>
        <v>#REF!</v>
      </c>
      <c r="B136" s="104">
        <f t="shared" si="20"/>
        <v>21241</v>
      </c>
      <c r="C136" s="126">
        <f t="shared" si="21"/>
        <v>0</v>
      </c>
      <c r="D136" s="67">
        <f t="shared" si="24"/>
        <v>7</v>
      </c>
      <c r="E136" s="132" t="s">
        <v>89</v>
      </c>
      <c r="F136" s="53"/>
      <c r="G136" s="69"/>
      <c r="H136" s="127"/>
      <c r="I136" s="128">
        <f t="shared" si="22"/>
        <v>20367.773892692629</v>
      </c>
    </row>
    <row r="137" spans="1:9" ht="15" customHeight="1">
      <c r="A137" s="65" t="e">
        <f t="shared" si="23"/>
        <v>#REF!</v>
      </c>
      <c r="B137" s="104">
        <f t="shared" si="20"/>
        <v>21184</v>
      </c>
      <c r="C137" s="126">
        <f t="shared" si="21"/>
        <v>5.3669918385944688E-3</v>
      </c>
      <c r="D137" s="67">
        <f t="shared" si="24"/>
        <v>8</v>
      </c>
      <c r="E137" s="132" t="s">
        <v>90</v>
      </c>
      <c r="F137" s="53"/>
      <c r="G137" s="69"/>
      <c r="H137" s="127"/>
      <c r="I137" s="128">
        <f t="shared" si="22"/>
        <v>21268.064892610841</v>
      </c>
    </row>
    <row r="138" spans="1:9" ht="15" customHeight="1">
      <c r="A138" s="65" t="e">
        <f t="shared" si="23"/>
        <v>#REF!</v>
      </c>
      <c r="B138" s="104">
        <f t="shared" si="20"/>
        <v>20836</v>
      </c>
      <c r="C138" s="126">
        <f t="shared" si="21"/>
        <v>3.8138419990009602E-2</v>
      </c>
      <c r="D138" s="67">
        <f t="shared" si="24"/>
        <v>9</v>
      </c>
      <c r="E138" s="132"/>
      <c r="F138" s="53"/>
      <c r="G138" s="69"/>
      <c r="H138" s="127"/>
      <c r="I138" s="128">
        <f t="shared" si="22"/>
        <v>22168.258661249289</v>
      </c>
    </row>
    <row r="139" spans="1:9" ht="15" customHeight="1" thickBot="1">
      <c r="A139" s="97" t="e">
        <f t="shared" si="23"/>
        <v>#REF!</v>
      </c>
      <c r="B139" s="116">
        <f t="shared" si="20"/>
        <v>21215</v>
      </c>
      <c r="C139" s="141">
        <f t="shared" si="21"/>
        <v>2.4480968867019973E-3</v>
      </c>
      <c r="D139" s="99">
        <f t="shared" si="24"/>
        <v>10</v>
      </c>
      <c r="E139" s="182"/>
      <c r="F139" s="101"/>
      <c r="G139" s="100"/>
      <c r="H139" s="143"/>
      <c r="I139" s="144">
        <f t="shared" si="22"/>
        <v>23065.127562230522</v>
      </c>
    </row>
    <row r="140" spans="1:9" ht="15" customHeight="1" thickTop="1">
      <c r="A140" s="80">
        <v>2008</v>
      </c>
      <c r="B140" s="81">
        <f t="shared" ref="B140:B157" si="25">ROUND(F$133/(1+EXP(F$131+F$130*D140)),0)</f>
        <v>23955</v>
      </c>
      <c r="C140" s="257"/>
      <c r="D140" s="77">
        <f t="shared" si="24"/>
        <v>11</v>
      </c>
      <c r="E140" s="266"/>
      <c r="F140" s="256"/>
      <c r="G140" s="78"/>
      <c r="H140" s="258"/>
      <c r="I140" s="133">
        <f t="shared" si="22"/>
        <v>23955.491474056875</v>
      </c>
    </row>
    <row r="141" spans="1:9" ht="15" customHeight="1">
      <c r="A141" s="80">
        <v>2009</v>
      </c>
      <c r="B141" s="81">
        <f t="shared" si="25"/>
        <v>24836</v>
      </c>
      <c r="C141" s="134"/>
      <c r="D141" s="67">
        <f t="shared" si="24"/>
        <v>12</v>
      </c>
      <c r="E141" s="83"/>
      <c r="F141" s="69"/>
      <c r="G141" s="69"/>
      <c r="H141" s="84"/>
      <c r="I141" s="128">
        <f t="shared" si="22"/>
        <v>24836.262475922864</v>
      </c>
    </row>
    <row r="142" spans="1:9" ht="15" customHeight="1">
      <c r="A142" s="80">
        <v>2010</v>
      </c>
      <c r="B142" s="81">
        <f t="shared" si="25"/>
        <v>25704</v>
      </c>
      <c r="C142" s="134"/>
      <c r="D142" s="67">
        <f t="shared" si="24"/>
        <v>13</v>
      </c>
      <c r="E142" s="83"/>
      <c r="F142" s="69"/>
      <c r="G142" s="69"/>
      <c r="H142" s="84"/>
      <c r="I142" s="128">
        <f t="shared" si="22"/>
        <v>25704.486778547773</v>
      </c>
    </row>
    <row r="143" spans="1:9" ht="15" customHeight="1">
      <c r="A143" s="80">
        <v>2011</v>
      </c>
      <c r="B143" s="81">
        <f t="shared" si="25"/>
        <v>26557</v>
      </c>
      <c r="C143" s="134"/>
      <c r="D143" s="67">
        <f t="shared" si="24"/>
        <v>14</v>
      </c>
      <c r="E143" s="83"/>
      <c r="F143" s="69"/>
      <c r="G143" s="69"/>
      <c r="H143" s="84"/>
      <c r="I143" s="128">
        <f t="shared" si="22"/>
        <v>26557.382720604703</v>
      </c>
    </row>
    <row r="144" spans="1:9" ht="15" customHeight="1">
      <c r="A144" s="80">
        <v>2012</v>
      </c>
      <c r="B144" s="81">
        <f t="shared" si="25"/>
        <v>27392</v>
      </c>
      <c r="C144" s="134"/>
      <c r="D144" s="67">
        <f t="shared" si="24"/>
        <v>15</v>
      </c>
      <c r="E144" s="83"/>
      <c r="F144" s="69"/>
      <c r="G144" s="69"/>
      <c r="H144" s="84"/>
      <c r="I144" s="128">
        <f t="shared" si="22"/>
        <v>27392.37384652629</v>
      </c>
    </row>
    <row r="145" spans="1:10" ht="15" customHeight="1">
      <c r="A145" s="80">
        <v>2013</v>
      </c>
      <c r="B145" s="81">
        <f t="shared" si="25"/>
        <v>28207</v>
      </c>
      <c r="C145" s="134"/>
      <c r="D145" s="67">
        <f t="shared" si="24"/>
        <v>16</v>
      </c>
      <c r="E145" s="83"/>
      <c r="F145" s="69"/>
      <c r="G145" s="69"/>
      <c r="H145" s="84"/>
      <c r="I145" s="128">
        <f t="shared" si="22"/>
        <v>28207.116317359087</v>
      </c>
    </row>
    <row r="146" spans="1:10" ht="15" customHeight="1">
      <c r="A146" s="80">
        <v>2014</v>
      </c>
      <c r="B146" s="81">
        <f t="shared" si="25"/>
        <v>29000</v>
      </c>
      <c r="C146" s="134"/>
      <c r="D146" s="67">
        <f t="shared" si="24"/>
        <v>17</v>
      </c>
      <c r="E146" s="83"/>
      <c r="F146" s="69"/>
      <c r="G146" s="69"/>
      <c r="H146" s="84"/>
      <c r="I146" s="128">
        <f t="shared" si="22"/>
        <v>28999.520166056798</v>
      </c>
    </row>
    <row r="147" spans="1:10" ht="15" customHeight="1">
      <c r="A147" s="80">
        <v>2015</v>
      </c>
      <c r="B147" s="81">
        <f t="shared" si="25"/>
        <v>29768</v>
      </c>
      <c r="C147" s="134"/>
      <c r="D147" s="67">
        <f t="shared" si="24"/>
        <v>18</v>
      </c>
      <c r="E147" s="83"/>
      <c r="F147" s="69"/>
      <c r="G147" s="69"/>
      <c r="H147" s="84"/>
      <c r="I147" s="128">
        <f t="shared" si="22"/>
        <v>29767.76417464629</v>
      </c>
    </row>
    <row r="148" spans="1:10" ht="15" customHeight="1">
      <c r="A148" s="80">
        <v>2016</v>
      </c>
      <c r="B148" s="81">
        <f t="shared" si="25"/>
        <v>30510</v>
      </c>
      <c r="C148" s="134"/>
      <c r="D148" s="67">
        <f t="shared" si="24"/>
        <v>19</v>
      </c>
      <c r="E148" s="83"/>
      <c r="F148" s="69"/>
      <c r="G148" s="69"/>
      <c r="H148" s="84"/>
      <c r="I148" s="128">
        <f t="shared" si="22"/>
        <v>30510.304406528714</v>
      </c>
    </row>
    <row r="149" spans="1:10" ht="15" customHeight="1">
      <c r="A149" s="80">
        <v>2017</v>
      </c>
      <c r="B149" s="81">
        <f t="shared" si="25"/>
        <v>31226</v>
      </c>
      <c r="C149" s="134"/>
      <c r="D149" s="67">
        <f t="shared" si="24"/>
        <v>20</v>
      </c>
      <c r="E149" s="83"/>
      <c r="F149" s="69"/>
      <c r="G149" s="69"/>
      <c r="H149" s="84"/>
      <c r="I149" s="128">
        <f t="shared" si="22"/>
        <v>31225.876658558558</v>
      </c>
    </row>
    <row r="150" spans="1:10" ht="15" customHeight="1">
      <c r="A150" s="80">
        <v>2018</v>
      </c>
      <c r="B150" s="81">
        <f t="shared" si="25"/>
        <v>31913</v>
      </c>
      <c r="C150" s="134"/>
      <c r="D150" s="67">
        <f t="shared" si="24"/>
        <v>21</v>
      </c>
      <c r="E150" s="83"/>
      <c r="F150" s="69"/>
      <c r="G150" s="69"/>
      <c r="H150" s="84"/>
      <c r="I150" s="128">
        <f t="shared" si="22"/>
        <v>31913.493293515654</v>
      </c>
    </row>
    <row r="151" spans="1:10" ht="15" customHeight="1">
      <c r="A151" s="80">
        <v>2019</v>
      </c>
      <c r="B151" s="81">
        <f t="shared" si="25"/>
        <v>32572</v>
      </c>
      <c r="C151" s="134"/>
      <c r="D151" s="67">
        <f t="shared" si="24"/>
        <v>22</v>
      </c>
      <c r="E151" s="83"/>
      <c r="F151" s="69"/>
      <c r="G151" s="69"/>
      <c r="H151" s="84"/>
      <c r="I151" s="128">
        <f t="shared" si="22"/>
        <v>32572.435066984137</v>
      </c>
    </row>
    <row r="152" spans="1:10" ht="15" customHeight="1">
      <c r="A152" s="80">
        <v>2020</v>
      </c>
      <c r="B152" s="81">
        <f t="shared" si="25"/>
        <v>33202</v>
      </c>
      <c r="C152" s="134"/>
      <c r="D152" s="67">
        <f t="shared" si="24"/>
        <v>23</v>
      </c>
      <c r="E152" s="83"/>
      <c r="F152" s="69"/>
      <c r="G152" s="69"/>
      <c r="H152" s="84"/>
      <c r="I152" s="128">
        <f t="shared" si="22"/>
        <v>33202.238670182764</v>
      </c>
    </row>
    <row r="153" spans="1:10" ht="15" customHeight="1">
      <c r="A153" s="80">
        <v>2021</v>
      </c>
      <c r="B153" s="81">
        <f t="shared" si="25"/>
        <v>33803</v>
      </c>
      <c r="C153" s="134"/>
      <c r="D153" s="67">
        <f t="shared" si="24"/>
        <v>24</v>
      </c>
      <c r="E153" s="83"/>
      <c r="F153" s="69"/>
      <c r="G153" s="69"/>
      <c r="H153" s="84"/>
      <c r="I153" s="128">
        <f t="shared" si="22"/>
        <v>33802.680772224587</v>
      </c>
    </row>
    <row r="154" spans="1:10" ht="15" customHeight="1">
      <c r="A154" s="80">
        <v>2022</v>
      </c>
      <c r="B154" s="81">
        <f t="shared" si="25"/>
        <v>34374</v>
      </c>
      <c r="C154" s="134"/>
      <c r="D154" s="67">
        <f t="shared" si="24"/>
        <v>25</v>
      </c>
      <c r="E154" s="83"/>
      <c r="F154" s="69"/>
      <c r="G154" s="69"/>
      <c r="H154" s="84"/>
      <c r="I154" s="128">
        <f t="shared" si="22"/>
        <v>34373.759364867954</v>
      </c>
    </row>
    <row r="155" spans="1:10" ht="15" customHeight="1">
      <c r="A155" s="80">
        <v>2023</v>
      </c>
      <c r="B155" s="81">
        <f t="shared" si="25"/>
        <v>34916</v>
      </c>
      <c r="C155" s="134"/>
      <c r="D155" s="67">
        <f t="shared" si="24"/>
        <v>26</v>
      </c>
      <c r="E155" s="83"/>
      <c r="F155" s="69"/>
      <c r="G155" s="69"/>
      <c r="H155" s="84"/>
      <c r="I155" s="128">
        <f t="shared" si="22"/>
        <v>34915.673195521042</v>
      </c>
    </row>
    <row r="156" spans="1:10" ht="15" customHeight="1">
      <c r="A156" s="80">
        <v>2024</v>
      </c>
      <c r="B156" s="81">
        <f t="shared" si="25"/>
        <v>35429</v>
      </c>
      <c r="C156" s="135"/>
      <c r="D156" s="67">
        <f t="shared" si="24"/>
        <v>27</v>
      </c>
      <c r="E156" s="69"/>
      <c r="F156" s="69"/>
      <c r="G156" s="69"/>
      <c r="H156" s="69"/>
      <c r="I156" s="136">
        <f t="shared" si="22"/>
        <v>35428.800026944817</v>
      </c>
    </row>
    <row r="157" spans="1:10" ht="15" customHeight="1">
      <c r="A157" s="85">
        <v>2025</v>
      </c>
      <c r="B157" s="86">
        <f t="shared" si="25"/>
        <v>35914</v>
      </c>
      <c r="C157" s="137"/>
      <c r="D157" s="87">
        <f t="shared" si="24"/>
        <v>28</v>
      </c>
      <c r="E157" s="89"/>
      <c r="F157" s="89"/>
      <c r="G157" s="89"/>
      <c r="H157" s="89"/>
      <c r="I157" s="138">
        <f t="shared" si="22"/>
        <v>35913.674392255605</v>
      </c>
    </row>
    <row r="158" spans="1:10" ht="15" customHeight="1">
      <c r="A158" s="56" t="s">
        <v>251</v>
      </c>
      <c r="B158" s="57"/>
    </row>
    <row r="159" spans="1:10" ht="15" customHeight="1">
      <c r="A159" s="56"/>
      <c r="B159" s="57"/>
    </row>
    <row r="160" spans="1:10" ht="24">
      <c r="A160" s="145" t="s">
        <v>32</v>
      </c>
      <c r="B160" s="146" t="s">
        <v>91</v>
      </c>
      <c r="C160" s="147" t="s">
        <v>72</v>
      </c>
      <c r="D160" s="147" t="s">
        <v>92</v>
      </c>
      <c r="E160" s="147" t="s">
        <v>93</v>
      </c>
      <c r="F160" s="147" t="s">
        <v>94</v>
      </c>
      <c r="G160" s="147" t="s">
        <v>95</v>
      </c>
      <c r="H160" s="148" t="s">
        <v>96</v>
      </c>
      <c r="I160" s="149" t="s">
        <v>252</v>
      </c>
      <c r="J160" s="150" t="s">
        <v>253</v>
      </c>
    </row>
    <row r="161" spans="1:12" ht="20.100000000000001" customHeight="1">
      <c r="A161" s="65">
        <v>2008</v>
      </c>
      <c r="B161" s="151">
        <f t="shared" ref="B161:B178" si="26">B16</f>
        <v>22031</v>
      </c>
      <c r="C161" s="152">
        <f t="shared" ref="C161:C178" si="27">B47</f>
        <v>23844</v>
      </c>
      <c r="D161" s="152">
        <f t="shared" ref="D161:D178" si="28">B78</f>
        <v>22269</v>
      </c>
      <c r="E161" s="268">
        <f>+B109</f>
        <v>24346</v>
      </c>
      <c r="F161" s="152">
        <f t="shared" ref="F161:F178" si="29">B140</f>
        <v>23955</v>
      </c>
      <c r="G161" s="152">
        <f t="shared" ref="G161:G178" si="30">ROUND(AVERAGE(B161:F161),1)</f>
        <v>23289</v>
      </c>
      <c r="H161" s="152">
        <f t="shared" ref="H161:H178" si="31">ROUND((SUM(B161:F161)-MAX(B161:F161)-MIN(B161:F161))/(COUNT(B161:F161)-2),1)</f>
        <v>23356</v>
      </c>
      <c r="I161" s="153">
        <f t="shared" ref="I161:I178" si="32">ROUND(SUMIF(B$179:H$179,"○",B161:H161),0)</f>
        <v>23289</v>
      </c>
      <c r="J161" s="261"/>
    </row>
    <row r="162" spans="1:12" ht="20.100000000000001" customHeight="1">
      <c r="A162" s="80">
        <v>2009</v>
      </c>
      <c r="B162" s="151">
        <f t="shared" si="26"/>
        <v>22847</v>
      </c>
      <c r="C162" s="152">
        <f t="shared" si="27"/>
        <v>24710</v>
      </c>
      <c r="D162" s="152">
        <f t="shared" si="28"/>
        <v>23377</v>
      </c>
      <c r="E162" s="268">
        <f t="shared" ref="E162:E178" si="33">+B110</f>
        <v>25211</v>
      </c>
      <c r="F162" s="152">
        <f t="shared" si="29"/>
        <v>24836</v>
      </c>
      <c r="G162" s="152">
        <f t="shared" si="30"/>
        <v>24196.2</v>
      </c>
      <c r="H162" s="152">
        <f t="shared" si="31"/>
        <v>24307.7</v>
      </c>
      <c r="I162" s="153">
        <f t="shared" si="32"/>
        <v>24196</v>
      </c>
      <c r="J162" s="154"/>
    </row>
    <row r="163" spans="1:12" ht="20.100000000000001" customHeight="1">
      <c r="A163" s="80">
        <v>2010</v>
      </c>
      <c r="B163" s="151">
        <f t="shared" si="26"/>
        <v>23663</v>
      </c>
      <c r="C163" s="152">
        <f t="shared" si="27"/>
        <v>25575</v>
      </c>
      <c r="D163" s="152">
        <f t="shared" si="28"/>
        <v>24540</v>
      </c>
      <c r="E163" s="268">
        <f t="shared" si="33"/>
        <v>26065</v>
      </c>
      <c r="F163" s="152">
        <f t="shared" si="29"/>
        <v>25704</v>
      </c>
      <c r="G163" s="152">
        <f t="shared" si="30"/>
        <v>25109.4</v>
      </c>
      <c r="H163" s="152">
        <f t="shared" si="31"/>
        <v>25273</v>
      </c>
      <c r="I163" s="153">
        <f t="shared" si="32"/>
        <v>25109</v>
      </c>
      <c r="J163" s="154"/>
    </row>
    <row r="164" spans="1:12" ht="20.100000000000001" customHeight="1">
      <c r="A164" s="80">
        <v>2011</v>
      </c>
      <c r="B164" s="151">
        <f t="shared" si="26"/>
        <v>24479</v>
      </c>
      <c r="C164" s="152">
        <f t="shared" si="27"/>
        <v>26441</v>
      </c>
      <c r="D164" s="152">
        <f t="shared" si="28"/>
        <v>25761</v>
      </c>
      <c r="E164" s="268">
        <f t="shared" si="33"/>
        <v>26910</v>
      </c>
      <c r="F164" s="152">
        <f t="shared" si="29"/>
        <v>26557</v>
      </c>
      <c r="G164" s="152">
        <f t="shared" si="30"/>
        <v>26029.599999999999</v>
      </c>
      <c r="H164" s="152">
        <f t="shared" si="31"/>
        <v>26253</v>
      </c>
      <c r="I164" s="153">
        <f t="shared" si="32"/>
        <v>26030</v>
      </c>
      <c r="J164" s="154"/>
    </row>
    <row r="165" spans="1:12" ht="20.100000000000001" customHeight="1">
      <c r="A165" s="80">
        <v>2012</v>
      </c>
      <c r="B165" s="151">
        <f t="shared" si="26"/>
        <v>25295</v>
      </c>
      <c r="C165" s="152">
        <f t="shared" si="27"/>
        <v>27307</v>
      </c>
      <c r="D165" s="152">
        <f t="shared" si="28"/>
        <v>27042</v>
      </c>
      <c r="E165" s="268">
        <f t="shared" si="33"/>
        <v>27745</v>
      </c>
      <c r="F165" s="152">
        <f t="shared" si="29"/>
        <v>27392</v>
      </c>
      <c r="G165" s="152">
        <f t="shared" si="30"/>
        <v>26956.2</v>
      </c>
      <c r="H165" s="152">
        <f t="shared" si="31"/>
        <v>27247</v>
      </c>
      <c r="I165" s="153">
        <f t="shared" si="32"/>
        <v>26956</v>
      </c>
      <c r="J165" s="154"/>
    </row>
    <row r="166" spans="1:12" ht="20.100000000000001" customHeight="1">
      <c r="A166" s="80">
        <v>2013</v>
      </c>
      <c r="B166" s="151">
        <f t="shared" si="26"/>
        <v>26110</v>
      </c>
      <c r="C166" s="152">
        <f t="shared" si="27"/>
        <v>28172</v>
      </c>
      <c r="D166" s="152">
        <f t="shared" si="28"/>
        <v>28387</v>
      </c>
      <c r="E166" s="268">
        <f t="shared" si="33"/>
        <v>28571</v>
      </c>
      <c r="F166" s="152">
        <f t="shared" si="29"/>
        <v>28207</v>
      </c>
      <c r="G166" s="152">
        <f t="shared" si="30"/>
        <v>27889.4</v>
      </c>
      <c r="H166" s="152">
        <f t="shared" si="31"/>
        <v>28255.3</v>
      </c>
      <c r="I166" s="153">
        <f t="shared" si="32"/>
        <v>27889</v>
      </c>
      <c r="J166" s="154"/>
    </row>
    <row r="167" spans="1:12" ht="20.100000000000001" customHeight="1">
      <c r="A167" s="80">
        <v>2014</v>
      </c>
      <c r="B167" s="151">
        <f t="shared" si="26"/>
        <v>26926</v>
      </c>
      <c r="C167" s="152">
        <f t="shared" si="27"/>
        <v>29038</v>
      </c>
      <c r="D167" s="152">
        <f t="shared" si="28"/>
        <v>29799</v>
      </c>
      <c r="E167" s="268">
        <f t="shared" si="33"/>
        <v>29390</v>
      </c>
      <c r="F167" s="152">
        <f t="shared" si="29"/>
        <v>29000</v>
      </c>
      <c r="G167" s="152">
        <f t="shared" si="30"/>
        <v>28830.6</v>
      </c>
      <c r="H167" s="152">
        <f t="shared" si="31"/>
        <v>29142.7</v>
      </c>
      <c r="I167" s="153">
        <f t="shared" si="32"/>
        <v>28831</v>
      </c>
      <c r="J167" s="154"/>
    </row>
    <row r="168" spans="1:12" ht="20.100000000000001" customHeight="1">
      <c r="A168" s="80">
        <v>2015</v>
      </c>
      <c r="B168" s="151">
        <f t="shared" si="26"/>
        <v>27742</v>
      </c>
      <c r="C168" s="152">
        <f t="shared" si="27"/>
        <v>29903</v>
      </c>
      <c r="D168" s="152">
        <f t="shared" si="28"/>
        <v>31281</v>
      </c>
      <c r="E168" s="268">
        <f t="shared" si="33"/>
        <v>30202</v>
      </c>
      <c r="F168" s="152">
        <f t="shared" si="29"/>
        <v>29768</v>
      </c>
      <c r="G168" s="152">
        <f t="shared" si="30"/>
        <v>29779.200000000001</v>
      </c>
      <c r="H168" s="152">
        <f t="shared" si="31"/>
        <v>29957.7</v>
      </c>
      <c r="I168" s="153">
        <f t="shared" si="32"/>
        <v>29779</v>
      </c>
      <c r="J168" s="154"/>
    </row>
    <row r="169" spans="1:12" ht="20.100000000000001" customHeight="1">
      <c r="A169" s="80">
        <v>2016</v>
      </c>
      <c r="B169" s="151">
        <f t="shared" si="26"/>
        <v>28558</v>
      </c>
      <c r="C169" s="152">
        <f t="shared" si="27"/>
        <v>30769</v>
      </c>
      <c r="D169" s="152">
        <f t="shared" si="28"/>
        <v>32837</v>
      </c>
      <c r="E169" s="268">
        <f t="shared" si="33"/>
        <v>31007</v>
      </c>
      <c r="F169" s="152">
        <f t="shared" si="29"/>
        <v>30510</v>
      </c>
      <c r="G169" s="152">
        <f t="shared" si="30"/>
        <v>30736.2</v>
      </c>
      <c r="H169" s="152">
        <f t="shared" si="31"/>
        <v>30762</v>
      </c>
      <c r="I169" s="153">
        <f t="shared" si="32"/>
        <v>30736</v>
      </c>
      <c r="J169" s="154"/>
    </row>
    <row r="170" spans="1:12" ht="20.100000000000001" customHeight="1">
      <c r="A170" s="80">
        <v>2017</v>
      </c>
      <c r="B170" s="151">
        <f t="shared" si="26"/>
        <v>29374</v>
      </c>
      <c r="C170" s="152">
        <f t="shared" si="27"/>
        <v>31635</v>
      </c>
      <c r="D170" s="152">
        <f t="shared" si="28"/>
        <v>34470</v>
      </c>
      <c r="E170" s="268">
        <f t="shared" si="33"/>
        <v>31805</v>
      </c>
      <c r="F170" s="152">
        <f t="shared" si="29"/>
        <v>31226</v>
      </c>
      <c r="G170" s="152">
        <f t="shared" si="30"/>
        <v>31702</v>
      </c>
      <c r="H170" s="152">
        <f t="shared" si="31"/>
        <v>31555.3</v>
      </c>
      <c r="I170" s="153">
        <f t="shared" si="32"/>
        <v>31702</v>
      </c>
      <c r="J170" s="154"/>
    </row>
    <row r="171" spans="1:12" ht="20.100000000000001" customHeight="1">
      <c r="A171" s="80">
        <v>2018</v>
      </c>
      <c r="B171" s="151">
        <f t="shared" si="26"/>
        <v>30190</v>
      </c>
      <c r="C171" s="152">
        <f t="shared" si="27"/>
        <v>32500</v>
      </c>
      <c r="D171" s="152">
        <f t="shared" si="28"/>
        <v>36185</v>
      </c>
      <c r="E171" s="268">
        <f t="shared" si="33"/>
        <v>32598</v>
      </c>
      <c r="F171" s="152">
        <f t="shared" si="29"/>
        <v>31913</v>
      </c>
      <c r="G171" s="152">
        <f t="shared" si="30"/>
        <v>32677.200000000001</v>
      </c>
      <c r="H171" s="152">
        <f t="shared" si="31"/>
        <v>32337</v>
      </c>
      <c r="I171" s="153">
        <f t="shared" si="32"/>
        <v>32677</v>
      </c>
      <c r="J171" s="154"/>
    </row>
    <row r="172" spans="1:12" ht="20.100000000000001" customHeight="1">
      <c r="A172" s="80">
        <v>2019</v>
      </c>
      <c r="B172" s="151">
        <f t="shared" si="26"/>
        <v>31006</v>
      </c>
      <c r="C172" s="152">
        <f t="shared" si="27"/>
        <v>33366</v>
      </c>
      <c r="D172" s="152">
        <f t="shared" si="28"/>
        <v>37985</v>
      </c>
      <c r="E172" s="268">
        <f t="shared" si="33"/>
        <v>33384</v>
      </c>
      <c r="F172" s="152">
        <f t="shared" si="29"/>
        <v>32572</v>
      </c>
      <c r="G172" s="152">
        <f t="shared" si="30"/>
        <v>33662.6</v>
      </c>
      <c r="H172" s="152">
        <f t="shared" si="31"/>
        <v>33107.300000000003</v>
      </c>
      <c r="I172" s="153">
        <f t="shared" si="32"/>
        <v>33663</v>
      </c>
      <c r="J172" s="154"/>
    </row>
    <row r="173" spans="1:12" ht="20.100000000000001" customHeight="1">
      <c r="A173" s="80">
        <v>2020</v>
      </c>
      <c r="B173" s="151">
        <f t="shared" si="26"/>
        <v>31822</v>
      </c>
      <c r="C173" s="152">
        <f t="shared" si="27"/>
        <v>34231</v>
      </c>
      <c r="D173" s="152">
        <f t="shared" si="28"/>
        <v>39874</v>
      </c>
      <c r="E173" s="268">
        <f t="shared" si="33"/>
        <v>34166</v>
      </c>
      <c r="F173" s="152">
        <f t="shared" si="29"/>
        <v>33202</v>
      </c>
      <c r="G173" s="152">
        <f t="shared" si="30"/>
        <v>34659</v>
      </c>
      <c r="H173" s="152">
        <f t="shared" si="31"/>
        <v>33866.300000000003</v>
      </c>
      <c r="I173" s="153">
        <f t="shared" si="32"/>
        <v>34659</v>
      </c>
      <c r="J173" s="154"/>
    </row>
    <row r="174" spans="1:12" ht="20.100000000000001" customHeight="1">
      <c r="A174" s="80">
        <v>2021</v>
      </c>
      <c r="B174" s="151">
        <f t="shared" si="26"/>
        <v>32638</v>
      </c>
      <c r="C174" s="152">
        <f t="shared" si="27"/>
        <v>35097</v>
      </c>
      <c r="D174" s="152">
        <f t="shared" si="28"/>
        <v>41857</v>
      </c>
      <c r="E174" s="268">
        <f t="shared" si="33"/>
        <v>34942</v>
      </c>
      <c r="F174" s="152">
        <f t="shared" si="29"/>
        <v>33803</v>
      </c>
      <c r="G174" s="152">
        <f t="shared" si="30"/>
        <v>35667.4</v>
      </c>
      <c r="H174" s="152">
        <f t="shared" si="31"/>
        <v>34614</v>
      </c>
      <c r="I174" s="153">
        <f t="shared" si="32"/>
        <v>35667</v>
      </c>
      <c r="J174" s="154"/>
    </row>
    <row r="175" spans="1:12" ht="20.100000000000001" customHeight="1">
      <c r="A175" s="80">
        <v>2022</v>
      </c>
      <c r="B175" s="151">
        <f t="shared" si="26"/>
        <v>33454</v>
      </c>
      <c r="C175" s="152">
        <f t="shared" si="27"/>
        <v>35962</v>
      </c>
      <c r="D175" s="152">
        <f t="shared" si="28"/>
        <v>43939</v>
      </c>
      <c r="E175" s="268">
        <f t="shared" si="33"/>
        <v>35713</v>
      </c>
      <c r="F175" s="152">
        <f t="shared" si="29"/>
        <v>34374</v>
      </c>
      <c r="G175" s="152">
        <f t="shared" si="30"/>
        <v>36688.400000000001</v>
      </c>
      <c r="H175" s="152">
        <f t="shared" si="31"/>
        <v>35349.699999999997</v>
      </c>
      <c r="I175" s="153">
        <f t="shared" si="32"/>
        <v>36688</v>
      </c>
      <c r="J175" s="154"/>
    </row>
    <row r="176" spans="1:12" ht="20.100000000000001" customHeight="1">
      <c r="A176" s="80">
        <v>2023</v>
      </c>
      <c r="B176" s="151">
        <f t="shared" si="26"/>
        <v>34269</v>
      </c>
      <c r="C176" s="152">
        <f t="shared" si="27"/>
        <v>36828</v>
      </c>
      <c r="D176" s="152">
        <f t="shared" si="28"/>
        <v>46125</v>
      </c>
      <c r="E176" s="268">
        <f t="shared" si="33"/>
        <v>36480</v>
      </c>
      <c r="F176" s="152">
        <f t="shared" si="29"/>
        <v>34916</v>
      </c>
      <c r="G176" s="152">
        <f t="shared" si="30"/>
        <v>37723.599999999999</v>
      </c>
      <c r="H176" s="152">
        <f t="shared" si="31"/>
        <v>36074.699999999997</v>
      </c>
      <c r="I176" s="153">
        <f t="shared" si="32"/>
        <v>37724</v>
      </c>
      <c r="J176" s="154"/>
      <c r="L176" s="55">
        <v>806200</v>
      </c>
    </row>
    <row r="177" spans="1:41" ht="20.100000000000001" customHeight="1">
      <c r="A177" s="80">
        <v>2024</v>
      </c>
      <c r="B177" s="151">
        <f t="shared" si="26"/>
        <v>35085</v>
      </c>
      <c r="C177" s="152">
        <f t="shared" si="27"/>
        <v>37694</v>
      </c>
      <c r="D177" s="152">
        <f t="shared" si="28"/>
        <v>48419</v>
      </c>
      <c r="E177" s="268">
        <f t="shared" si="33"/>
        <v>37242</v>
      </c>
      <c r="F177" s="152">
        <f t="shared" si="29"/>
        <v>35429</v>
      </c>
      <c r="G177" s="152">
        <f t="shared" si="30"/>
        <v>38773.800000000003</v>
      </c>
      <c r="H177" s="152">
        <f t="shared" si="31"/>
        <v>36788.300000000003</v>
      </c>
      <c r="I177" s="153">
        <f t="shared" si="32"/>
        <v>38774</v>
      </c>
      <c r="J177" s="154"/>
      <c r="K177" s="55">
        <v>51000</v>
      </c>
      <c r="L177" s="75">
        <f>+K177+E177</f>
        <v>88242</v>
      </c>
      <c r="M177" s="75"/>
    </row>
    <row r="178" spans="1:41" ht="20.100000000000001" customHeight="1">
      <c r="A178" s="80">
        <v>2025</v>
      </c>
      <c r="B178" s="151">
        <f t="shared" si="26"/>
        <v>35901</v>
      </c>
      <c r="C178" s="152">
        <f t="shared" si="27"/>
        <v>38559</v>
      </c>
      <c r="D178" s="152">
        <f t="shared" si="28"/>
        <v>50828</v>
      </c>
      <c r="E178" s="268">
        <f t="shared" si="33"/>
        <v>38000</v>
      </c>
      <c r="F178" s="152">
        <f t="shared" si="29"/>
        <v>35914</v>
      </c>
      <c r="G178" s="152">
        <f t="shared" si="30"/>
        <v>39840.400000000001</v>
      </c>
      <c r="H178" s="152">
        <f t="shared" si="31"/>
        <v>37491</v>
      </c>
      <c r="I178" s="153">
        <f t="shared" si="32"/>
        <v>39840</v>
      </c>
      <c r="J178" s="154"/>
      <c r="L178" s="75">
        <f>+L176-L177</f>
        <v>717958</v>
      </c>
      <c r="M178" s="75"/>
    </row>
    <row r="179" spans="1:41" ht="20.100000000000001" customHeight="1">
      <c r="A179" s="155" t="s">
        <v>97</v>
      </c>
      <c r="B179" s="156"/>
      <c r="C179" s="157"/>
      <c r="D179" s="157"/>
      <c r="E179" s="157"/>
      <c r="F179" s="156"/>
      <c r="G179" s="269" t="s">
        <v>254</v>
      </c>
      <c r="H179" s="157"/>
      <c r="I179" s="159"/>
      <c r="J179" s="160"/>
      <c r="K179" s="161"/>
      <c r="L179" s="162">
        <f>B129</f>
        <v>13056</v>
      </c>
      <c r="M179" s="162">
        <f>+B130</f>
        <v>14417</v>
      </c>
      <c r="N179" s="162">
        <f>B131</f>
        <v>15218</v>
      </c>
      <c r="O179" s="161">
        <f>B132</f>
        <v>16870</v>
      </c>
      <c r="P179" s="162">
        <f>B133</f>
        <v>19029</v>
      </c>
      <c r="Q179" s="161">
        <f>B134</f>
        <v>20963</v>
      </c>
      <c r="R179" s="162">
        <f>B135</f>
        <v>21131</v>
      </c>
      <c r="S179" s="162">
        <f>B136</f>
        <v>21241</v>
      </c>
      <c r="T179" s="162">
        <f>B137</f>
        <v>21184</v>
      </c>
      <c r="U179" s="162">
        <f>B138</f>
        <v>20836</v>
      </c>
      <c r="V179" s="162">
        <f>B139</f>
        <v>21215</v>
      </c>
      <c r="W179" s="162">
        <f>B16</f>
        <v>22031</v>
      </c>
      <c r="X179" s="162"/>
      <c r="Y179" s="161"/>
      <c r="Z179" s="161"/>
      <c r="AA179" s="161"/>
      <c r="AB179" s="161"/>
      <c r="AC179" s="161"/>
      <c r="AD179" s="161"/>
      <c r="AE179" s="161"/>
      <c r="AF179" s="161"/>
      <c r="AG179" s="161"/>
      <c r="AH179" s="161"/>
      <c r="AI179" s="161"/>
      <c r="AJ179" s="161"/>
      <c r="AK179" s="161"/>
      <c r="AL179" s="161"/>
      <c r="AM179" s="161"/>
      <c r="AN179" s="161"/>
    </row>
    <row r="180" spans="1:41" ht="20.100000000000001" hidden="1" customHeight="1">
      <c r="A180" s="85"/>
      <c r="B180" s="163"/>
      <c r="C180" s="164"/>
      <c r="D180" s="164"/>
      <c r="E180" s="164"/>
      <c r="F180" s="164"/>
      <c r="G180" s="164"/>
      <c r="H180" s="164"/>
      <c r="I180" s="165"/>
      <c r="J180" s="166"/>
      <c r="K180" s="161"/>
      <c r="L180" s="161"/>
      <c r="M180" s="161"/>
      <c r="N180" s="161"/>
      <c r="O180" s="161"/>
      <c r="P180" s="161"/>
      <c r="Q180" s="161"/>
      <c r="R180" s="161"/>
      <c r="S180" s="161"/>
      <c r="T180" s="161"/>
      <c r="U180" s="161"/>
      <c r="V180" s="161"/>
      <c r="W180" s="161"/>
      <c r="X180" s="161"/>
      <c r="Y180" s="161"/>
      <c r="Z180" s="161"/>
      <c r="AA180" s="161"/>
      <c r="AB180" s="161"/>
      <c r="AC180" s="161"/>
      <c r="AD180" s="161"/>
      <c r="AE180" s="161"/>
      <c r="AF180" s="161"/>
      <c r="AG180" s="161"/>
      <c r="AH180" s="161"/>
      <c r="AI180" s="161"/>
      <c r="AJ180" s="161"/>
      <c r="AK180" s="161"/>
      <c r="AL180" s="161"/>
      <c r="AM180" s="161"/>
      <c r="AN180" s="161"/>
    </row>
    <row r="181" spans="1:41" s="161" customFormat="1" ht="20.100000000000001" customHeight="1">
      <c r="A181" s="167" t="s">
        <v>98</v>
      </c>
      <c r="B181" s="168">
        <f>I4</f>
        <v>0.8216779126149456</v>
      </c>
      <c r="C181" s="169">
        <f>I35</f>
        <v>0.82167791261494516</v>
      </c>
      <c r="D181" s="169">
        <f>I66</f>
        <v>0.77216249779244739</v>
      </c>
      <c r="E181" s="169"/>
      <c r="F181" s="169">
        <f>I128</f>
        <v>0.81218390377300653</v>
      </c>
      <c r="G181" s="170"/>
      <c r="H181" s="171"/>
      <c r="I181" s="172"/>
      <c r="J181" s="173"/>
      <c r="K181" s="174">
        <f>MAX(B181:I181,F181)</f>
        <v>0.8216779126149456</v>
      </c>
      <c r="L181" s="161">
        <v>1997</v>
      </c>
      <c r="M181" s="161">
        <v>1998</v>
      </c>
      <c r="N181" s="161">
        <f>+M181+1</f>
        <v>1999</v>
      </c>
      <c r="O181" s="161">
        <f t="shared" ref="O181:AO181" si="34">+N181+1</f>
        <v>2000</v>
      </c>
      <c r="P181" s="161">
        <f t="shared" si="34"/>
        <v>2001</v>
      </c>
      <c r="Q181" s="161">
        <f t="shared" si="34"/>
        <v>2002</v>
      </c>
      <c r="R181" s="161">
        <f t="shared" si="34"/>
        <v>2003</v>
      </c>
      <c r="S181" s="161">
        <f t="shared" si="34"/>
        <v>2004</v>
      </c>
      <c r="T181" s="161">
        <f t="shared" si="34"/>
        <v>2005</v>
      </c>
      <c r="U181" s="161">
        <f t="shared" si="34"/>
        <v>2006</v>
      </c>
      <c r="V181" s="161">
        <f t="shared" si="34"/>
        <v>2007</v>
      </c>
      <c r="W181" s="161">
        <f t="shared" si="34"/>
        <v>2008</v>
      </c>
      <c r="X181" s="161">
        <f t="shared" si="34"/>
        <v>2009</v>
      </c>
      <c r="Y181" s="161">
        <f t="shared" si="34"/>
        <v>2010</v>
      </c>
      <c r="Z181" s="161">
        <f t="shared" si="34"/>
        <v>2011</v>
      </c>
      <c r="AA181" s="161">
        <f t="shared" si="34"/>
        <v>2012</v>
      </c>
      <c r="AB181" s="161">
        <f t="shared" si="34"/>
        <v>2013</v>
      </c>
      <c r="AC181" s="161">
        <f t="shared" si="34"/>
        <v>2014</v>
      </c>
      <c r="AD181" s="161">
        <f t="shared" si="34"/>
        <v>2015</v>
      </c>
      <c r="AE181" s="161">
        <f t="shared" si="34"/>
        <v>2016</v>
      </c>
      <c r="AF181" s="161">
        <f t="shared" si="34"/>
        <v>2017</v>
      </c>
      <c r="AG181" s="161">
        <f t="shared" si="34"/>
        <v>2018</v>
      </c>
      <c r="AH181" s="161">
        <f t="shared" si="34"/>
        <v>2019</v>
      </c>
      <c r="AI181" s="161">
        <f t="shared" si="34"/>
        <v>2020</v>
      </c>
      <c r="AJ181" s="161">
        <f t="shared" si="34"/>
        <v>2021</v>
      </c>
      <c r="AK181" s="161">
        <f t="shared" si="34"/>
        <v>2022</v>
      </c>
      <c r="AL181" s="161">
        <f t="shared" si="34"/>
        <v>2023</v>
      </c>
      <c r="AM181" s="161">
        <f t="shared" si="34"/>
        <v>2024</v>
      </c>
      <c r="AN181" s="161">
        <f t="shared" si="34"/>
        <v>2025</v>
      </c>
      <c r="AO181" s="161">
        <f t="shared" si="34"/>
        <v>2026</v>
      </c>
    </row>
    <row r="182" spans="1:41" ht="20.100000000000001" customHeight="1">
      <c r="K182" s="161" t="s">
        <v>99</v>
      </c>
      <c r="L182" s="161"/>
      <c r="M182" s="161"/>
      <c r="N182" s="161"/>
      <c r="O182" s="161"/>
      <c r="P182" s="161"/>
      <c r="Q182" s="161"/>
      <c r="R182" s="161"/>
      <c r="S182" s="161"/>
      <c r="T182" s="161"/>
      <c r="U182" s="161"/>
      <c r="V182" s="162">
        <f>+V179</f>
        <v>21215</v>
      </c>
      <c r="W182" s="175">
        <f>+B16</f>
        <v>22031</v>
      </c>
      <c r="X182" s="162">
        <f>B17</f>
        <v>22847</v>
      </c>
      <c r="Y182" s="162">
        <f>B18</f>
        <v>23663</v>
      </c>
      <c r="Z182" s="162">
        <f>B19</f>
        <v>24479</v>
      </c>
      <c r="AA182" s="162">
        <f>B20</f>
        <v>25295</v>
      </c>
      <c r="AB182" s="162">
        <f>B21</f>
        <v>26110</v>
      </c>
      <c r="AC182" s="162">
        <f>B22</f>
        <v>26926</v>
      </c>
      <c r="AD182" s="162">
        <f>B23</f>
        <v>27742</v>
      </c>
      <c r="AE182" s="162">
        <f>B24</f>
        <v>28558</v>
      </c>
      <c r="AF182" s="162">
        <f>B25</f>
        <v>29374</v>
      </c>
      <c r="AG182" s="162">
        <f>B26</f>
        <v>30190</v>
      </c>
      <c r="AH182" s="162">
        <f>B27</f>
        <v>31006</v>
      </c>
      <c r="AI182" s="162">
        <f>B28</f>
        <v>31822</v>
      </c>
      <c r="AJ182" s="162">
        <f>B29</f>
        <v>32638</v>
      </c>
      <c r="AK182" s="162">
        <f>B30</f>
        <v>33454</v>
      </c>
      <c r="AL182" s="162">
        <f>B31</f>
        <v>34269</v>
      </c>
      <c r="AM182" s="162">
        <f>B32</f>
        <v>35085</v>
      </c>
      <c r="AN182" s="162">
        <f>B33</f>
        <v>35901</v>
      </c>
      <c r="AO182" s="161" t="s">
        <v>99</v>
      </c>
    </row>
    <row r="183" spans="1:41" ht="20.100000000000001" customHeight="1">
      <c r="K183" s="161" t="s">
        <v>100</v>
      </c>
      <c r="L183" s="161"/>
      <c r="M183" s="161"/>
      <c r="N183" s="161"/>
      <c r="O183" s="161"/>
      <c r="P183" s="161"/>
      <c r="Q183" s="161"/>
      <c r="R183" s="161"/>
      <c r="S183" s="161"/>
      <c r="T183" s="161"/>
      <c r="U183" s="161"/>
      <c r="V183" s="162">
        <f>+V182</f>
        <v>21215</v>
      </c>
      <c r="W183" s="175">
        <f>+B47</f>
        <v>23844</v>
      </c>
      <c r="X183" s="162">
        <f>B48</f>
        <v>24710</v>
      </c>
      <c r="Y183" s="162">
        <f>B49</f>
        <v>25575</v>
      </c>
      <c r="Z183" s="162">
        <f>B50</f>
        <v>26441</v>
      </c>
      <c r="AA183" s="162">
        <f>B51</f>
        <v>27307</v>
      </c>
      <c r="AB183" s="162">
        <f>B52</f>
        <v>28172</v>
      </c>
      <c r="AC183" s="162">
        <f>B53</f>
        <v>29038</v>
      </c>
      <c r="AD183" s="162">
        <f>B54</f>
        <v>29903</v>
      </c>
      <c r="AE183" s="162">
        <f>B55</f>
        <v>30769</v>
      </c>
      <c r="AF183" s="162">
        <f>B56</f>
        <v>31635</v>
      </c>
      <c r="AG183" s="162">
        <f>B57</f>
        <v>32500</v>
      </c>
      <c r="AH183" s="162">
        <f>B58</f>
        <v>33366</v>
      </c>
      <c r="AI183" s="162">
        <f>B59</f>
        <v>34231</v>
      </c>
      <c r="AJ183" s="162">
        <f>B60</f>
        <v>35097</v>
      </c>
      <c r="AK183" s="162">
        <f>B61</f>
        <v>35962</v>
      </c>
      <c r="AL183" s="162">
        <f>B62</f>
        <v>36828</v>
      </c>
      <c r="AM183" s="162">
        <f>B63</f>
        <v>37694</v>
      </c>
      <c r="AN183" s="162">
        <f>B64</f>
        <v>38559</v>
      </c>
      <c r="AO183" s="161" t="s">
        <v>100</v>
      </c>
    </row>
    <row r="184" spans="1:41" ht="20.100000000000001" customHeight="1">
      <c r="K184" s="161" t="s">
        <v>101</v>
      </c>
      <c r="L184" s="161"/>
      <c r="M184" s="161"/>
      <c r="N184" s="161"/>
      <c r="O184" s="161"/>
      <c r="P184" s="161"/>
      <c r="Q184" s="161"/>
      <c r="R184" s="161"/>
      <c r="S184" s="161"/>
      <c r="T184" s="161"/>
      <c r="U184" s="161"/>
      <c r="V184" s="162">
        <f>+V183</f>
        <v>21215</v>
      </c>
      <c r="W184" s="175">
        <f>+B78</f>
        <v>22269</v>
      </c>
      <c r="X184" s="162">
        <f>B79</f>
        <v>23377</v>
      </c>
      <c r="Y184" s="162">
        <f>B80</f>
        <v>24540</v>
      </c>
      <c r="Z184" s="162">
        <f>B81</f>
        <v>25761</v>
      </c>
      <c r="AA184" s="162">
        <f>B82</f>
        <v>27042</v>
      </c>
      <c r="AB184" s="162">
        <f>B83</f>
        <v>28387</v>
      </c>
      <c r="AC184" s="162">
        <f>B84</f>
        <v>29799</v>
      </c>
      <c r="AD184" s="162">
        <f>B85</f>
        <v>31281</v>
      </c>
      <c r="AE184" s="162">
        <f>B86</f>
        <v>32837</v>
      </c>
      <c r="AF184" s="162">
        <f>B87</f>
        <v>34470</v>
      </c>
      <c r="AG184" s="162">
        <f>B88</f>
        <v>36185</v>
      </c>
      <c r="AH184" s="162">
        <f>B89</f>
        <v>37985</v>
      </c>
      <c r="AI184" s="162">
        <f>B90</f>
        <v>39874</v>
      </c>
      <c r="AJ184" s="162">
        <f>B91</f>
        <v>41857</v>
      </c>
      <c r="AK184" s="162">
        <f>B92</f>
        <v>43939</v>
      </c>
      <c r="AL184" s="162">
        <f>B93</f>
        <v>46125</v>
      </c>
      <c r="AM184" s="162">
        <f>B94</f>
        <v>48419</v>
      </c>
      <c r="AN184" s="162">
        <f>B95</f>
        <v>50828</v>
      </c>
      <c r="AO184" s="161" t="s">
        <v>101</v>
      </c>
    </row>
    <row r="185" spans="1:41" ht="20.100000000000001" customHeight="1">
      <c r="K185" s="161" t="s">
        <v>102</v>
      </c>
      <c r="L185" s="161"/>
      <c r="M185" s="161"/>
      <c r="N185" s="161"/>
      <c r="O185" s="161"/>
      <c r="P185" s="161"/>
      <c r="Q185" s="161"/>
      <c r="R185" s="161"/>
      <c r="S185" s="161"/>
      <c r="T185" s="161"/>
      <c r="U185" s="161"/>
      <c r="V185" s="162">
        <f>+V184</f>
        <v>21215</v>
      </c>
      <c r="W185" s="175">
        <f>+B109</f>
        <v>24346</v>
      </c>
      <c r="X185" s="162">
        <f>+B110</f>
        <v>25211</v>
      </c>
      <c r="Y185" s="162">
        <f>+B111</f>
        <v>26065</v>
      </c>
      <c r="Z185" s="162">
        <f>+B112</f>
        <v>26910</v>
      </c>
      <c r="AA185" s="162">
        <f>+B113</f>
        <v>27745</v>
      </c>
      <c r="AB185" s="162">
        <f>+B114</f>
        <v>28571</v>
      </c>
      <c r="AC185" s="162">
        <f>+B115</f>
        <v>29390</v>
      </c>
      <c r="AD185" s="162">
        <f>+B116</f>
        <v>30202</v>
      </c>
      <c r="AE185" s="162">
        <f>+B117</f>
        <v>31007</v>
      </c>
      <c r="AF185" s="162">
        <f>+B118</f>
        <v>31805</v>
      </c>
      <c r="AG185" s="162">
        <f>+B119</f>
        <v>32598</v>
      </c>
      <c r="AH185" s="162">
        <f>+B120</f>
        <v>33384</v>
      </c>
      <c r="AI185" s="162">
        <f>+B121</f>
        <v>34166</v>
      </c>
      <c r="AJ185" s="162">
        <f>+B122</f>
        <v>34942</v>
      </c>
      <c r="AK185" s="162">
        <f>+B123</f>
        <v>35713</v>
      </c>
      <c r="AL185" s="162">
        <f>+B124</f>
        <v>36480</v>
      </c>
      <c r="AM185" s="162">
        <f>+B125</f>
        <v>37242</v>
      </c>
      <c r="AN185" s="162">
        <f>+B126</f>
        <v>38000</v>
      </c>
      <c r="AO185" s="161" t="s">
        <v>102</v>
      </c>
    </row>
    <row r="186" spans="1:41" ht="20.100000000000001" customHeight="1">
      <c r="K186" s="161" t="s">
        <v>103</v>
      </c>
      <c r="L186" s="161"/>
      <c r="M186" s="161"/>
      <c r="N186" s="161"/>
      <c r="O186" s="161"/>
      <c r="P186" s="161"/>
      <c r="Q186" s="161"/>
      <c r="R186" s="161"/>
      <c r="S186" s="161"/>
      <c r="T186" s="161"/>
      <c r="U186" s="161"/>
      <c r="V186" s="162">
        <f>+V185</f>
        <v>21215</v>
      </c>
      <c r="W186" s="175">
        <f>+B140</f>
        <v>23955</v>
      </c>
      <c r="X186" s="162">
        <f>B141</f>
        <v>24836</v>
      </c>
      <c r="Y186" s="162">
        <f>B142</f>
        <v>25704</v>
      </c>
      <c r="Z186" s="162">
        <f>B143</f>
        <v>26557</v>
      </c>
      <c r="AA186" s="162">
        <f>B144</f>
        <v>27392</v>
      </c>
      <c r="AB186" s="162">
        <f>B145</f>
        <v>28207</v>
      </c>
      <c r="AC186" s="162">
        <f>B146</f>
        <v>29000</v>
      </c>
      <c r="AD186" s="162">
        <f>B147</f>
        <v>29768</v>
      </c>
      <c r="AE186" s="162">
        <f>B148</f>
        <v>30510</v>
      </c>
      <c r="AF186" s="162">
        <f>B149</f>
        <v>31226</v>
      </c>
      <c r="AG186" s="162">
        <f>B150</f>
        <v>31913</v>
      </c>
      <c r="AH186" s="162">
        <f>B151</f>
        <v>32572</v>
      </c>
      <c r="AI186" s="162">
        <f>B152</f>
        <v>33202</v>
      </c>
      <c r="AJ186" s="162">
        <f>B153</f>
        <v>33803</v>
      </c>
      <c r="AK186" s="162">
        <f>B154</f>
        <v>34374</v>
      </c>
      <c r="AL186" s="162">
        <f>B155</f>
        <v>34916</v>
      </c>
      <c r="AM186" s="162">
        <f>B156</f>
        <v>35429</v>
      </c>
      <c r="AN186" s="162">
        <f>B157</f>
        <v>35914</v>
      </c>
      <c r="AO186" s="161" t="s">
        <v>103</v>
      </c>
    </row>
    <row r="187" spans="1:41" ht="20.100000000000001" customHeight="1">
      <c r="K187" s="161" t="s">
        <v>95</v>
      </c>
      <c r="L187" s="161"/>
      <c r="M187" s="161"/>
      <c r="N187" s="161"/>
      <c r="O187" s="161"/>
      <c r="P187" s="161"/>
      <c r="Q187" s="161"/>
      <c r="R187" s="161"/>
      <c r="S187" s="161"/>
      <c r="T187" s="161"/>
      <c r="U187" s="161"/>
      <c r="V187" s="162">
        <f>+V186</f>
        <v>21215</v>
      </c>
      <c r="W187" s="175">
        <f>+G161</f>
        <v>23289</v>
      </c>
      <c r="X187" s="206">
        <f>+G162</f>
        <v>24196.2</v>
      </c>
      <c r="Y187" s="206">
        <f>+G163</f>
        <v>25109.4</v>
      </c>
      <c r="Z187" s="206">
        <f>+F164</f>
        <v>26557</v>
      </c>
      <c r="AA187" s="206">
        <f>+F165</f>
        <v>27392</v>
      </c>
      <c r="AB187" s="206">
        <f>+F166</f>
        <v>28207</v>
      </c>
      <c r="AC187" s="206">
        <f>+F167</f>
        <v>29000</v>
      </c>
      <c r="AD187" s="206">
        <f>+F168</f>
        <v>29768</v>
      </c>
      <c r="AE187" s="206">
        <f>+F169</f>
        <v>30510</v>
      </c>
      <c r="AF187" s="206">
        <f>+F170</f>
        <v>31226</v>
      </c>
      <c r="AG187" s="206">
        <f>+F171</f>
        <v>31913</v>
      </c>
      <c r="AH187" s="206">
        <f>+F172</f>
        <v>32572</v>
      </c>
      <c r="AI187" s="206">
        <f>+F173</f>
        <v>33202</v>
      </c>
      <c r="AJ187" s="206">
        <f>+F174</f>
        <v>33803</v>
      </c>
      <c r="AK187" s="206">
        <f>+F175</f>
        <v>34374</v>
      </c>
      <c r="AL187" s="206">
        <f>+F176</f>
        <v>34916</v>
      </c>
      <c r="AM187" s="206">
        <f>+F177</f>
        <v>35429</v>
      </c>
      <c r="AN187" s="206">
        <f>+F178</f>
        <v>35914</v>
      </c>
      <c r="AO187" s="161" t="s">
        <v>95</v>
      </c>
    </row>
    <row r="188" spans="1:41" ht="20.100000000000001" customHeight="1"/>
    <row r="189" spans="1:41" ht="20.100000000000001" customHeight="1"/>
    <row r="190" spans="1:41" ht="20.100000000000001" customHeight="1"/>
    <row r="191" spans="1:41" ht="20.100000000000001" customHeight="1"/>
    <row r="192" spans="1:41" ht="20.100000000000001" customHeight="1"/>
    <row r="193" ht="20.100000000000001" customHeight="1"/>
    <row r="194" ht="20.100000000000001" customHeight="1"/>
    <row r="195" ht="20.100000000000001" customHeight="1"/>
    <row r="196" ht="20.100000000000001" customHeight="1"/>
    <row r="197" ht="20.100000000000001" customHeight="1"/>
    <row r="198" ht="20.100000000000001" customHeight="1"/>
    <row r="199" ht="20.100000000000001" customHeight="1"/>
    <row r="200" ht="20.100000000000001" customHeight="1"/>
    <row r="201" ht="20.100000000000001" customHeight="1"/>
    <row r="202" ht="20.100000000000001" customHeight="1"/>
    <row r="203" ht="20.100000000000001" customHeight="1"/>
    <row r="204" ht="20.100000000000001" customHeight="1"/>
  </sheetData>
  <phoneticPr fontId="50" type="noConversion"/>
  <pageMargins left="0.74803149606299213" right="0.74803149606299213" top="0.78740157480314965" bottom="0.78740157480314965" header="0.51181102362204722" footer="0.51181102362204722"/>
  <pageSetup paperSize="9" scale="70" fitToHeight="3" orientation="portrait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>
  <sheetPr codeName="Sheet36">
    <tabColor indexed="47"/>
  </sheetPr>
  <dimension ref="A1:AO179"/>
  <sheetViews>
    <sheetView workbookViewId="0"/>
  </sheetViews>
  <sheetFormatPr defaultRowHeight="15" customHeight="1"/>
  <cols>
    <col min="1" max="1" width="8.88671875" style="55"/>
    <col min="2" max="2" width="9.21875" style="55" customWidth="1"/>
    <col min="3" max="3" width="9.5546875" style="55" customWidth="1"/>
    <col min="4" max="4" width="9" style="55" customWidth="1"/>
    <col min="5" max="5" width="11.33203125" style="55" customWidth="1"/>
    <col min="6" max="6" width="9.44140625" style="55" customWidth="1"/>
    <col min="7" max="7" width="15.109375" style="55" bestFit="1" customWidth="1"/>
    <col min="8" max="8" width="12.88671875" style="55" bestFit="1" customWidth="1"/>
    <col min="9" max="9" width="11.5546875" style="55" bestFit="1" customWidth="1"/>
    <col min="10" max="16384" width="8.88671875" style="55"/>
  </cols>
  <sheetData>
    <row r="1" spans="1:12" ht="15" customHeight="1">
      <c r="A1" s="54" t="s">
        <v>297</v>
      </c>
    </row>
    <row r="2" spans="1:12" ht="15" customHeight="1">
      <c r="A2" s="54"/>
    </row>
    <row r="3" spans="1:12" ht="15" customHeight="1">
      <c r="A3" s="56" t="s">
        <v>74</v>
      </c>
      <c r="B3" s="57"/>
    </row>
    <row r="4" spans="1:12" ht="15" customHeight="1">
      <c r="A4" s="58" t="s">
        <v>32</v>
      </c>
      <c r="B4" s="59" t="s">
        <v>40</v>
      </c>
      <c r="C4" s="59" t="s">
        <v>33</v>
      </c>
      <c r="D4" s="60"/>
      <c r="E4" s="60"/>
      <c r="F4" s="61"/>
      <c r="G4" s="62"/>
      <c r="H4" s="63" t="s">
        <v>292</v>
      </c>
      <c r="I4" s="64">
        <f>RSQ(I6:I11,B6:B11)</f>
        <v>6.7655057992875934E-3</v>
      </c>
    </row>
    <row r="5" spans="1:12" ht="15" customHeight="1">
      <c r="A5" s="176">
        <v>2002</v>
      </c>
      <c r="B5" s="183">
        <f>+북삼동10!B10</f>
        <v>20963</v>
      </c>
      <c r="C5" s="177">
        <v>0</v>
      </c>
      <c r="D5" s="178"/>
      <c r="E5" s="178"/>
      <c r="F5" s="179"/>
      <c r="G5" s="262"/>
      <c r="H5" s="263"/>
      <c r="I5" s="70">
        <f t="shared" ref="I5:I28" si="0">$E$6*C5+$E$7</f>
        <v>20963</v>
      </c>
    </row>
    <row r="6" spans="1:12" ht="15" customHeight="1">
      <c r="A6" s="65">
        <v>2003</v>
      </c>
      <c r="B6" s="184">
        <f>+북삼동10!B11</f>
        <v>21131</v>
      </c>
      <c r="C6" s="67">
        <f>+C5+1</f>
        <v>1</v>
      </c>
      <c r="D6" s="53" t="s">
        <v>75</v>
      </c>
      <c r="E6" s="68">
        <f>(B10-B5)/C10</f>
        <v>50.4</v>
      </c>
      <c r="F6" s="69"/>
      <c r="G6" s="53"/>
      <c r="H6" s="69"/>
      <c r="I6" s="70">
        <f t="shared" si="0"/>
        <v>21013.4</v>
      </c>
      <c r="J6" s="71">
        <v>570570</v>
      </c>
      <c r="K6" s="55">
        <v>570570</v>
      </c>
      <c r="L6" s="55">
        <v>766</v>
      </c>
    </row>
    <row r="7" spans="1:12" ht="15" customHeight="1">
      <c r="A7" s="65">
        <v>2004</v>
      </c>
      <c r="B7" s="184">
        <f>+북삼동10!B12</f>
        <v>21241</v>
      </c>
      <c r="C7" s="67">
        <f t="shared" ref="C7:C28" si="1">C6+1</f>
        <v>2</v>
      </c>
      <c r="D7" s="53" t="s">
        <v>76</v>
      </c>
      <c r="E7" s="72">
        <f>B5</f>
        <v>20963</v>
      </c>
      <c r="F7" s="69"/>
      <c r="G7" s="53"/>
      <c r="H7" s="69"/>
      <c r="I7" s="70">
        <f t="shared" si="0"/>
        <v>21063.8</v>
      </c>
      <c r="J7" s="71">
        <v>583230</v>
      </c>
      <c r="K7" s="55">
        <v>583230</v>
      </c>
      <c r="L7" s="55">
        <v>1094</v>
      </c>
    </row>
    <row r="8" spans="1:12" ht="15" customHeight="1">
      <c r="A8" s="65">
        <v>2005</v>
      </c>
      <c r="B8" s="184">
        <f>+북삼동10!B13</f>
        <v>21184</v>
      </c>
      <c r="C8" s="67">
        <f t="shared" si="1"/>
        <v>3</v>
      </c>
      <c r="D8" s="53" t="s">
        <v>77</v>
      </c>
      <c r="E8" s="73">
        <f>I4</f>
        <v>6.7655057992875934E-3</v>
      </c>
      <c r="F8" s="69"/>
      <c r="G8" s="53"/>
      <c r="H8" s="69"/>
      <c r="I8" s="70">
        <f t="shared" si="0"/>
        <v>21114.2</v>
      </c>
      <c r="J8" s="71">
        <v>590162</v>
      </c>
      <c r="K8" s="55">
        <v>590162</v>
      </c>
      <c r="L8" s="55">
        <v>1277</v>
      </c>
    </row>
    <row r="9" spans="1:12" ht="15" customHeight="1">
      <c r="A9" s="65">
        <v>2006</v>
      </c>
      <c r="B9" s="184">
        <f>+북삼동10!B14</f>
        <v>20836</v>
      </c>
      <c r="C9" s="67">
        <f t="shared" si="1"/>
        <v>4</v>
      </c>
      <c r="D9" s="53"/>
      <c r="E9" s="53"/>
      <c r="F9" s="69"/>
      <c r="G9" s="53"/>
      <c r="H9" s="69"/>
      <c r="I9" s="70">
        <f t="shared" si="0"/>
        <v>21164.6</v>
      </c>
      <c r="J9" s="71">
        <v>600343</v>
      </c>
      <c r="K9" s="55">
        <v>600343</v>
      </c>
      <c r="L9" s="55">
        <v>1147</v>
      </c>
    </row>
    <row r="10" spans="1:12" ht="15" customHeight="1" thickBot="1">
      <c r="A10" s="97">
        <v>2007</v>
      </c>
      <c r="B10" s="185">
        <f>+북삼동10!B15</f>
        <v>21215</v>
      </c>
      <c r="C10" s="99">
        <f t="shared" si="1"/>
        <v>5</v>
      </c>
      <c r="D10" s="101" t="s">
        <v>73</v>
      </c>
      <c r="E10" s="101"/>
      <c r="F10" s="100"/>
      <c r="G10" s="101"/>
      <c r="H10" s="100"/>
      <c r="I10" s="102">
        <f t="shared" si="0"/>
        <v>21215</v>
      </c>
      <c r="J10" s="71">
        <v>611921</v>
      </c>
      <c r="K10" s="55">
        <v>611921</v>
      </c>
      <c r="L10" s="55">
        <v>1355</v>
      </c>
    </row>
    <row r="11" spans="1:12" ht="15" customHeight="1" thickTop="1">
      <c r="A11" s="255">
        <v>2008</v>
      </c>
      <c r="B11" s="81">
        <f t="shared" ref="B11:B28" si="2">ROUND($E$6*C11+$E$7,0)</f>
        <v>21265</v>
      </c>
      <c r="C11" s="77">
        <f t="shared" si="1"/>
        <v>6</v>
      </c>
      <c r="D11" s="256"/>
      <c r="E11" s="256"/>
      <c r="F11" s="78"/>
      <c r="G11" s="256"/>
      <c r="H11" s="78"/>
      <c r="I11" s="79">
        <f t="shared" si="0"/>
        <v>21265.4</v>
      </c>
      <c r="J11" s="74">
        <v>622238</v>
      </c>
      <c r="K11" s="55">
        <v>622238</v>
      </c>
      <c r="L11" s="55">
        <v>1717</v>
      </c>
    </row>
    <row r="12" spans="1:12" ht="15" customHeight="1">
      <c r="A12" s="80">
        <v>2009</v>
      </c>
      <c r="B12" s="81">
        <f t="shared" si="2"/>
        <v>21316</v>
      </c>
      <c r="C12" s="67">
        <f t="shared" si="1"/>
        <v>7</v>
      </c>
      <c r="D12" s="69"/>
      <c r="E12" s="69"/>
      <c r="F12" s="69"/>
      <c r="G12" s="69"/>
      <c r="H12" s="69"/>
      <c r="I12" s="70">
        <f t="shared" si="0"/>
        <v>21315.8</v>
      </c>
    </row>
    <row r="13" spans="1:12" ht="15" customHeight="1">
      <c r="A13" s="186">
        <v>2010</v>
      </c>
      <c r="B13" s="187">
        <f t="shared" si="2"/>
        <v>21366</v>
      </c>
      <c r="C13" s="188">
        <f t="shared" si="1"/>
        <v>8</v>
      </c>
      <c r="D13" s="189"/>
      <c r="E13" s="189"/>
      <c r="F13" s="189"/>
      <c r="G13" s="189"/>
      <c r="H13" s="189"/>
      <c r="I13" s="190">
        <f t="shared" si="0"/>
        <v>21366.2</v>
      </c>
    </row>
    <row r="14" spans="1:12" ht="15" customHeight="1">
      <c r="A14" s="80">
        <v>2011</v>
      </c>
      <c r="B14" s="81">
        <f t="shared" si="2"/>
        <v>21417</v>
      </c>
      <c r="C14" s="82">
        <f t="shared" si="1"/>
        <v>9</v>
      </c>
      <c r="D14" s="69"/>
      <c r="E14" s="69"/>
      <c r="F14" s="69"/>
      <c r="G14" s="69"/>
      <c r="H14" s="69"/>
      <c r="I14" s="70">
        <f t="shared" si="0"/>
        <v>21416.6</v>
      </c>
    </row>
    <row r="15" spans="1:12" ht="15" customHeight="1">
      <c r="A15" s="80">
        <v>2012</v>
      </c>
      <c r="B15" s="81">
        <f t="shared" si="2"/>
        <v>21467</v>
      </c>
      <c r="C15" s="82">
        <f t="shared" si="1"/>
        <v>10</v>
      </c>
      <c r="D15" s="69"/>
      <c r="E15" s="69"/>
      <c r="F15" s="69"/>
      <c r="G15" s="69"/>
      <c r="H15" s="69"/>
      <c r="I15" s="70">
        <f t="shared" si="0"/>
        <v>21467</v>
      </c>
    </row>
    <row r="16" spans="1:12" ht="15" customHeight="1">
      <c r="A16" s="80">
        <v>2013</v>
      </c>
      <c r="B16" s="81">
        <f t="shared" si="2"/>
        <v>21517</v>
      </c>
      <c r="C16" s="82">
        <f t="shared" si="1"/>
        <v>11</v>
      </c>
      <c r="D16" s="69"/>
      <c r="E16" s="69"/>
      <c r="F16" s="69"/>
      <c r="G16" s="69"/>
      <c r="H16" s="69"/>
      <c r="I16" s="70">
        <f t="shared" si="0"/>
        <v>21517.4</v>
      </c>
    </row>
    <row r="17" spans="1:9" ht="15" customHeight="1">
      <c r="A17" s="80">
        <v>2014</v>
      </c>
      <c r="B17" s="81">
        <f t="shared" si="2"/>
        <v>21568</v>
      </c>
      <c r="C17" s="82">
        <f t="shared" si="1"/>
        <v>12</v>
      </c>
      <c r="D17" s="69"/>
      <c r="E17" s="69"/>
      <c r="F17" s="69"/>
      <c r="G17" s="69"/>
      <c r="H17" s="69"/>
      <c r="I17" s="70">
        <f t="shared" si="0"/>
        <v>21567.8</v>
      </c>
    </row>
    <row r="18" spans="1:9" ht="15" customHeight="1">
      <c r="A18" s="186">
        <v>2015</v>
      </c>
      <c r="B18" s="187">
        <f t="shared" si="2"/>
        <v>21618</v>
      </c>
      <c r="C18" s="188">
        <f t="shared" si="1"/>
        <v>13</v>
      </c>
      <c r="D18" s="189"/>
      <c r="E18" s="189"/>
      <c r="F18" s="189"/>
      <c r="G18" s="189"/>
      <c r="H18" s="189"/>
      <c r="I18" s="190">
        <f t="shared" si="0"/>
        <v>21618.2</v>
      </c>
    </row>
    <row r="19" spans="1:9" ht="15" customHeight="1">
      <c r="A19" s="80">
        <v>2016</v>
      </c>
      <c r="B19" s="81">
        <f t="shared" si="2"/>
        <v>21669</v>
      </c>
      <c r="C19" s="82">
        <f t="shared" si="1"/>
        <v>14</v>
      </c>
      <c r="D19" s="69"/>
      <c r="E19" s="69"/>
      <c r="F19" s="69"/>
      <c r="G19" s="69"/>
      <c r="H19" s="69"/>
      <c r="I19" s="70">
        <f t="shared" si="0"/>
        <v>21668.6</v>
      </c>
    </row>
    <row r="20" spans="1:9" ht="15" customHeight="1">
      <c r="A20" s="80">
        <v>2017</v>
      </c>
      <c r="B20" s="81">
        <f t="shared" si="2"/>
        <v>21719</v>
      </c>
      <c r="C20" s="82">
        <f t="shared" si="1"/>
        <v>15</v>
      </c>
      <c r="D20" s="69"/>
      <c r="E20" s="69"/>
      <c r="F20" s="69"/>
      <c r="G20" s="69"/>
      <c r="H20" s="69"/>
      <c r="I20" s="70">
        <f t="shared" si="0"/>
        <v>21719</v>
      </c>
    </row>
    <row r="21" spans="1:9" ht="15" customHeight="1">
      <c r="A21" s="80">
        <v>2018</v>
      </c>
      <c r="B21" s="81">
        <f t="shared" si="2"/>
        <v>21769</v>
      </c>
      <c r="C21" s="82">
        <f t="shared" si="1"/>
        <v>16</v>
      </c>
      <c r="D21" s="69"/>
      <c r="E21" s="69"/>
      <c r="F21" s="69"/>
      <c r="G21" s="69"/>
      <c r="H21" s="69"/>
      <c r="I21" s="70">
        <f t="shared" si="0"/>
        <v>21769.4</v>
      </c>
    </row>
    <row r="22" spans="1:9" ht="15" customHeight="1">
      <c r="A22" s="80">
        <v>2019</v>
      </c>
      <c r="B22" s="81">
        <f t="shared" si="2"/>
        <v>21820</v>
      </c>
      <c r="C22" s="82">
        <f t="shared" si="1"/>
        <v>17</v>
      </c>
      <c r="D22" s="69"/>
      <c r="E22" s="69"/>
      <c r="F22" s="69"/>
      <c r="G22" s="69"/>
      <c r="H22" s="69"/>
      <c r="I22" s="70">
        <f t="shared" si="0"/>
        <v>21819.8</v>
      </c>
    </row>
    <row r="23" spans="1:9" ht="15" customHeight="1">
      <c r="A23" s="186">
        <v>2020</v>
      </c>
      <c r="B23" s="187">
        <f t="shared" si="2"/>
        <v>21870</v>
      </c>
      <c r="C23" s="188">
        <f t="shared" si="1"/>
        <v>18</v>
      </c>
      <c r="D23" s="189"/>
      <c r="E23" s="189"/>
      <c r="F23" s="189"/>
      <c r="G23" s="189"/>
      <c r="H23" s="189"/>
      <c r="I23" s="190">
        <f t="shared" si="0"/>
        <v>21870.2</v>
      </c>
    </row>
    <row r="24" spans="1:9" ht="15" customHeight="1">
      <c r="A24" s="80">
        <v>2021</v>
      </c>
      <c r="B24" s="81">
        <f t="shared" si="2"/>
        <v>21921</v>
      </c>
      <c r="C24" s="82">
        <f t="shared" si="1"/>
        <v>19</v>
      </c>
      <c r="D24" s="69"/>
      <c r="E24" s="69"/>
      <c r="F24" s="69"/>
      <c r="G24" s="69"/>
      <c r="H24" s="69"/>
      <c r="I24" s="70">
        <f t="shared" si="0"/>
        <v>21920.6</v>
      </c>
    </row>
    <row r="25" spans="1:9" ht="15" customHeight="1">
      <c r="A25" s="80">
        <v>2022</v>
      </c>
      <c r="B25" s="81">
        <f t="shared" si="2"/>
        <v>21971</v>
      </c>
      <c r="C25" s="82">
        <f t="shared" si="1"/>
        <v>20</v>
      </c>
      <c r="D25" s="69"/>
      <c r="E25" s="69"/>
      <c r="F25" s="69"/>
      <c r="G25" s="69"/>
      <c r="H25" s="69"/>
      <c r="I25" s="70">
        <f t="shared" si="0"/>
        <v>21971</v>
      </c>
    </row>
    <row r="26" spans="1:9" ht="15" customHeight="1">
      <c r="A26" s="80">
        <v>2023</v>
      </c>
      <c r="B26" s="81">
        <f t="shared" si="2"/>
        <v>22021</v>
      </c>
      <c r="C26" s="82">
        <f t="shared" si="1"/>
        <v>21</v>
      </c>
      <c r="D26" s="69"/>
      <c r="E26" s="69"/>
      <c r="F26" s="69"/>
      <c r="G26" s="69"/>
      <c r="H26" s="69"/>
      <c r="I26" s="70">
        <f t="shared" si="0"/>
        <v>22021.4</v>
      </c>
    </row>
    <row r="27" spans="1:9" ht="15" customHeight="1">
      <c r="A27" s="80">
        <v>2024</v>
      </c>
      <c r="B27" s="81">
        <f t="shared" si="2"/>
        <v>22072</v>
      </c>
      <c r="C27" s="67">
        <f t="shared" si="1"/>
        <v>22</v>
      </c>
      <c r="D27" s="83"/>
      <c r="E27" s="69"/>
      <c r="F27" s="69"/>
      <c r="G27" s="69"/>
      <c r="H27" s="84"/>
      <c r="I27" s="70">
        <f t="shared" si="0"/>
        <v>22071.8</v>
      </c>
    </row>
    <row r="28" spans="1:9" ht="15" customHeight="1">
      <c r="A28" s="191">
        <v>2025</v>
      </c>
      <c r="B28" s="192">
        <f t="shared" si="2"/>
        <v>22122</v>
      </c>
      <c r="C28" s="193">
        <f t="shared" si="1"/>
        <v>23</v>
      </c>
      <c r="D28" s="194"/>
      <c r="E28" s="195"/>
      <c r="F28" s="195"/>
      <c r="G28" s="195"/>
      <c r="H28" s="196"/>
      <c r="I28" s="197">
        <f t="shared" si="0"/>
        <v>22122.2</v>
      </c>
    </row>
    <row r="29" spans="1:9" ht="15" customHeight="1">
      <c r="A29" s="56" t="s">
        <v>78</v>
      </c>
      <c r="B29" s="92"/>
      <c r="I29" s="89"/>
    </row>
    <row r="30" spans="1:9" ht="15" customHeight="1">
      <c r="A30" s="58" t="s">
        <v>32</v>
      </c>
      <c r="B30" s="59" t="s">
        <v>40</v>
      </c>
      <c r="C30" s="59" t="s">
        <v>33</v>
      </c>
      <c r="D30" s="60"/>
      <c r="E30" s="60"/>
      <c r="F30" s="61"/>
      <c r="G30" s="62"/>
      <c r="H30" s="63" t="s">
        <v>292</v>
      </c>
      <c r="I30" s="64">
        <f>RSQ(I32:I37,B32:B37)</f>
        <v>2.6177038525870597E-2</v>
      </c>
    </row>
    <row r="31" spans="1:9" ht="15" customHeight="1">
      <c r="A31" s="65">
        <v>2002</v>
      </c>
      <c r="B31" s="93">
        <f t="shared" ref="B31:B36" si="3">B5</f>
        <v>20963</v>
      </c>
      <c r="C31" s="67">
        <v>0</v>
      </c>
      <c r="D31" s="53"/>
      <c r="E31" s="53"/>
      <c r="F31" s="69"/>
      <c r="G31" s="264"/>
      <c r="H31" s="265"/>
      <c r="I31" s="94">
        <f t="shared" ref="I31:I54" si="4">$E$32*C31+$E$33</f>
        <v>21072.285714285714</v>
      </c>
    </row>
    <row r="32" spans="1:9" ht="15" customHeight="1">
      <c r="A32" s="65">
        <f t="shared" ref="A32:A37" si="5">A6</f>
        <v>2003</v>
      </c>
      <c r="B32" s="93">
        <f t="shared" si="3"/>
        <v>21131</v>
      </c>
      <c r="C32" s="67">
        <f>+C31+1</f>
        <v>1</v>
      </c>
      <c r="D32" s="53" t="s">
        <v>75</v>
      </c>
      <c r="E32" s="68">
        <f>INDEX(LINEST(B31:B36,C31:C36),1)</f>
        <v>9.0857142857142854</v>
      </c>
      <c r="F32" s="69"/>
      <c r="G32" s="53"/>
      <c r="H32" s="69"/>
      <c r="I32" s="70">
        <f t="shared" si="4"/>
        <v>21081.371428571427</v>
      </c>
    </row>
    <row r="33" spans="1:9" ht="15" customHeight="1">
      <c r="A33" s="65">
        <f t="shared" si="5"/>
        <v>2004</v>
      </c>
      <c r="B33" s="93">
        <f t="shared" si="3"/>
        <v>21241</v>
      </c>
      <c r="C33" s="67">
        <f t="shared" ref="C33:C54" si="6">C32+1</f>
        <v>2</v>
      </c>
      <c r="D33" s="53" t="s">
        <v>76</v>
      </c>
      <c r="E33" s="72">
        <f>INDEX(LINEST(B31:B36,C31:C36),2)</f>
        <v>21072.285714285714</v>
      </c>
      <c r="F33" s="69"/>
      <c r="G33" s="53"/>
      <c r="H33" s="69"/>
      <c r="I33" s="70">
        <f t="shared" si="4"/>
        <v>21090.457142857143</v>
      </c>
    </row>
    <row r="34" spans="1:9" ht="15" customHeight="1">
      <c r="A34" s="65">
        <f t="shared" si="5"/>
        <v>2005</v>
      </c>
      <c r="B34" s="93">
        <f t="shared" si="3"/>
        <v>21184</v>
      </c>
      <c r="C34" s="67">
        <f t="shared" si="6"/>
        <v>3</v>
      </c>
      <c r="D34" s="53" t="s">
        <v>77</v>
      </c>
      <c r="E34" s="73">
        <f>I30</f>
        <v>2.6177038525870597E-2</v>
      </c>
      <c r="F34" s="69"/>
      <c r="G34" s="53"/>
      <c r="H34" s="69"/>
      <c r="I34" s="70">
        <f t="shared" si="4"/>
        <v>21099.542857142857</v>
      </c>
    </row>
    <row r="35" spans="1:9" ht="15" customHeight="1">
      <c r="A35" s="65">
        <f t="shared" si="5"/>
        <v>2006</v>
      </c>
      <c r="B35" s="93">
        <f t="shared" si="3"/>
        <v>20836</v>
      </c>
      <c r="C35" s="67">
        <f t="shared" si="6"/>
        <v>4</v>
      </c>
      <c r="D35" s="53"/>
      <c r="E35" s="53"/>
      <c r="F35" s="69"/>
      <c r="G35" s="53"/>
      <c r="H35" s="69"/>
      <c r="I35" s="70">
        <f t="shared" si="4"/>
        <v>21108.62857142857</v>
      </c>
    </row>
    <row r="36" spans="1:9" ht="15" customHeight="1" thickBot="1">
      <c r="A36" s="97">
        <f t="shared" si="5"/>
        <v>2007</v>
      </c>
      <c r="B36" s="98">
        <f t="shared" si="3"/>
        <v>21215</v>
      </c>
      <c r="C36" s="99">
        <f t="shared" si="6"/>
        <v>5</v>
      </c>
      <c r="D36" s="101" t="s">
        <v>73</v>
      </c>
      <c r="E36" s="101"/>
      <c r="F36" s="100"/>
      <c r="G36" s="270"/>
      <c r="H36" s="100"/>
      <c r="I36" s="102">
        <f t="shared" si="4"/>
        <v>21117.714285714286</v>
      </c>
    </row>
    <row r="37" spans="1:9" ht="15" customHeight="1" thickTop="1">
      <c r="A37" s="255">
        <f t="shared" si="5"/>
        <v>2008</v>
      </c>
      <c r="B37" s="81">
        <f t="shared" ref="B37:B54" si="7">ROUND(E$32*C37+E$33,0)</f>
        <v>21127</v>
      </c>
      <c r="C37" s="77">
        <f t="shared" si="6"/>
        <v>6</v>
      </c>
      <c r="D37" s="256"/>
      <c r="E37" s="256"/>
      <c r="F37" s="78"/>
      <c r="G37" s="256"/>
      <c r="H37" s="78"/>
      <c r="I37" s="79">
        <f t="shared" si="4"/>
        <v>21126.799999999999</v>
      </c>
    </row>
    <row r="38" spans="1:9" ht="15" customHeight="1">
      <c r="A38" s="80">
        <v>2009</v>
      </c>
      <c r="B38" s="81">
        <f t="shared" si="7"/>
        <v>21136</v>
      </c>
      <c r="C38" s="67">
        <f t="shared" si="6"/>
        <v>7</v>
      </c>
      <c r="D38" s="69"/>
      <c r="E38" s="69"/>
      <c r="F38" s="69"/>
      <c r="G38" s="69"/>
      <c r="H38" s="69"/>
      <c r="I38" s="70">
        <f t="shared" si="4"/>
        <v>21135.885714285712</v>
      </c>
    </row>
    <row r="39" spans="1:9" ht="15" customHeight="1">
      <c r="A39" s="186">
        <v>2010</v>
      </c>
      <c r="B39" s="187">
        <f t="shared" si="7"/>
        <v>21145</v>
      </c>
      <c r="C39" s="188">
        <f t="shared" si="6"/>
        <v>8</v>
      </c>
      <c r="D39" s="189"/>
      <c r="E39" s="189"/>
      <c r="F39" s="189"/>
      <c r="G39" s="189"/>
      <c r="H39" s="189"/>
      <c r="I39" s="190">
        <f t="shared" si="4"/>
        <v>21144.971428571429</v>
      </c>
    </row>
    <row r="40" spans="1:9" ht="15" customHeight="1">
      <c r="A40" s="80">
        <v>2011</v>
      </c>
      <c r="B40" s="81">
        <f t="shared" si="7"/>
        <v>21154</v>
      </c>
      <c r="C40" s="82">
        <f t="shared" si="6"/>
        <v>9</v>
      </c>
      <c r="D40" s="69"/>
      <c r="E40" s="69"/>
      <c r="F40" s="69"/>
      <c r="G40" s="69"/>
      <c r="H40" s="69"/>
      <c r="I40" s="70">
        <f t="shared" si="4"/>
        <v>21154.057142857142</v>
      </c>
    </row>
    <row r="41" spans="1:9" ht="15" customHeight="1">
      <c r="A41" s="80">
        <v>2012</v>
      </c>
      <c r="B41" s="81">
        <f t="shared" si="7"/>
        <v>21163</v>
      </c>
      <c r="C41" s="82">
        <f t="shared" si="6"/>
        <v>10</v>
      </c>
      <c r="D41" s="69"/>
      <c r="E41" s="69"/>
      <c r="F41" s="69"/>
      <c r="G41" s="69"/>
      <c r="H41" s="69"/>
      <c r="I41" s="70">
        <f t="shared" si="4"/>
        <v>21163.142857142855</v>
      </c>
    </row>
    <row r="42" spans="1:9" ht="15" customHeight="1">
      <c r="A42" s="80">
        <v>2013</v>
      </c>
      <c r="B42" s="81">
        <f t="shared" si="7"/>
        <v>21172</v>
      </c>
      <c r="C42" s="82">
        <f t="shared" si="6"/>
        <v>11</v>
      </c>
      <c r="D42" s="69"/>
      <c r="E42" s="69"/>
      <c r="F42" s="69"/>
      <c r="G42" s="69"/>
      <c r="H42" s="69"/>
      <c r="I42" s="70">
        <f t="shared" si="4"/>
        <v>21172.228571428572</v>
      </c>
    </row>
    <row r="43" spans="1:9" ht="15" customHeight="1">
      <c r="A43" s="80">
        <v>2014</v>
      </c>
      <c r="B43" s="81">
        <f t="shared" si="7"/>
        <v>21181</v>
      </c>
      <c r="C43" s="82">
        <f t="shared" si="6"/>
        <v>12</v>
      </c>
      <c r="D43" s="69"/>
      <c r="E43" s="69"/>
      <c r="F43" s="69"/>
      <c r="G43" s="69"/>
      <c r="H43" s="69"/>
      <c r="I43" s="70">
        <f t="shared" si="4"/>
        <v>21181.314285714285</v>
      </c>
    </row>
    <row r="44" spans="1:9" ht="15" customHeight="1">
      <c r="A44" s="186">
        <v>2015</v>
      </c>
      <c r="B44" s="187">
        <f t="shared" si="7"/>
        <v>21190</v>
      </c>
      <c r="C44" s="188">
        <f t="shared" si="6"/>
        <v>13</v>
      </c>
      <c r="D44" s="189"/>
      <c r="E44" s="189"/>
      <c r="F44" s="189"/>
      <c r="G44" s="189"/>
      <c r="H44" s="189"/>
      <c r="I44" s="190">
        <f t="shared" si="4"/>
        <v>21190.399999999998</v>
      </c>
    </row>
    <row r="45" spans="1:9" ht="15" customHeight="1">
      <c r="A45" s="80">
        <v>2016</v>
      </c>
      <c r="B45" s="81">
        <f t="shared" si="7"/>
        <v>21199</v>
      </c>
      <c r="C45" s="82">
        <f t="shared" si="6"/>
        <v>14</v>
      </c>
      <c r="D45" s="69"/>
      <c r="E45" s="69"/>
      <c r="F45" s="69"/>
      <c r="G45" s="69"/>
      <c r="H45" s="69"/>
      <c r="I45" s="70">
        <f t="shared" si="4"/>
        <v>21199.485714285714</v>
      </c>
    </row>
    <row r="46" spans="1:9" ht="15" customHeight="1">
      <c r="A46" s="80">
        <v>2017</v>
      </c>
      <c r="B46" s="81">
        <f t="shared" si="7"/>
        <v>21209</v>
      </c>
      <c r="C46" s="82">
        <f t="shared" si="6"/>
        <v>15</v>
      </c>
      <c r="D46" s="69"/>
      <c r="E46" s="69"/>
      <c r="F46" s="69"/>
      <c r="G46" s="69"/>
      <c r="H46" s="69"/>
      <c r="I46" s="70">
        <f t="shared" si="4"/>
        <v>21208.571428571428</v>
      </c>
    </row>
    <row r="47" spans="1:9" ht="15" customHeight="1">
      <c r="A47" s="80">
        <v>2018</v>
      </c>
      <c r="B47" s="81">
        <f t="shared" si="7"/>
        <v>21218</v>
      </c>
      <c r="C47" s="82">
        <f t="shared" si="6"/>
        <v>16</v>
      </c>
      <c r="D47" s="69"/>
      <c r="E47" s="69"/>
      <c r="F47" s="69"/>
      <c r="G47" s="69"/>
      <c r="H47" s="69"/>
      <c r="I47" s="70">
        <f t="shared" si="4"/>
        <v>21217.657142857141</v>
      </c>
    </row>
    <row r="48" spans="1:9" ht="15" customHeight="1">
      <c r="A48" s="80">
        <v>2019</v>
      </c>
      <c r="B48" s="81">
        <f t="shared" si="7"/>
        <v>21227</v>
      </c>
      <c r="C48" s="82">
        <f t="shared" si="6"/>
        <v>17</v>
      </c>
      <c r="D48" s="69"/>
      <c r="E48" s="69"/>
      <c r="F48" s="69"/>
      <c r="G48" s="69"/>
      <c r="H48" s="69"/>
      <c r="I48" s="70">
        <f t="shared" si="4"/>
        <v>21226.742857142857</v>
      </c>
    </row>
    <row r="49" spans="1:11" ht="15" customHeight="1">
      <c r="A49" s="186">
        <v>2020</v>
      </c>
      <c r="B49" s="187">
        <f t="shared" si="7"/>
        <v>21236</v>
      </c>
      <c r="C49" s="188">
        <f t="shared" si="6"/>
        <v>18</v>
      </c>
      <c r="D49" s="189"/>
      <c r="E49" s="189"/>
      <c r="F49" s="189"/>
      <c r="G49" s="189"/>
      <c r="H49" s="189"/>
      <c r="I49" s="190">
        <f t="shared" si="4"/>
        <v>21235.82857142857</v>
      </c>
    </row>
    <row r="50" spans="1:11" ht="15" customHeight="1">
      <c r="A50" s="80">
        <v>2021</v>
      </c>
      <c r="B50" s="81">
        <f t="shared" si="7"/>
        <v>21245</v>
      </c>
      <c r="C50" s="82">
        <f t="shared" si="6"/>
        <v>19</v>
      </c>
      <c r="D50" s="69"/>
      <c r="E50" s="69"/>
      <c r="F50" s="69"/>
      <c r="G50" s="69"/>
      <c r="H50" s="69"/>
      <c r="I50" s="70">
        <f t="shared" si="4"/>
        <v>21244.914285714287</v>
      </c>
    </row>
    <row r="51" spans="1:11" ht="15" customHeight="1">
      <c r="A51" s="80">
        <v>2022</v>
      </c>
      <c r="B51" s="81">
        <f t="shared" si="7"/>
        <v>21254</v>
      </c>
      <c r="C51" s="82">
        <f t="shared" si="6"/>
        <v>20</v>
      </c>
      <c r="D51" s="69"/>
      <c r="E51" s="69"/>
      <c r="F51" s="69"/>
      <c r="G51" s="69"/>
      <c r="H51" s="69"/>
      <c r="I51" s="70">
        <f t="shared" si="4"/>
        <v>21254</v>
      </c>
    </row>
    <row r="52" spans="1:11" ht="15" customHeight="1">
      <c r="A52" s="80">
        <v>2023</v>
      </c>
      <c r="B52" s="81">
        <f t="shared" si="7"/>
        <v>21263</v>
      </c>
      <c r="C52" s="82">
        <f t="shared" si="6"/>
        <v>21</v>
      </c>
      <c r="D52" s="69"/>
      <c r="E52" s="69"/>
      <c r="F52" s="69"/>
      <c r="G52" s="69"/>
      <c r="H52" s="69"/>
      <c r="I52" s="70">
        <f t="shared" si="4"/>
        <v>21263.085714285713</v>
      </c>
    </row>
    <row r="53" spans="1:11" ht="15" customHeight="1">
      <c r="A53" s="80">
        <v>2024</v>
      </c>
      <c r="B53" s="81">
        <f t="shared" si="7"/>
        <v>21272</v>
      </c>
      <c r="C53" s="67">
        <f t="shared" si="6"/>
        <v>22</v>
      </c>
      <c r="D53" s="69"/>
      <c r="E53" s="69"/>
      <c r="F53" s="69"/>
      <c r="G53" s="69"/>
      <c r="H53" s="69"/>
      <c r="I53" s="70">
        <f t="shared" si="4"/>
        <v>21272.17142857143</v>
      </c>
    </row>
    <row r="54" spans="1:11" ht="15" customHeight="1">
      <c r="A54" s="191">
        <v>2025</v>
      </c>
      <c r="B54" s="192">
        <f t="shared" si="7"/>
        <v>21281</v>
      </c>
      <c r="C54" s="193">
        <f t="shared" si="6"/>
        <v>23</v>
      </c>
      <c r="D54" s="195"/>
      <c r="E54" s="195"/>
      <c r="F54" s="195"/>
      <c r="G54" s="195"/>
      <c r="H54" s="195"/>
      <c r="I54" s="197">
        <f t="shared" si="4"/>
        <v>21281.257142857143</v>
      </c>
    </row>
    <row r="55" spans="1:11" ht="15" customHeight="1">
      <c r="A55" s="56" t="s">
        <v>79</v>
      </c>
      <c r="B55" s="57"/>
    </row>
    <row r="56" spans="1:11" ht="15" customHeight="1">
      <c r="A56" s="58" t="s">
        <v>32</v>
      </c>
      <c r="B56" s="59" t="s">
        <v>40</v>
      </c>
      <c r="C56" s="59" t="s">
        <v>34</v>
      </c>
      <c r="D56" s="59" t="s">
        <v>33</v>
      </c>
      <c r="E56" s="103"/>
      <c r="F56" s="60"/>
      <c r="G56" s="61"/>
      <c r="H56" s="63" t="s">
        <v>292</v>
      </c>
      <c r="I56" s="64">
        <f>RSQ(I58:I63,B58:B63)</f>
        <v>6.9059543845300438E-3</v>
      </c>
    </row>
    <row r="57" spans="1:11" ht="15" customHeight="1">
      <c r="A57" s="65">
        <v>2002</v>
      </c>
      <c r="B57" s="104">
        <f t="shared" ref="B57:B62" si="8">B5</f>
        <v>20963</v>
      </c>
      <c r="C57" s="105">
        <f t="shared" ref="C57:C80" si="9">LN(B57)</f>
        <v>9.9505142579638832</v>
      </c>
      <c r="D57" s="67">
        <v>0</v>
      </c>
      <c r="E57" s="106"/>
      <c r="F57" s="53"/>
      <c r="G57" s="69"/>
      <c r="H57" s="265"/>
      <c r="I57" s="109">
        <f t="shared" ref="I57:I80" si="10">ROUND($F$59*(1+$F$58)^(D57),1)</f>
        <v>20963</v>
      </c>
    </row>
    <row r="58" spans="1:11" ht="15" customHeight="1">
      <c r="A58" s="65">
        <f t="shared" ref="A58:A63" si="11">A6</f>
        <v>2003</v>
      </c>
      <c r="B58" s="104">
        <f t="shared" si="8"/>
        <v>21131</v>
      </c>
      <c r="C58" s="105">
        <f t="shared" si="9"/>
        <v>9.9584964355669268</v>
      </c>
      <c r="D58" s="67">
        <f>+D57+1</f>
        <v>1</v>
      </c>
      <c r="E58" s="106" t="s">
        <v>37</v>
      </c>
      <c r="F58" s="73">
        <f>ROUND((B62/B57)^(1/D62)-1,5)</f>
        <v>2.3900000000000002E-3</v>
      </c>
      <c r="G58" s="107"/>
      <c r="H58" s="108"/>
      <c r="I58" s="109">
        <f t="shared" si="10"/>
        <v>21013.1</v>
      </c>
    </row>
    <row r="59" spans="1:11" ht="15" customHeight="1">
      <c r="A59" s="65">
        <f t="shared" si="11"/>
        <v>2004</v>
      </c>
      <c r="B59" s="104">
        <f t="shared" si="8"/>
        <v>21241</v>
      </c>
      <c r="C59" s="105">
        <f t="shared" si="9"/>
        <v>9.9636885552268843</v>
      </c>
      <c r="D59" s="67">
        <f t="shared" ref="D59:D80" si="12">D58+1</f>
        <v>2</v>
      </c>
      <c r="E59" s="106" t="s">
        <v>80</v>
      </c>
      <c r="F59" s="110">
        <f>B57</f>
        <v>20963</v>
      </c>
      <c r="G59" s="107"/>
      <c r="H59" s="108"/>
      <c r="I59" s="109">
        <f t="shared" si="10"/>
        <v>21063.3</v>
      </c>
      <c r="K59" s="111"/>
    </row>
    <row r="60" spans="1:11" ht="15" customHeight="1">
      <c r="A60" s="65">
        <f t="shared" si="11"/>
        <v>2005</v>
      </c>
      <c r="B60" s="104">
        <f t="shared" si="8"/>
        <v>21184</v>
      </c>
      <c r="C60" s="105">
        <f t="shared" si="9"/>
        <v>9.9610014587367353</v>
      </c>
      <c r="D60" s="67">
        <f t="shared" si="12"/>
        <v>3</v>
      </c>
      <c r="E60" s="106" t="s">
        <v>77</v>
      </c>
      <c r="F60" s="73">
        <f>I56</f>
        <v>6.9059543845300438E-3</v>
      </c>
      <c r="G60" s="108"/>
      <c r="H60" s="108"/>
      <c r="I60" s="109">
        <f t="shared" si="10"/>
        <v>21113.7</v>
      </c>
    </row>
    <row r="61" spans="1:11" ht="15" customHeight="1">
      <c r="A61" s="65">
        <f t="shared" si="11"/>
        <v>2006</v>
      </c>
      <c r="B61" s="104">
        <f t="shared" si="8"/>
        <v>20836</v>
      </c>
      <c r="C61" s="105">
        <f t="shared" si="9"/>
        <v>9.944437538865083</v>
      </c>
      <c r="D61" s="67">
        <f t="shared" si="12"/>
        <v>4</v>
      </c>
      <c r="E61" s="106"/>
      <c r="F61" s="73"/>
      <c r="G61" s="108"/>
      <c r="H61" s="108"/>
      <c r="I61" s="109">
        <f t="shared" si="10"/>
        <v>21164.1</v>
      </c>
    </row>
    <row r="62" spans="1:11" ht="15" customHeight="1" thickBot="1">
      <c r="A62" s="97">
        <f t="shared" si="11"/>
        <v>2007</v>
      </c>
      <c r="B62" s="116">
        <f t="shared" si="8"/>
        <v>21215</v>
      </c>
      <c r="C62" s="117">
        <f t="shared" si="9"/>
        <v>9.9624637576364261</v>
      </c>
      <c r="D62" s="99">
        <f t="shared" si="12"/>
        <v>5</v>
      </c>
      <c r="E62" s="205" t="s">
        <v>81</v>
      </c>
      <c r="F62" s="271"/>
      <c r="G62" s="118"/>
      <c r="H62" s="118"/>
      <c r="I62" s="120">
        <f t="shared" si="10"/>
        <v>21214.7</v>
      </c>
    </row>
    <row r="63" spans="1:11" ht="15" customHeight="1" thickTop="1">
      <c r="A63" s="255">
        <f t="shared" si="11"/>
        <v>2008</v>
      </c>
      <c r="B63" s="81">
        <f t="shared" ref="B63:B80" si="13">ROUND(F$59*(1+F$58)^D63,0)</f>
        <v>21265</v>
      </c>
      <c r="C63" s="121">
        <f t="shared" si="9"/>
        <v>9.9648178076877336</v>
      </c>
      <c r="D63" s="77">
        <f t="shared" si="12"/>
        <v>6</v>
      </c>
      <c r="E63" s="272"/>
      <c r="F63" s="273"/>
      <c r="G63" s="259"/>
      <c r="H63" s="259"/>
      <c r="I63" s="123">
        <f t="shared" si="10"/>
        <v>21265.4</v>
      </c>
    </row>
    <row r="64" spans="1:11" ht="15" customHeight="1">
      <c r="A64" s="80">
        <v>2009</v>
      </c>
      <c r="B64" s="81">
        <f t="shared" si="13"/>
        <v>21316</v>
      </c>
      <c r="C64" s="105">
        <f t="shared" si="9"/>
        <v>9.9672132434166727</v>
      </c>
      <c r="D64" s="67">
        <f t="shared" si="12"/>
        <v>7</v>
      </c>
      <c r="E64" s="83"/>
      <c r="F64" s="69"/>
      <c r="G64" s="69"/>
      <c r="H64" s="69"/>
      <c r="I64" s="109">
        <f t="shared" si="10"/>
        <v>21316.2</v>
      </c>
    </row>
    <row r="65" spans="1:9" ht="15" customHeight="1">
      <c r="A65" s="186">
        <v>2010</v>
      </c>
      <c r="B65" s="187">
        <f t="shared" si="13"/>
        <v>21367</v>
      </c>
      <c r="C65" s="198">
        <f t="shared" si="9"/>
        <v>9.9696029547429887</v>
      </c>
      <c r="D65" s="199">
        <f t="shared" si="12"/>
        <v>8</v>
      </c>
      <c r="E65" s="200"/>
      <c r="F65" s="189"/>
      <c r="G65" s="189"/>
      <c r="H65" s="189"/>
      <c r="I65" s="201">
        <f t="shared" si="10"/>
        <v>21367.200000000001</v>
      </c>
    </row>
    <row r="66" spans="1:9" ht="15" customHeight="1">
      <c r="A66" s="80">
        <v>2011</v>
      </c>
      <c r="B66" s="81">
        <f t="shared" si="13"/>
        <v>21418</v>
      </c>
      <c r="C66" s="105">
        <f t="shared" si="9"/>
        <v>9.9719869689608203</v>
      </c>
      <c r="D66" s="67">
        <f t="shared" si="12"/>
        <v>9</v>
      </c>
      <c r="E66" s="83"/>
      <c r="F66" s="69"/>
      <c r="G66" s="69"/>
      <c r="H66" s="69"/>
      <c r="I66" s="109">
        <f t="shared" si="10"/>
        <v>21418.2</v>
      </c>
    </row>
    <row r="67" spans="1:9" ht="15" customHeight="1">
      <c r="A67" s="80">
        <v>2012</v>
      </c>
      <c r="B67" s="81">
        <f t="shared" si="13"/>
        <v>21469</v>
      </c>
      <c r="C67" s="105">
        <f t="shared" si="9"/>
        <v>9.9743653131695655</v>
      </c>
      <c r="D67" s="67">
        <f t="shared" si="12"/>
        <v>10</v>
      </c>
      <c r="E67" s="83"/>
      <c r="F67" s="69"/>
      <c r="G67" s="69"/>
      <c r="H67" s="69"/>
      <c r="I67" s="109">
        <f t="shared" si="10"/>
        <v>21469.4</v>
      </c>
    </row>
    <row r="68" spans="1:9" ht="15" customHeight="1">
      <c r="A68" s="80">
        <v>2013</v>
      </c>
      <c r="B68" s="81">
        <f t="shared" si="13"/>
        <v>21521</v>
      </c>
      <c r="C68" s="105">
        <f t="shared" si="9"/>
        <v>9.9767844815975852</v>
      </c>
      <c r="D68" s="67">
        <f t="shared" si="12"/>
        <v>11</v>
      </c>
      <c r="E68" s="83"/>
      <c r="F68" s="69"/>
      <c r="G68" s="69"/>
      <c r="H68" s="69"/>
      <c r="I68" s="109">
        <f t="shared" si="10"/>
        <v>21520.799999999999</v>
      </c>
    </row>
    <row r="69" spans="1:9" ht="15" customHeight="1">
      <c r="A69" s="80">
        <v>2014</v>
      </c>
      <c r="B69" s="81">
        <f t="shared" si="13"/>
        <v>21572</v>
      </c>
      <c r="C69" s="105">
        <f t="shared" si="9"/>
        <v>9.9791514564571173</v>
      </c>
      <c r="D69" s="67">
        <f t="shared" si="12"/>
        <v>12</v>
      </c>
      <c r="E69" s="83"/>
      <c r="F69" s="69"/>
      <c r="G69" s="69"/>
      <c r="H69" s="69"/>
      <c r="I69" s="109">
        <f t="shared" si="10"/>
        <v>21572.2</v>
      </c>
    </row>
    <row r="70" spans="1:9" ht="15" customHeight="1">
      <c r="A70" s="186">
        <v>2015</v>
      </c>
      <c r="B70" s="187">
        <f t="shared" si="13"/>
        <v>21624</v>
      </c>
      <c r="C70" s="198">
        <f t="shared" si="9"/>
        <v>9.981559087956283</v>
      </c>
      <c r="D70" s="199">
        <f t="shared" si="12"/>
        <v>13</v>
      </c>
      <c r="E70" s="200"/>
      <c r="F70" s="189"/>
      <c r="G70" s="189"/>
      <c r="H70" s="189"/>
      <c r="I70" s="201">
        <f t="shared" si="10"/>
        <v>21623.7</v>
      </c>
    </row>
    <row r="71" spans="1:9" ht="15" customHeight="1">
      <c r="A71" s="80">
        <v>2016</v>
      </c>
      <c r="B71" s="81">
        <f t="shared" si="13"/>
        <v>21675</v>
      </c>
      <c r="C71" s="105">
        <f t="shared" si="9"/>
        <v>9.9839148016487425</v>
      </c>
      <c r="D71" s="67">
        <f t="shared" si="12"/>
        <v>14</v>
      </c>
      <c r="E71" s="83"/>
      <c r="F71" s="69"/>
      <c r="G71" s="69"/>
      <c r="H71" s="69"/>
      <c r="I71" s="109">
        <f t="shared" si="10"/>
        <v>21675.4</v>
      </c>
    </row>
    <row r="72" spans="1:9" ht="15" customHeight="1">
      <c r="A72" s="80">
        <v>2017</v>
      </c>
      <c r="B72" s="81">
        <f t="shared" si="13"/>
        <v>21727</v>
      </c>
      <c r="C72" s="105">
        <f t="shared" si="9"/>
        <v>9.9863110057352404</v>
      </c>
      <c r="D72" s="67">
        <f t="shared" si="12"/>
        <v>15</v>
      </c>
      <c r="E72" s="83"/>
      <c r="F72" s="69"/>
      <c r="G72" s="69"/>
      <c r="H72" s="69"/>
      <c r="I72" s="109">
        <f t="shared" si="10"/>
        <v>21727.200000000001</v>
      </c>
    </row>
    <row r="73" spans="1:9" ht="15" customHeight="1">
      <c r="A73" s="80">
        <v>2018</v>
      </c>
      <c r="B73" s="81">
        <f t="shared" si="13"/>
        <v>21779</v>
      </c>
      <c r="C73" s="105">
        <f t="shared" si="9"/>
        <v>9.9887014817506081</v>
      </c>
      <c r="D73" s="67">
        <f t="shared" si="12"/>
        <v>16</v>
      </c>
      <c r="E73" s="83"/>
      <c r="F73" s="69"/>
      <c r="G73" s="69"/>
      <c r="H73" s="69"/>
      <c r="I73" s="109">
        <f t="shared" si="10"/>
        <v>21779.200000000001</v>
      </c>
    </row>
    <row r="74" spans="1:9" ht="15" customHeight="1">
      <c r="A74" s="80">
        <v>2019</v>
      </c>
      <c r="B74" s="81">
        <f t="shared" si="13"/>
        <v>21831</v>
      </c>
      <c r="C74" s="105">
        <f t="shared" si="9"/>
        <v>9.9910862570151959</v>
      </c>
      <c r="D74" s="67">
        <f t="shared" si="12"/>
        <v>17</v>
      </c>
      <c r="E74" s="83"/>
      <c r="F74" s="69"/>
      <c r="G74" s="69"/>
      <c r="H74" s="69"/>
      <c r="I74" s="109">
        <f t="shared" si="10"/>
        <v>21831.200000000001</v>
      </c>
    </row>
    <row r="75" spans="1:9" ht="15" customHeight="1">
      <c r="A75" s="186">
        <v>2020</v>
      </c>
      <c r="B75" s="187">
        <f t="shared" si="13"/>
        <v>21883</v>
      </c>
      <c r="C75" s="198">
        <f t="shared" si="9"/>
        <v>9.99346535865436</v>
      </c>
      <c r="D75" s="199">
        <f t="shared" si="12"/>
        <v>18</v>
      </c>
      <c r="E75" s="200"/>
      <c r="F75" s="189"/>
      <c r="G75" s="189"/>
      <c r="H75" s="189"/>
      <c r="I75" s="201">
        <f t="shared" si="10"/>
        <v>21883.4</v>
      </c>
    </row>
    <row r="76" spans="1:9" ht="15" customHeight="1">
      <c r="A76" s="80">
        <v>2021</v>
      </c>
      <c r="B76" s="81">
        <f t="shared" si="13"/>
        <v>21936</v>
      </c>
      <c r="C76" s="105">
        <f t="shared" si="9"/>
        <v>9.9958844018020958</v>
      </c>
      <c r="D76" s="67">
        <f t="shared" si="12"/>
        <v>19</v>
      </c>
      <c r="E76" s="83"/>
      <c r="F76" s="69"/>
      <c r="G76" s="69"/>
      <c r="H76" s="69"/>
      <c r="I76" s="109">
        <f t="shared" si="10"/>
        <v>21935.7</v>
      </c>
    </row>
    <row r="77" spans="1:9" ht="15" customHeight="1">
      <c r="A77" s="80">
        <v>2022</v>
      </c>
      <c r="B77" s="81">
        <f t="shared" si="13"/>
        <v>21988</v>
      </c>
      <c r="C77" s="105">
        <f t="shared" si="9"/>
        <v>9.9982521289805515</v>
      </c>
      <c r="D77" s="67">
        <f t="shared" si="12"/>
        <v>20</v>
      </c>
      <c r="E77" s="83"/>
      <c r="F77" s="69"/>
      <c r="G77" s="69"/>
      <c r="H77" s="69"/>
      <c r="I77" s="109">
        <f t="shared" si="10"/>
        <v>21988.1</v>
      </c>
    </row>
    <row r="78" spans="1:9" ht="15" customHeight="1">
      <c r="A78" s="80">
        <v>2023</v>
      </c>
      <c r="B78" s="81">
        <f t="shared" si="13"/>
        <v>22041</v>
      </c>
      <c r="C78" s="105">
        <f t="shared" si="9"/>
        <v>10.000659634288388</v>
      </c>
      <c r="D78" s="67">
        <f t="shared" si="12"/>
        <v>21</v>
      </c>
      <c r="E78" s="83"/>
      <c r="F78" s="69"/>
      <c r="G78" s="69"/>
      <c r="H78" s="69"/>
      <c r="I78" s="109">
        <f t="shared" si="10"/>
        <v>22040.7</v>
      </c>
    </row>
    <row r="79" spans="1:9" ht="15" customHeight="1">
      <c r="A79" s="80">
        <v>2024</v>
      </c>
      <c r="B79" s="81">
        <f t="shared" si="13"/>
        <v>22093</v>
      </c>
      <c r="C79" s="105">
        <f t="shared" si="9"/>
        <v>10.003016095251029</v>
      </c>
      <c r="D79" s="67">
        <f t="shared" si="12"/>
        <v>22</v>
      </c>
      <c r="E79" s="69"/>
      <c r="F79" s="69"/>
      <c r="G79" s="69"/>
      <c r="H79" s="69"/>
      <c r="I79" s="109">
        <f t="shared" si="10"/>
        <v>22093.3</v>
      </c>
    </row>
    <row r="80" spans="1:9" ht="15" customHeight="1">
      <c r="A80" s="191">
        <v>2025</v>
      </c>
      <c r="B80" s="192">
        <f t="shared" si="13"/>
        <v>22146</v>
      </c>
      <c r="C80" s="202">
        <f t="shared" si="9"/>
        <v>10.005412172258053</v>
      </c>
      <c r="D80" s="193">
        <f t="shared" si="12"/>
        <v>23</v>
      </c>
      <c r="E80" s="195"/>
      <c r="F80" s="195"/>
      <c r="G80" s="195"/>
      <c r="H80" s="195"/>
      <c r="I80" s="203">
        <f t="shared" si="10"/>
        <v>22146.1</v>
      </c>
    </row>
    <row r="81" spans="1:9" ht="15" customHeight="1">
      <c r="A81" s="56" t="s">
        <v>82</v>
      </c>
      <c r="B81" s="57"/>
    </row>
    <row r="82" spans="1:9" ht="15" customHeight="1">
      <c r="A82" s="58" t="s">
        <v>32</v>
      </c>
      <c r="B82" s="59" t="s">
        <v>40</v>
      </c>
      <c r="C82" s="59" t="s">
        <v>83</v>
      </c>
      <c r="D82" s="59" t="s">
        <v>33</v>
      </c>
      <c r="E82" s="59" t="s">
        <v>35</v>
      </c>
      <c r="F82" s="103"/>
      <c r="G82" s="60"/>
      <c r="H82" s="63" t="s">
        <v>292</v>
      </c>
      <c r="I82" s="64" t="e">
        <f>RSQ(I83:I88,B83:B88)</f>
        <v>#VALUE!</v>
      </c>
    </row>
    <row r="83" spans="1:9" ht="15" customHeight="1">
      <c r="A83" s="65">
        <v>2002</v>
      </c>
      <c r="B83" s="104">
        <f t="shared" ref="B83:B88" si="14">B5</f>
        <v>20963</v>
      </c>
      <c r="C83" s="67"/>
      <c r="D83" s="67">
        <v>0</v>
      </c>
      <c r="E83" s="67"/>
      <c r="F83" s="106"/>
      <c r="G83" s="53"/>
      <c r="H83" s="265"/>
      <c r="I83" s="277" t="e">
        <f>$B$83+$G$88*D83^$G$84</f>
        <v>#VALUE!</v>
      </c>
    </row>
    <row r="84" spans="1:9" ht="15" customHeight="1">
      <c r="A84" s="65">
        <f t="shared" ref="A84:A89" si="15">A6</f>
        <v>2003</v>
      </c>
      <c r="B84" s="104">
        <f t="shared" si="14"/>
        <v>21131</v>
      </c>
      <c r="C84" s="126">
        <f>LN(-B$83+B84)</f>
        <v>5.1239639794032588</v>
      </c>
      <c r="D84" s="67">
        <f>+D83+1</f>
        <v>1</v>
      </c>
      <c r="E84" s="67">
        <f>LN(D84)</f>
        <v>0</v>
      </c>
      <c r="F84" s="106" t="s">
        <v>75</v>
      </c>
      <c r="G84" s="73" t="e">
        <f>INDEX(LINEST(C84:C88,E84:E88),1)</f>
        <v>#VALUE!</v>
      </c>
      <c r="H84" s="127"/>
      <c r="I84" s="278" t="e">
        <f>$B$83+$G$88*D84^$G$84</f>
        <v>#VALUE!</v>
      </c>
    </row>
    <row r="85" spans="1:9" ht="15" customHeight="1">
      <c r="A85" s="65">
        <f t="shared" si="15"/>
        <v>2004</v>
      </c>
      <c r="B85" s="104">
        <f t="shared" si="14"/>
        <v>21241</v>
      </c>
      <c r="C85" s="126">
        <f>LN(-B$83+B85)</f>
        <v>5.6276211136906369</v>
      </c>
      <c r="D85" s="67">
        <f t="shared" ref="D85:D106" si="16">D84+1</f>
        <v>2</v>
      </c>
      <c r="E85" s="67">
        <f>LN(D85)</f>
        <v>0.69314718055994529</v>
      </c>
      <c r="F85" s="106" t="s">
        <v>76</v>
      </c>
      <c r="G85" s="73" t="e">
        <f>INDEX(LINEST(C84:C88,E84:E88),2)</f>
        <v>#VALUE!</v>
      </c>
      <c r="H85" s="129" t="s">
        <v>293</v>
      </c>
      <c r="I85" s="128" t="e">
        <f t="shared" ref="I85:I106" si="17">$B$84+$G$88*D85^$G$84</f>
        <v>#VALUE!</v>
      </c>
    </row>
    <row r="86" spans="1:9" ht="15" customHeight="1">
      <c r="A86" s="65">
        <f t="shared" si="15"/>
        <v>2005</v>
      </c>
      <c r="B86" s="104">
        <f t="shared" si="14"/>
        <v>21184</v>
      </c>
      <c r="C86" s="126">
        <f>LN(-B$83+B86)</f>
        <v>5.3981627015177525</v>
      </c>
      <c r="D86" s="67">
        <f t="shared" si="16"/>
        <v>3</v>
      </c>
      <c r="E86" s="67">
        <f>LN(D86)</f>
        <v>1.0986122886681098</v>
      </c>
      <c r="F86" s="69"/>
      <c r="G86" s="130"/>
      <c r="H86" s="127"/>
      <c r="I86" s="128" t="e">
        <f t="shared" si="17"/>
        <v>#VALUE!</v>
      </c>
    </row>
    <row r="87" spans="1:9" ht="15" customHeight="1">
      <c r="A87" s="65">
        <f t="shared" si="15"/>
        <v>2006</v>
      </c>
      <c r="B87" s="104">
        <f t="shared" si="14"/>
        <v>20836</v>
      </c>
      <c r="C87" s="126" t="e">
        <f>LN(-B$83+B87)</f>
        <v>#NUM!</v>
      </c>
      <c r="D87" s="67">
        <f t="shared" si="16"/>
        <v>4</v>
      </c>
      <c r="E87" s="67">
        <f>LN(D87)</f>
        <v>1.3862943611198906</v>
      </c>
      <c r="F87" s="106" t="s">
        <v>77</v>
      </c>
      <c r="G87" s="73" t="e">
        <f>I82</f>
        <v>#VALUE!</v>
      </c>
      <c r="H87" s="127"/>
      <c r="I87" s="128" t="e">
        <f t="shared" si="17"/>
        <v>#VALUE!</v>
      </c>
    </row>
    <row r="88" spans="1:9" ht="15" customHeight="1" thickBot="1">
      <c r="A88" s="97">
        <f t="shared" si="15"/>
        <v>2007</v>
      </c>
      <c r="B88" s="116">
        <f t="shared" si="14"/>
        <v>21215</v>
      </c>
      <c r="C88" s="141">
        <f>LN(-B$83+B88)</f>
        <v>5.5294290875114234</v>
      </c>
      <c r="D88" s="99">
        <f t="shared" si="16"/>
        <v>5</v>
      </c>
      <c r="E88" s="99">
        <f>LN(D88)</f>
        <v>1.6094379124341003</v>
      </c>
      <c r="F88" s="205" t="s">
        <v>38</v>
      </c>
      <c r="G88" s="274" t="e">
        <f>EXP(G85)</f>
        <v>#VALUE!</v>
      </c>
      <c r="H88" s="143"/>
      <c r="I88" s="144" t="e">
        <f t="shared" si="17"/>
        <v>#VALUE!</v>
      </c>
    </row>
    <row r="89" spans="1:9" ht="15" customHeight="1" thickTop="1">
      <c r="A89" s="255">
        <f t="shared" si="15"/>
        <v>2008</v>
      </c>
      <c r="B89" s="81" t="e">
        <f>ROUND(LOOKUP(0,D$83:D$88,B$83:B$88)+G$88*D89^G$84,0)</f>
        <v>#VALUE!</v>
      </c>
      <c r="C89" s="257"/>
      <c r="D89" s="77">
        <f t="shared" si="16"/>
        <v>6</v>
      </c>
      <c r="E89" s="77"/>
      <c r="F89" s="275"/>
      <c r="G89" s="256"/>
      <c r="H89" s="258"/>
      <c r="I89" s="133" t="e">
        <f t="shared" si="17"/>
        <v>#VALUE!</v>
      </c>
    </row>
    <row r="90" spans="1:9" ht="15" customHeight="1">
      <c r="A90" s="80">
        <v>2009</v>
      </c>
      <c r="B90" s="81" t="e">
        <f t="shared" ref="B90:B106" si="18">ROUND(LOOKUP(0,D$83:D$88,B$83:B$88)+G$88*D90^G$84,0)</f>
        <v>#VALUE!</v>
      </c>
      <c r="C90" s="126"/>
      <c r="D90" s="67">
        <f t="shared" si="16"/>
        <v>7</v>
      </c>
      <c r="E90" s="67"/>
      <c r="F90" s="83"/>
      <c r="G90" s="69"/>
      <c r="H90" s="84"/>
      <c r="I90" s="128" t="e">
        <f t="shared" si="17"/>
        <v>#VALUE!</v>
      </c>
    </row>
    <row r="91" spans="1:9" ht="15" customHeight="1">
      <c r="A91" s="80">
        <v>2010</v>
      </c>
      <c r="B91" s="81" t="e">
        <f t="shared" si="18"/>
        <v>#VALUE!</v>
      </c>
      <c r="C91" s="126"/>
      <c r="D91" s="67">
        <f t="shared" si="16"/>
        <v>8</v>
      </c>
      <c r="E91" s="67"/>
      <c r="F91" s="83"/>
      <c r="G91" s="69"/>
      <c r="H91" s="84"/>
      <c r="I91" s="128" t="e">
        <f t="shared" si="17"/>
        <v>#VALUE!</v>
      </c>
    </row>
    <row r="92" spans="1:9" ht="15" customHeight="1">
      <c r="A92" s="80">
        <v>2011</v>
      </c>
      <c r="B92" s="81" t="e">
        <f t="shared" si="18"/>
        <v>#VALUE!</v>
      </c>
      <c r="C92" s="126"/>
      <c r="D92" s="67">
        <f t="shared" si="16"/>
        <v>9</v>
      </c>
      <c r="E92" s="67"/>
      <c r="F92" s="83"/>
      <c r="G92" s="69"/>
      <c r="H92" s="84"/>
      <c r="I92" s="128" t="e">
        <f t="shared" si="17"/>
        <v>#VALUE!</v>
      </c>
    </row>
    <row r="93" spans="1:9" ht="15" customHeight="1">
      <c r="A93" s="80">
        <v>2012</v>
      </c>
      <c r="B93" s="81" t="e">
        <f t="shared" si="18"/>
        <v>#VALUE!</v>
      </c>
      <c r="C93" s="126"/>
      <c r="D93" s="67">
        <f t="shared" si="16"/>
        <v>10</v>
      </c>
      <c r="E93" s="67"/>
      <c r="F93" s="83"/>
      <c r="G93" s="69"/>
      <c r="H93" s="84"/>
      <c r="I93" s="128" t="e">
        <f t="shared" si="17"/>
        <v>#VALUE!</v>
      </c>
    </row>
    <row r="94" spans="1:9" ht="15" customHeight="1">
      <c r="A94" s="80">
        <v>2013</v>
      </c>
      <c r="B94" s="81" t="e">
        <f t="shared" si="18"/>
        <v>#VALUE!</v>
      </c>
      <c r="C94" s="126"/>
      <c r="D94" s="67">
        <f t="shared" si="16"/>
        <v>11</v>
      </c>
      <c r="E94" s="67"/>
      <c r="F94" s="83"/>
      <c r="G94" s="69"/>
      <c r="H94" s="84"/>
      <c r="I94" s="128" t="e">
        <f t="shared" si="17"/>
        <v>#VALUE!</v>
      </c>
    </row>
    <row r="95" spans="1:9" ht="15" customHeight="1">
      <c r="A95" s="80">
        <v>2014</v>
      </c>
      <c r="B95" s="81" t="e">
        <f t="shared" si="18"/>
        <v>#VALUE!</v>
      </c>
      <c r="C95" s="126"/>
      <c r="D95" s="67">
        <f t="shared" si="16"/>
        <v>12</v>
      </c>
      <c r="E95" s="67"/>
      <c r="F95" s="83"/>
      <c r="G95" s="69"/>
      <c r="H95" s="84"/>
      <c r="I95" s="128" t="e">
        <f t="shared" si="17"/>
        <v>#VALUE!</v>
      </c>
    </row>
    <row r="96" spans="1:9" ht="15" customHeight="1">
      <c r="A96" s="80">
        <v>2015</v>
      </c>
      <c r="B96" s="81" t="e">
        <f t="shared" si="18"/>
        <v>#VALUE!</v>
      </c>
      <c r="C96" s="126"/>
      <c r="D96" s="67">
        <f t="shared" si="16"/>
        <v>13</v>
      </c>
      <c r="E96" s="67"/>
      <c r="F96" s="83"/>
      <c r="G96" s="69"/>
      <c r="H96" s="84"/>
      <c r="I96" s="128" t="e">
        <f t="shared" si="17"/>
        <v>#VALUE!</v>
      </c>
    </row>
    <row r="97" spans="1:9" ht="15" customHeight="1">
      <c r="A97" s="80">
        <v>2016</v>
      </c>
      <c r="B97" s="81" t="e">
        <f t="shared" si="18"/>
        <v>#VALUE!</v>
      </c>
      <c r="C97" s="126"/>
      <c r="D97" s="67">
        <f t="shared" si="16"/>
        <v>14</v>
      </c>
      <c r="E97" s="67"/>
      <c r="F97" s="83"/>
      <c r="G97" s="69"/>
      <c r="H97" s="84"/>
      <c r="I97" s="128" t="e">
        <f t="shared" si="17"/>
        <v>#VALUE!</v>
      </c>
    </row>
    <row r="98" spans="1:9" ht="15" customHeight="1">
      <c r="A98" s="80">
        <v>2017</v>
      </c>
      <c r="B98" s="81" t="e">
        <f t="shared" si="18"/>
        <v>#VALUE!</v>
      </c>
      <c r="C98" s="126"/>
      <c r="D98" s="67">
        <f t="shared" si="16"/>
        <v>15</v>
      </c>
      <c r="E98" s="67"/>
      <c r="F98" s="83"/>
      <c r="G98" s="69"/>
      <c r="H98" s="84"/>
      <c r="I98" s="128" t="e">
        <f t="shared" si="17"/>
        <v>#VALUE!</v>
      </c>
    </row>
    <row r="99" spans="1:9" ht="15" customHeight="1">
      <c r="A99" s="80">
        <v>2018</v>
      </c>
      <c r="B99" s="81" t="e">
        <f t="shared" si="18"/>
        <v>#VALUE!</v>
      </c>
      <c r="C99" s="126"/>
      <c r="D99" s="67">
        <f t="shared" si="16"/>
        <v>16</v>
      </c>
      <c r="E99" s="67"/>
      <c r="F99" s="83"/>
      <c r="G99" s="69"/>
      <c r="H99" s="84"/>
      <c r="I99" s="128" t="e">
        <f t="shared" si="17"/>
        <v>#VALUE!</v>
      </c>
    </row>
    <row r="100" spans="1:9" ht="15" customHeight="1">
      <c r="A100" s="80">
        <v>2019</v>
      </c>
      <c r="B100" s="81" t="e">
        <f t="shared" si="18"/>
        <v>#VALUE!</v>
      </c>
      <c r="C100" s="126"/>
      <c r="D100" s="67">
        <f t="shared" si="16"/>
        <v>17</v>
      </c>
      <c r="E100" s="67"/>
      <c r="F100" s="83"/>
      <c r="G100" s="69"/>
      <c r="H100" s="84"/>
      <c r="I100" s="128" t="e">
        <f t="shared" si="17"/>
        <v>#VALUE!</v>
      </c>
    </row>
    <row r="101" spans="1:9" ht="15" customHeight="1">
      <c r="A101" s="80">
        <v>2020</v>
      </c>
      <c r="B101" s="81" t="e">
        <f t="shared" si="18"/>
        <v>#VALUE!</v>
      </c>
      <c r="C101" s="126"/>
      <c r="D101" s="67">
        <f t="shared" si="16"/>
        <v>18</v>
      </c>
      <c r="E101" s="67"/>
      <c r="F101" s="83"/>
      <c r="G101" s="69"/>
      <c r="H101" s="84"/>
      <c r="I101" s="128" t="e">
        <f t="shared" si="17"/>
        <v>#VALUE!</v>
      </c>
    </row>
    <row r="102" spans="1:9" ht="15" customHeight="1">
      <c r="A102" s="80">
        <v>2021</v>
      </c>
      <c r="B102" s="81" t="e">
        <f t="shared" si="18"/>
        <v>#VALUE!</v>
      </c>
      <c r="C102" s="126"/>
      <c r="D102" s="67">
        <f t="shared" si="16"/>
        <v>19</v>
      </c>
      <c r="E102" s="67"/>
      <c r="F102" s="83"/>
      <c r="G102" s="69"/>
      <c r="H102" s="84"/>
      <c r="I102" s="128" t="e">
        <f t="shared" si="17"/>
        <v>#VALUE!</v>
      </c>
    </row>
    <row r="103" spans="1:9" ht="15" customHeight="1">
      <c r="A103" s="80">
        <v>2022</v>
      </c>
      <c r="B103" s="81" t="e">
        <f t="shared" si="18"/>
        <v>#VALUE!</v>
      </c>
      <c r="C103" s="126"/>
      <c r="D103" s="67">
        <f t="shared" si="16"/>
        <v>20</v>
      </c>
      <c r="E103" s="67"/>
      <c r="F103" s="83"/>
      <c r="G103" s="69"/>
      <c r="H103" s="84"/>
      <c r="I103" s="128" t="e">
        <f t="shared" si="17"/>
        <v>#VALUE!</v>
      </c>
    </row>
    <row r="104" spans="1:9" ht="15" customHeight="1">
      <c r="A104" s="80">
        <v>2023</v>
      </c>
      <c r="B104" s="81" t="e">
        <f t="shared" si="18"/>
        <v>#VALUE!</v>
      </c>
      <c r="C104" s="126"/>
      <c r="D104" s="67">
        <f t="shared" si="16"/>
        <v>21</v>
      </c>
      <c r="E104" s="67"/>
      <c r="F104" s="83"/>
      <c r="G104" s="69"/>
      <c r="H104" s="84"/>
      <c r="I104" s="128" t="e">
        <f t="shared" si="17"/>
        <v>#VALUE!</v>
      </c>
    </row>
    <row r="105" spans="1:9" ht="15" customHeight="1">
      <c r="A105" s="80">
        <v>2024</v>
      </c>
      <c r="B105" s="81" t="e">
        <f t="shared" si="18"/>
        <v>#VALUE!</v>
      </c>
      <c r="C105" s="126"/>
      <c r="D105" s="67">
        <f t="shared" si="16"/>
        <v>22</v>
      </c>
      <c r="E105" s="67"/>
      <c r="F105" s="69"/>
      <c r="G105" s="69"/>
      <c r="H105" s="69"/>
      <c r="I105" s="136" t="e">
        <f t="shared" si="17"/>
        <v>#VALUE!</v>
      </c>
    </row>
    <row r="106" spans="1:9" ht="15" customHeight="1">
      <c r="A106" s="85">
        <v>2025</v>
      </c>
      <c r="B106" s="81" t="e">
        <f t="shared" si="18"/>
        <v>#VALUE!</v>
      </c>
      <c r="C106" s="204"/>
      <c r="D106" s="87">
        <f t="shared" si="16"/>
        <v>23</v>
      </c>
      <c r="E106" s="87"/>
      <c r="F106" s="89"/>
      <c r="G106" s="89"/>
      <c r="H106" s="89"/>
      <c r="I106" s="138" t="e">
        <f t="shared" si="17"/>
        <v>#VALUE!</v>
      </c>
    </row>
    <row r="107" spans="1:9" ht="15" customHeight="1">
      <c r="A107" s="56" t="s">
        <v>87</v>
      </c>
      <c r="B107" s="57"/>
    </row>
    <row r="108" spans="1:9" ht="15" customHeight="1">
      <c r="A108" s="58" t="s">
        <v>32</v>
      </c>
      <c r="B108" s="59" t="s">
        <v>40</v>
      </c>
      <c r="C108" s="59" t="s">
        <v>36</v>
      </c>
      <c r="D108" s="59" t="s">
        <v>33</v>
      </c>
      <c r="E108" s="103"/>
      <c r="F108" s="60"/>
      <c r="G108" s="61"/>
      <c r="H108" s="63" t="s">
        <v>292</v>
      </c>
      <c r="I108" s="64">
        <f>RSQ(I109:I114,B109:B114)</f>
        <v>1.1160544351412335E-2</v>
      </c>
    </row>
    <row r="109" spans="1:9" ht="15" customHeight="1">
      <c r="A109" s="65">
        <v>2002</v>
      </c>
      <c r="B109" s="104">
        <f t="shared" ref="B109:B114" si="19">+B5</f>
        <v>20963</v>
      </c>
      <c r="C109" s="126">
        <f t="shared" ref="C109:C114" si="20">LN(F$113/B109-1)</f>
        <v>2.6177286830661457E-2</v>
      </c>
      <c r="D109" s="67">
        <v>0</v>
      </c>
      <c r="E109" s="106"/>
      <c r="F109" s="53"/>
      <c r="G109" s="69"/>
      <c r="H109" s="265"/>
      <c r="I109" s="267">
        <f t="shared" ref="I109:I132" si="21">$F$113/(1+EXP($F$111+$F$110*D109))</f>
        <v>21072.282899664133</v>
      </c>
    </row>
    <row r="110" spans="1:9" ht="15" customHeight="1">
      <c r="A110" s="65">
        <f t="shared" ref="A110:A115" si="22">A6</f>
        <v>2003</v>
      </c>
      <c r="B110" s="104">
        <f t="shared" si="19"/>
        <v>21131</v>
      </c>
      <c r="C110" s="126">
        <f t="shared" si="20"/>
        <v>1.0357420400453442E-2</v>
      </c>
      <c r="D110" s="67">
        <f>+D109+1</f>
        <v>1</v>
      </c>
      <c r="E110" s="106" t="s">
        <v>75</v>
      </c>
      <c r="F110" s="139">
        <f>INDEX(LINEST(C109:C114,D109:D114),1)</f>
        <v>-8.5531311750098216E-4</v>
      </c>
      <c r="G110" s="140" t="s">
        <v>88</v>
      </c>
      <c r="H110" s="127"/>
      <c r="I110" s="128">
        <f t="shared" si="21"/>
        <v>21081.366209819127</v>
      </c>
    </row>
    <row r="111" spans="1:9" ht="15" customHeight="1">
      <c r="A111" s="65">
        <f t="shared" si="22"/>
        <v>2004</v>
      </c>
      <c r="B111" s="104">
        <f t="shared" si="19"/>
        <v>21241</v>
      </c>
      <c r="C111" s="126">
        <f t="shared" si="20"/>
        <v>0</v>
      </c>
      <c r="D111" s="67">
        <f t="shared" ref="D111:D132" si="23">D110+1</f>
        <v>2</v>
      </c>
      <c r="E111" s="106" t="s">
        <v>76</v>
      </c>
      <c r="F111" s="139">
        <f>INDEX(LINEST(C109:C114,D109:D114),2)</f>
        <v>1.5886318784822617E-2</v>
      </c>
      <c r="G111" s="69"/>
      <c r="H111" s="127"/>
      <c r="I111" s="128">
        <f t="shared" si="21"/>
        <v>21090.449578361709</v>
      </c>
    </row>
    <row r="112" spans="1:9" ht="15" customHeight="1">
      <c r="A112" s="65">
        <f t="shared" si="22"/>
        <v>2005</v>
      </c>
      <c r="B112" s="104">
        <f t="shared" si="19"/>
        <v>21184</v>
      </c>
      <c r="C112" s="126">
        <f t="shared" si="20"/>
        <v>5.3669918385944688E-3</v>
      </c>
      <c r="D112" s="67">
        <f t="shared" si="23"/>
        <v>3</v>
      </c>
      <c r="E112" s="106" t="s">
        <v>77</v>
      </c>
      <c r="F112" s="73">
        <f>I108</f>
        <v>1.1160544351412335E-2</v>
      </c>
      <c r="G112" s="69"/>
      <c r="H112" s="127"/>
      <c r="I112" s="128">
        <f t="shared" si="21"/>
        <v>21099.533001969889</v>
      </c>
    </row>
    <row r="113" spans="1:9" ht="15" customHeight="1">
      <c r="A113" s="65">
        <f t="shared" si="22"/>
        <v>2006</v>
      </c>
      <c r="B113" s="104">
        <f t="shared" si="19"/>
        <v>20836</v>
      </c>
      <c r="C113" s="126">
        <f t="shared" si="20"/>
        <v>3.8138419990009602E-2</v>
      </c>
      <c r="D113" s="67">
        <f t="shared" si="23"/>
        <v>4</v>
      </c>
      <c r="E113" s="106" t="s">
        <v>39</v>
      </c>
      <c r="F113" s="110">
        <f>MAX(B109:B114)*2</f>
        <v>42482</v>
      </c>
      <c r="G113" s="69"/>
      <c r="H113" s="127"/>
      <c r="I113" s="128">
        <f t="shared" si="21"/>
        <v>21108.616477321597</v>
      </c>
    </row>
    <row r="114" spans="1:9" ht="15" customHeight="1" thickBot="1">
      <c r="A114" s="97">
        <f t="shared" si="22"/>
        <v>2007</v>
      </c>
      <c r="B114" s="116">
        <f t="shared" si="19"/>
        <v>21215</v>
      </c>
      <c r="C114" s="141">
        <f t="shared" si="20"/>
        <v>2.4480968867019973E-3</v>
      </c>
      <c r="D114" s="99">
        <f t="shared" si="23"/>
        <v>5</v>
      </c>
      <c r="E114" s="205"/>
      <c r="F114" s="101"/>
      <c r="G114" s="100"/>
      <c r="H114" s="143"/>
      <c r="I114" s="144">
        <f t="shared" si="21"/>
        <v>21117.700001094709</v>
      </c>
    </row>
    <row r="115" spans="1:9" ht="15" customHeight="1" thickTop="1">
      <c r="A115" s="255">
        <f t="shared" si="22"/>
        <v>2008</v>
      </c>
      <c r="B115" s="81">
        <f>ROUND(F$113/(1+EXP(F$111+F$110*D115)),0)</f>
        <v>21127</v>
      </c>
      <c r="C115" s="257"/>
      <c r="D115" s="77">
        <f t="shared" si="23"/>
        <v>6</v>
      </c>
      <c r="E115" s="275"/>
      <c r="F115" s="256"/>
      <c r="G115" s="78"/>
      <c r="H115" s="258"/>
      <c r="I115" s="133">
        <f t="shared" si="21"/>
        <v>21126.783569966996</v>
      </c>
    </row>
    <row r="116" spans="1:9" ht="15" customHeight="1">
      <c r="A116" s="80">
        <v>2009</v>
      </c>
      <c r="B116" s="81">
        <f t="shared" ref="B116:B132" si="24">ROUND(F$113/(1+EXP(F$111+F$110*D116)),0)</f>
        <v>21136</v>
      </c>
      <c r="C116" s="134"/>
      <c r="D116" s="67">
        <f t="shared" si="23"/>
        <v>7</v>
      </c>
      <c r="E116" s="83"/>
      <c r="F116" s="69"/>
      <c r="G116" s="69"/>
      <c r="H116" s="84"/>
      <c r="I116" s="128">
        <f t="shared" si="21"/>
        <v>21135.867180616191</v>
      </c>
    </row>
    <row r="117" spans="1:9" ht="15" customHeight="1">
      <c r="A117" s="80">
        <v>2010</v>
      </c>
      <c r="B117" s="81">
        <f t="shared" si="24"/>
        <v>21145</v>
      </c>
      <c r="C117" s="134"/>
      <c r="D117" s="67">
        <f t="shared" si="23"/>
        <v>8</v>
      </c>
      <c r="E117" s="83"/>
      <c r="F117" s="69"/>
      <c r="G117" s="69"/>
      <c r="H117" s="84"/>
      <c r="I117" s="128">
        <f t="shared" si="21"/>
        <v>21144.950829719946</v>
      </c>
    </row>
    <row r="118" spans="1:9" ht="15" customHeight="1">
      <c r="A118" s="80">
        <v>2011</v>
      </c>
      <c r="B118" s="81">
        <f t="shared" si="24"/>
        <v>21154</v>
      </c>
      <c r="C118" s="134"/>
      <c r="D118" s="67">
        <f t="shared" si="23"/>
        <v>9</v>
      </c>
      <c r="E118" s="83"/>
      <c r="F118" s="69"/>
      <c r="G118" s="69"/>
      <c r="H118" s="84"/>
      <c r="I118" s="128">
        <f t="shared" si="21"/>
        <v>21154.034513955867</v>
      </c>
    </row>
    <row r="119" spans="1:9" ht="15" customHeight="1">
      <c r="A119" s="80">
        <v>2012</v>
      </c>
      <c r="B119" s="81">
        <f t="shared" si="24"/>
        <v>21163</v>
      </c>
      <c r="C119" s="134"/>
      <c r="D119" s="67">
        <f t="shared" si="23"/>
        <v>10</v>
      </c>
      <c r="E119" s="83"/>
      <c r="F119" s="69"/>
      <c r="G119" s="69"/>
      <c r="H119" s="84"/>
      <c r="I119" s="128">
        <f t="shared" si="21"/>
        <v>21163.11823000151</v>
      </c>
    </row>
    <row r="120" spans="1:9" ht="15" customHeight="1">
      <c r="A120" s="80">
        <v>2013</v>
      </c>
      <c r="B120" s="81">
        <f t="shared" si="24"/>
        <v>21172</v>
      </c>
      <c r="C120" s="134"/>
      <c r="D120" s="67">
        <f t="shared" si="23"/>
        <v>11</v>
      </c>
      <c r="E120" s="83"/>
      <c r="F120" s="69"/>
      <c r="G120" s="69"/>
      <c r="H120" s="84"/>
      <c r="I120" s="128">
        <f t="shared" si="21"/>
        <v>21172.201974534382</v>
      </c>
    </row>
    <row r="121" spans="1:9" ht="15" customHeight="1">
      <c r="A121" s="80">
        <v>2014</v>
      </c>
      <c r="B121" s="81">
        <f t="shared" si="24"/>
        <v>21181</v>
      </c>
      <c r="C121" s="134"/>
      <c r="D121" s="67">
        <f t="shared" si="23"/>
        <v>12</v>
      </c>
      <c r="E121" s="83"/>
      <c r="F121" s="69"/>
      <c r="G121" s="69"/>
      <c r="H121" s="84"/>
      <c r="I121" s="128">
        <f t="shared" si="21"/>
        <v>21181.285744231951</v>
      </c>
    </row>
    <row r="122" spans="1:9" ht="15" customHeight="1">
      <c r="A122" s="80">
        <v>2015</v>
      </c>
      <c r="B122" s="81">
        <f t="shared" si="24"/>
        <v>21190</v>
      </c>
      <c r="C122" s="134"/>
      <c r="D122" s="67">
        <f t="shared" si="23"/>
        <v>13</v>
      </c>
      <c r="E122" s="83"/>
      <c r="F122" s="69"/>
      <c r="G122" s="69"/>
      <c r="H122" s="84"/>
      <c r="I122" s="128">
        <f t="shared" si="21"/>
        <v>21190.369535771631</v>
      </c>
    </row>
    <row r="123" spans="1:9" ht="15" customHeight="1">
      <c r="A123" s="80">
        <v>2016</v>
      </c>
      <c r="B123" s="81">
        <f t="shared" si="24"/>
        <v>21199</v>
      </c>
      <c r="C123" s="134"/>
      <c r="D123" s="67">
        <f t="shared" si="23"/>
        <v>14</v>
      </c>
      <c r="E123" s="83"/>
      <c r="F123" s="69"/>
      <c r="G123" s="69"/>
      <c r="H123" s="84"/>
      <c r="I123" s="128">
        <f t="shared" si="21"/>
        <v>21199.45334583084</v>
      </c>
    </row>
    <row r="124" spans="1:9" ht="15" customHeight="1">
      <c r="A124" s="80">
        <v>2017</v>
      </c>
      <c r="B124" s="81">
        <f t="shared" si="24"/>
        <v>21209</v>
      </c>
      <c r="C124" s="134"/>
      <c r="D124" s="67">
        <f t="shared" si="23"/>
        <v>15</v>
      </c>
      <c r="E124" s="83"/>
      <c r="F124" s="69"/>
      <c r="G124" s="69"/>
      <c r="H124" s="84"/>
      <c r="I124" s="128">
        <f t="shared" si="21"/>
        <v>21208.537171086926</v>
      </c>
    </row>
    <row r="125" spans="1:9" ht="15" customHeight="1">
      <c r="A125" s="80">
        <v>2018</v>
      </c>
      <c r="B125" s="81">
        <f t="shared" si="24"/>
        <v>21218</v>
      </c>
      <c r="C125" s="134"/>
      <c r="D125" s="67">
        <f t="shared" si="23"/>
        <v>16</v>
      </c>
      <c r="E125" s="83"/>
      <c r="F125" s="69"/>
      <c r="G125" s="69"/>
      <c r="H125" s="84"/>
      <c r="I125" s="128">
        <f t="shared" si="21"/>
        <v>21217.621008217251</v>
      </c>
    </row>
    <row r="126" spans="1:9" ht="15" customHeight="1">
      <c r="A126" s="80">
        <v>2019</v>
      </c>
      <c r="B126" s="81">
        <f t="shared" si="24"/>
        <v>21227</v>
      </c>
      <c r="C126" s="134"/>
      <c r="D126" s="67">
        <f t="shared" si="23"/>
        <v>17</v>
      </c>
      <c r="E126" s="83"/>
      <c r="F126" s="69"/>
      <c r="G126" s="69"/>
      <c r="H126" s="84"/>
      <c r="I126" s="128">
        <f t="shared" si="21"/>
        <v>21226.704853899137</v>
      </c>
    </row>
    <row r="127" spans="1:9" ht="15" customHeight="1">
      <c r="A127" s="80">
        <v>2020</v>
      </c>
      <c r="B127" s="81">
        <f t="shared" si="24"/>
        <v>21236</v>
      </c>
      <c r="C127" s="134"/>
      <c r="D127" s="67">
        <f t="shared" si="23"/>
        <v>18</v>
      </c>
      <c r="E127" s="83"/>
      <c r="F127" s="69"/>
      <c r="G127" s="69"/>
      <c r="H127" s="84"/>
      <c r="I127" s="128">
        <f t="shared" si="21"/>
        <v>21235.788704809896</v>
      </c>
    </row>
    <row r="128" spans="1:9" ht="15" customHeight="1">
      <c r="A128" s="80">
        <v>2021</v>
      </c>
      <c r="B128" s="81">
        <f t="shared" si="24"/>
        <v>21245</v>
      </c>
      <c r="C128" s="134"/>
      <c r="D128" s="67">
        <f t="shared" si="23"/>
        <v>19</v>
      </c>
      <c r="E128" s="83"/>
      <c r="F128" s="69"/>
      <c r="G128" s="69"/>
      <c r="H128" s="84"/>
      <c r="I128" s="128">
        <f t="shared" si="21"/>
        <v>21244.872557626852</v>
      </c>
    </row>
    <row r="129" spans="1:10" ht="15" customHeight="1">
      <c r="A129" s="80">
        <v>2022</v>
      </c>
      <c r="B129" s="81">
        <f t="shared" si="24"/>
        <v>21254</v>
      </c>
      <c r="C129" s="134"/>
      <c r="D129" s="67">
        <f t="shared" si="23"/>
        <v>20</v>
      </c>
      <c r="E129" s="83"/>
      <c r="F129" s="69"/>
      <c r="G129" s="69"/>
      <c r="H129" s="84"/>
      <c r="I129" s="128">
        <f t="shared" si="21"/>
        <v>21253.956409027298</v>
      </c>
    </row>
    <row r="130" spans="1:10" ht="15" customHeight="1">
      <c r="A130" s="80">
        <v>2023</v>
      </c>
      <c r="B130" s="81">
        <f t="shared" si="24"/>
        <v>21263</v>
      </c>
      <c r="C130" s="134"/>
      <c r="D130" s="67">
        <f t="shared" si="23"/>
        <v>21</v>
      </c>
      <c r="E130" s="83"/>
      <c r="F130" s="69"/>
      <c r="G130" s="69"/>
      <c r="H130" s="84"/>
      <c r="I130" s="128">
        <f t="shared" si="21"/>
        <v>21263.040255688546</v>
      </c>
    </row>
    <row r="131" spans="1:10" ht="15" customHeight="1">
      <c r="A131" s="80">
        <v>2024</v>
      </c>
      <c r="B131" s="81">
        <f t="shared" si="24"/>
        <v>21272</v>
      </c>
      <c r="C131" s="135"/>
      <c r="D131" s="67">
        <f t="shared" si="23"/>
        <v>22</v>
      </c>
      <c r="E131" s="69"/>
      <c r="F131" s="69"/>
      <c r="G131" s="69"/>
      <c r="H131" s="69"/>
      <c r="I131" s="136">
        <f t="shared" si="21"/>
        <v>21272.124094287919</v>
      </c>
    </row>
    <row r="132" spans="1:10" ht="15" customHeight="1">
      <c r="A132" s="85">
        <v>2025</v>
      </c>
      <c r="B132" s="86">
        <f t="shared" si="24"/>
        <v>21281</v>
      </c>
      <c r="C132" s="137"/>
      <c r="D132" s="87">
        <f t="shared" si="23"/>
        <v>23</v>
      </c>
      <c r="E132" s="89"/>
      <c r="F132" s="89"/>
      <c r="G132" s="89"/>
      <c r="H132" s="89"/>
      <c r="I132" s="138">
        <f t="shared" si="21"/>
        <v>21281.207921502737</v>
      </c>
    </row>
    <row r="133" spans="1:10" ht="15" customHeight="1">
      <c r="A133" s="56" t="s">
        <v>298</v>
      </c>
      <c r="B133" s="57"/>
    </row>
    <row r="134" spans="1:10" ht="15" customHeight="1">
      <c r="A134" s="56"/>
      <c r="B134" s="57"/>
    </row>
    <row r="135" spans="1:10" ht="24">
      <c r="A135" s="145" t="s">
        <v>32</v>
      </c>
      <c r="B135" s="146" t="s">
        <v>91</v>
      </c>
      <c r="C135" s="147" t="s">
        <v>72</v>
      </c>
      <c r="D135" s="147" t="s">
        <v>92</v>
      </c>
      <c r="E135" s="147" t="s">
        <v>93</v>
      </c>
      <c r="F135" s="147" t="s">
        <v>94</v>
      </c>
      <c r="G135" s="147" t="s">
        <v>95</v>
      </c>
      <c r="H135" s="148" t="s">
        <v>96</v>
      </c>
      <c r="I135" s="149" t="s">
        <v>294</v>
      </c>
      <c r="J135" s="150" t="s">
        <v>295</v>
      </c>
    </row>
    <row r="136" spans="1:10" ht="20.100000000000001" customHeight="1">
      <c r="A136" s="65">
        <v>2008</v>
      </c>
      <c r="B136" s="151">
        <f t="shared" ref="B136:B153" si="25">B11</f>
        <v>21265</v>
      </c>
      <c r="C136" s="152">
        <f t="shared" ref="C136:C153" si="26">B37</f>
        <v>21127</v>
      </c>
      <c r="D136" s="152">
        <f t="shared" ref="D136:D153" si="27">B63</f>
        <v>21265</v>
      </c>
      <c r="E136" s="152"/>
      <c r="F136" s="152">
        <f t="shared" ref="F136:F153" si="28">B115</f>
        <v>21127</v>
      </c>
      <c r="G136" s="152">
        <f t="shared" ref="G136:G153" si="29">ROUND(AVERAGE(B136:F136),1)</f>
        <v>21196</v>
      </c>
      <c r="H136" s="152">
        <f t="shared" ref="H136:H153" si="30">ROUND((SUM(B136:F136)-MAX(B136:F136)-MIN(B136:F136))/(COUNT(B136:F136)-2),1)</f>
        <v>21196</v>
      </c>
      <c r="I136" s="153">
        <f t="shared" ref="I136:I153" si="31">ROUND(SUMIF(B$154:H$154,"○",B136:H136),0)</f>
        <v>21196</v>
      </c>
      <c r="J136" s="261"/>
    </row>
    <row r="137" spans="1:10" ht="20.100000000000001" customHeight="1">
      <c r="A137" s="80">
        <v>2009</v>
      </c>
      <c r="B137" s="151">
        <f t="shared" si="25"/>
        <v>21316</v>
      </c>
      <c r="C137" s="152">
        <f t="shared" si="26"/>
        <v>21136</v>
      </c>
      <c r="D137" s="152">
        <f t="shared" si="27"/>
        <v>21316</v>
      </c>
      <c r="E137" s="152"/>
      <c r="F137" s="152">
        <f t="shared" si="28"/>
        <v>21136</v>
      </c>
      <c r="G137" s="152">
        <f t="shared" si="29"/>
        <v>21226</v>
      </c>
      <c r="H137" s="152">
        <f t="shared" si="30"/>
        <v>21226</v>
      </c>
      <c r="I137" s="153">
        <f t="shared" si="31"/>
        <v>21226</v>
      </c>
      <c r="J137" s="154"/>
    </row>
    <row r="138" spans="1:10" ht="20.100000000000001" customHeight="1">
      <c r="A138" s="80">
        <v>2010</v>
      </c>
      <c r="B138" s="151">
        <f t="shared" si="25"/>
        <v>21366</v>
      </c>
      <c r="C138" s="152">
        <f t="shared" si="26"/>
        <v>21145</v>
      </c>
      <c r="D138" s="152">
        <f t="shared" si="27"/>
        <v>21367</v>
      </c>
      <c r="E138" s="152"/>
      <c r="F138" s="152">
        <f t="shared" si="28"/>
        <v>21145</v>
      </c>
      <c r="G138" s="152">
        <f t="shared" si="29"/>
        <v>21255.8</v>
      </c>
      <c r="H138" s="152">
        <f t="shared" si="30"/>
        <v>21255.5</v>
      </c>
      <c r="I138" s="153">
        <f t="shared" si="31"/>
        <v>21256</v>
      </c>
      <c r="J138" s="154"/>
    </row>
    <row r="139" spans="1:10" ht="20.100000000000001" customHeight="1">
      <c r="A139" s="80">
        <v>2011</v>
      </c>
      <c r="B139" s="151">
        <f t="shared" si="25"/>
        <v>21417</v>
      </c>
      <c r="C139" s="152">
        <f t="shared" si="26"/>
        <v>21154</v>
      </c>
      <c r="D139" s="152">
        <f t="shared" si="27"/>
        <v>21418</v>
      </c>
      <c r="E139" s="152"/>
      <c r="F139" s="152">
        <f t="shared" si="28"/>
        <v>21154</v>
      </c>
      <c r="G139" s="152">
        <f t="shared" si="29"/>
        <v>21285.8</v>
      </c>
      <c r="H139" s="152">
        <f t="shared" si="30"/>
        <v>21285.5</v>
      </c>
      <c r="I139" s="153">
        <f t="shared" si="31"/>
        <v>21286</v>
      </c>
      <c r="J139" s="154"/>
    </row>
    <row r="140" spans="1:10" ht="20.100000000000001" customHeight="1">
      <c r="A140" s="80">
        <v>2012</v>
      </c>
      <c r="B140" s="151">
        <f t="shared" si="25"/>
        <v>21467</v>
      </c>
      <c r="C140" s="152">
        <f t="shared" si="26"/>
        <v>21163</v>
      </c>
      <c r="D140" s="152">
        <f t="shared" si="27"/>
        <v>21469</v>
      </c>
      <c r="E140" s="152"/>
      <c r="F140" s="152">
        <f t="shared" si="28"/>
        <v>21163</v>
      </c>
      <c r="G140" s="152">
        <f t="shared" si="29"/>
        <v>21315.5</v>
      </c>
      <c r="H140" s="152">
        <f t="shared" si="30"/>
        <v>21315</v>
      </c>
      <c r="I140" s="153">
        <f t="shared" si="31"/>
        <v>21316</v>
      </c>
      <c r="J140" s="154"/>
    </row>
    <row r="141" spans="1:10" ht="20.100000000000001" customHeight="1">
      <c r="A141" s="80">
        <v>2013</v>
      </c>
      <c r="B141" s="151">
        <f t="shared" si="25"/>
        <v>21517</v>
      </c>
      <c r="C141" s="152">
        <f t="shared" si="26"/>
        <v>21172</v>
      </c>
      <c r="D141" s="152">
        <f t="shared" si="27"/>
        <v>21521</v>
      </c>
      <c r="E141" s="152"/>
      <c r="F141" s="152">
        <f t="shared" si="28"/>
        <v>21172</v>
      </c>
      <c r="G141" s="152">
        <f t="shared" si="29"/>
        <v>21345.5</v>
      </c>
      <c r="H141" s="152">
        <f t="shared" si="30"/>
        <v>21344.5</v>
      </c>
      <c r="I141" s="153">
        <f t="shared" si="31"/>
        <v>21346</v>
      </c>
      <c r="J141" s="154"/>
    </row>
    <row r="142" spans="1:10" ht="20.100000000000001" customHeight="1">
      <c r="A142" s="80">
        <v>2014</v>
      </c>
      <c r="B142" s="151">
        <f t="shared" si="25"/>
        <v>21568</v>
      </c>
      <c r="C142" s="152">
        <f t="shared" si="26"/>
        <v>21181</v>
      </c>
      <c r="D142" s="152">
        <f t="shared" si="27"/>
        <v>21572</v>
      </c>
      <c r="E142" s="152"/>
      <c r="F142" s="152">
        <f t="shared" si="28"/>
        <v>21181</v>
      </c>
      <c r="G142" s="152">
        <f t="shared" si="29"/>
        <v>21375.5</v>
      </c>
      <c r="H142" s="152">
        <f t="shared" si="30"/>
        <v>21374.5</v>
      </c>
      <c r="I142" s="153">
        <f t="shared" si="31"/>
        <v>21376</v>
      </c>
      <c r="J142" s="154"/>
    </row>
    <row r="143" spans="1:10" ht="20.100000000000001" customHeight="1">
      <c r="A143" s="80">
        <v>2015</v>
      </c>
      <c r="B143" s="151">
        <f t="shared" si="25"/>
        <v>21618</v>
      </c>
      <c r="C143" s="152">
        <f t="shared" si="26"/>
        <v>21190</v>
      </c>
      <c r="D143" s="152">
        <f t="shared" si="27"/>
        <v>21624</v>
      </c>
      <c r="E143" s="152"/>
      <c r="F143" s="152">
        <f t="shared" si="28"/>
        <v>21190</v>
      </c>
      <c r="G143" s="152">
        <f t="shared" si="29"/>
        <v>21405.5</v>
      </c>
      <c r="H143" s="152">
        <f t="shared" si="30"/>
        <v>21404</v>
      </c>
      <c r="I143" s="153">
        <f t="shared" si="31"/>
        <v>21406</v>
      </c>
      <c r="J143" s="154"/>
    </row>
    <row r="144" spans="1:10" ht="20.100000000000001" customHeight="1">
      <c r="A144" s="80">
        <v>2016</v>
      </c>
      <c r="B144" s="151">
        <f t="shared" si="25"/>
        <v>21669</v>
      </c>
      <c r="C144" s="152">
        <f t="shared" si="26"/>
        <v>21199</v>
      </c>
      <c r="D144" s="152">
        <f t="shared" si="27"/>
        <v>21675</v>
      </c>
      <c r="E144" s="152"/>
      <c r="F144" s="152">
        <f t="shared" si="28"/>
        <v>21199</v>
      </c>
      <c r="G144" s="152">
        <f t="shared" si="29"/>
        <v>21435.5</v>
      </c>
      <c r="H144" s="152">
        <f t="shared" si="30"/>
        <v>21434</v>
      </c>
      <c r="I144" s="153">
        <f t="shared" si="31"/>
        <v>21436</v>
      </c>
      <c r="J144" s="154"/>
    </row>
    <row r="145" spans="1:41" ht="20.100000000000001" customHeight="1">
      <c r="A145" s="80">
        <v>2017</v>
      </c>
      <c r="B145" s="151">
        <f t="shared" si="25"/>
        <v>21719</v>
      </c>
      <c r="C145" s="152">
        <f t="shared" si="26"/>
        <v>21209</v>
      </c>
      <c r="D145" s="152">
        <f t="shared" si="27"/>
        <v>21727</v>
      </c>
      <c r="E145" s="152"/>
      <c r="F145" s="152">
        <f t="shared" si="28"/>
        <v>21209</v>
      </c>
      <c r="G145" s="152">
        <f t="shared" si="29"/>
        <v>21466</v>
      </c>
      <c r="H145" s="152">
        <f t="shared" si="30"/>
        <v>21464</v>
      </c>
      <c r="I145" s="153">
        <f t="shared" si="31"/>
        <v>21466</v>
      </c>
      <c r="J145" s="154"/>
    </row>
    <row r="146" spans="1:41" ht="20.100000000000001" customHeight="1">
      <c r="A146" s="80">
        <v>2018</v>
      </c>
      <c r="B146" s="151">
        <f t="shared" si="25"/>
        <v>21769</v>
      </c>
      <c r="C146" s="152">
        <f t="shared" si="26"/>
        <v>21218</v>
      </c>
      <c r="D146" s="152">
        <f t="shared" si="27"/>
        <v>21779</v>
      </c>
      <c r="E146" s="152"/>
      <c r="F146" s="152">
        <f t="shared" si="28"/>
        <v>21218</v>
      </c>
      <c r="G146" s="152">
        <f t="shared" si="29"/>
        <v>21496</v>
      </c>
      <c r="H146" s="152">
        <f t="shared" si="30"/>
        <v>21493.5</v>
      </c>
      <c r="I146" s="153">
        <f t="shared" si="31"/>
        <v>21496</v>
      </c>
      <c r="J146" s="154"/>
    </row>
    <row r="147" spans="1:41" ht="20.100000000000001" customHeight="1">
      <c r="A147" s="80">
        <v>2019</v>
      </c>
      <c r="B147" s="151">
        <f t="shared" si="25"/>
        <v>21820</v>
      </c>
      <c r="C147" s="152">
        <f t="shared" si="26"/>
        <v>21227</v>
      </c>
      <c r="D147" s="152">
        <f t="shared" si="27"/>
        <v>21831</v>
      </c>
      <c r="E147" s="152"/>
      <c r="F147" s="152">
        <f t="shared" si="28"/>
        <v>21227</v>
      </c>
      <c r="G147" s="152">
        <f t="shared" si="29"/>
        <v>21526.3</v>
      </c>
      <c r="H147" s="152">
        <f t="shared" si="30"/>
        <v>21523.5</v>
      </c>
      <c r="I147" s="153">
        <f t="shared" si="31"/>
        <v>21526</v>
      </c>
      <c r="J147" s="154"/>
    </row>
    <row r="148" spans="1:41" ht="20.100000000000001" customHeight="1">
      <c r="A148" s="80">
        <v>2020</v>
      </c>
      <c r="B148" s="151">
        <f t="shared" si="25"/>
        <v>21870</v>
      </c>
      <c r="C148" s="152">
        <f t="shared" si="26"/>
        <v>21236</v>
      </c>
      <c r="D148" s="152">
        <f t="shared" si="27"/>
        <v>21883</v>
      </c>
      <c r="E148" s="152"/>
      <c r="F148" s="152">
        <f t="shared" si="28"/>
        <v>21236</v>
      </c>
      <c r="G148" s="152">
        <f t="shared" si="29"/>
        <v>21556.3</v>
      </c>
      <c r="H148" s="152">
        <f t="shared" si="30"/>
        <v>21553</v>
      </c>
      <c r="I148" s="153">
        <f t="shared" si="31"/>
        <v>21556</v>
      </c>
      <c r="J148" s="154"/>
    </row>
    <row r="149" spans="1:41" ht="20.100000000000001" customHeight="1">
      <c r="A149" s="80">
        <v>2021</v>
      </c>
      <c r="B149" s="151">
        <f t="shared" si="25"/>
        <v>21921</v>
      </c>
      <c r="C149" s="152">
        <f t="shared" si="26"/>
        <v>21245</v>
      </c>
      <c r="D149" s="152">
        <f t="shared" si="27"/>
        <v>21936</v>
      </c>
      <c r="E149" s="152"/>
      <c r="F149" s="152">
        <f t="shared" si="28"/>
        <v>21245</v>
      </c>
      <c r="G149" s="152">
        <f t="shared" si="29"/>
        <v>21586.799999999999</v>
      </c>
      <c r="H149" s="152">
        <f t="shared" si="30"/>
        <v>21583</v>
      </c>
      <c r="I149" s="153">
        <f t="shared" si="31"/>
        <v>21587</v>
      </c>
      <c r="J149" s="154"/>
    </row>
    <row r="150" spans="1:41" ht="20.100000000000001" customHeight="1">
      <c r="A150" s="80">
        <v>2022</v>
      </c>
      <c r="B150" s="151">
        <f t="shared" si="25"/>
        <v>21971</v>
      </c>
      <c r="C150" s="152">
        <f t="shared" si="26"/>
        <v>21254</v>
      </c>
      <c r="D150" s="152">
        <f t="shared" si="27"/>
        <v>21988</v>
      </c>
      <c r="E150" s="152"/>
      <c r="F150" s="152">
        <f t="shared" si="28"/>
        <v>21254</v>
      </c>
      <c r="G150" s="152">
        <f t="shared" si="29"/>
        <v>21616.799999999999</v>
      </c>
      <c r="H150" s="152">
        <f t="shared" si="30"/>
        <v>21612.5</v>
      </c>
      <c r="I150" s="153">
        <f t="shared" si="31"/>
        <v>21617</v>
      </c>
      <c r="J150" s="154"/>
    </row>
    <row r="151" spans="1:41" ht="20.100000000000001" customHeight="1">
      <c r="A151" s="80">
        <v>2023</v>
      </c>
      <c r="B151" s="151">
        <f t="shared" si="25"/>
        <v>22021</v>
      </c>
      <c r="C151" s="152">
        <f t="shared" si="26"/>
        <v>21263</v>
      </c>
      <c r="D151" s="152">
        <f t="shared" si="27"/>
        <v>22041</v>
      </c>
      <c r="E151" s="152"/>
      <c r="F151" s="152">
        <f t="shared" si="28"/>
        <v>21263</v>
      </c>
      <c r="G151" s="152">
        <f t="shared" si="29"/>
        <v>21647</v>
      </c>
      <c r="H151" s="152">
        <f t="shared" si="30"/>
        <v>21642</v>
      </c>
      <c r="I151" s="153">
        <f t="shared" si="31"/>
        <v>21647</v>
      </c>
      <c r="J151" s="154"/>
      <c r="L151" s="55">
        <v>806200</v>
      </c>
    </row>
    <row r="152" spans="1:41" ht="20.100000000000001" customHeight="1">
      <c r="A152" s="80">
        <v>2024</v>
      </c>
      <c r="B152" s="151">
        <f t="shared" si="25"/>
        <v>22072</v>
      </c>
      <c r="C152" s="152">
        <f t="shared" si="26"/>
        <v>21272</v>
      </c>
      <c r="D152" s="152">
        <f t="shared" si="27"/>
        <v>22093</v>
      </c>
      <c r="E152" s="152"/>
      <c r="F152" s="152">
        <f t="shared" si="28"/>
        <v>21272</v>
      </c>
      <c r="G152" s="152">
        <f t="shared" si="29"/>
        <v>21677.3</v>
      </c>
      <c r="H152" s="152">
        <f t="shared" si="30"/>
        <v>21672</v>
      </c>
      <c r="I152" s="153">
        <f t="shared" si="31"/>
        <v>21677</v>
      </c>
      <c r="J152" s="154"/>
      <c r="K152" s="55">
        <v>51000</v>
      </c>
      <c r="L152" s="75">
        <f>+K152+E152</f>
        <v>51000</v>
      </c>
      <c r="M152" s="75"/>
    </row>
    <row r="153" spans="1:41" ht="20.100000000000001" customHeight="1">
      <c r="A153" s="80">
        <v>2025</v>
      </c>
      <c r="B153" s="151">
        <f t="shared" si="25"/>
        <v>22122</v>
      </c>
      <c r="C153" s="152">
        <f t="shared" si="26"/>
        <v>21281</v>
      </c>
      <c r="D153" s="152">
        <f t="shared" si="27"/>
        <v>22146</v>
      </c>
      <c r="E153" s="152"/>
      <c r="F153" s="152">
        <f t="shared" si="28"/>
        <v>21281</v>
      </c>
      <c r="G153" s="152">
        <f t="shared" si="29"/>
        <v>21707.5</v>
      </c>
      <c r="H153" s="152">
        <f t="shared" si="30"/>
        <v>21701.5</v>
      </c>
      <c r="I153" s="153">
        <f t="shared" si="31"/>
        <v>21708</v>
      </c>
      <c r="J153" s="154"/>
      <c r="L153" s="75">
        <f>+L151-L152</f>
        <v>755200</v>
      </c>
      <c r="M153" s="75"/>
    </row>
    <row r="154" spans="1:41" ht="20.100000000000001" customHeight="1">
      <c r="A154" s="155" t="s">
        <v>97</v>
      </c>
      <c r="B154" s="156"/>
      <c r="C154" s="157"/>
      <c r="D154" s="157"/>
      <c r="E154" s="157"/>
      <c r="F154" s="156"/>
      <c r="G154" s="158" t="s">
        <v>296</v>
      </c>
      <c r="H154" s="157"/>
      <c r="I154" s="159"/>
      <c r="J154" s="160"/>
      <c r="K154" s="161"/>
      <c r="L154" s="162">
        <f>B109</f>
        <v>20963</v>
      </c>
      <c r="M154" s="162">
        <f>+B110</f>
        <v>21131</v>
      </c>
      <c r="N154" s="162">
        <f>B111</f>
        <v>21241</v>
      </c>
      <c r="O154" s="161">
        <f>B112</f>
        <v>21184</v>
      </c>
      <c r="P154" s="162">
        <f>B113</f>
        <v>20836</v>
      </c>
      <c r="Q154" s="161">
        <f>B114</f>
        <v>21215</v>
      </c>
      <c r="R154" s="162">
        <f>B115</f>
        <v>21127</v>
      </c>
      <c r="S154" s="162"/>
      <c r="T154" s="162"/>
      <c r="U154" s="162"/>
      <c r="V154" s="162"/>
      <c r="W154" s="162"/>
      <c r="X154" s="162"/>
      <c r="Y154" s="161"/>
      <c r="Z154" s="161"/>
      <c r="AA154" s="161"/>
      <c r="AB154" s="161"/>
      <c r="AC154" s="161"/>
      <c r="AD154" s="161"/>
      <c r="AE154" s="161"/>
      <c r="AF154" s="161"/>
      <c r="AG154" s="161"/>
      <c r="AH154" s="161"/>
      <c r="AI154" s="161"/>
      <c r="AJ154" s="161"/>
      <c r="AK154" s="161"/>
      <c r="AL154" s="161"/>
      <c r="AM154" s="161"/>
      <c r="AN154" s="161"/>
    </row>
    <row r="155" spans="1:41" ht="20.100000000000001" hidden="1" customHeight="1">
      <c r="A155" s="85"/>
      <c r="B155" s="163"/>
      <c r="C155" s="164"/>
      <c r="D155" s="164"/>
      <c r="E155" s="164"/>
      <c r="F155" s="164"/>
      <c r="G155" s="164"/>
      <c r="H155" s="164"/>
      <c r="I155" s="165"/>
      <c r="J155" s="166"/>
      <c r="K155" s="161"/>
      <c r="L155" s="161"/>
      <c r="M155" s="161"/>
      <c r="N155" s="161"/>
      <c r="O155" s="161"/>
      <c r="P155" s="161"/>
      <c r="Q155" s="161"/>
      <c r="R155" s="161"/>
      <c r="S155" s="161"/>
      <c r="T155" s="161"/>
      <c r="U155" s="161"/>
      <c r="V155" s="161"/>
      <c r="W155" s="161"/>
      <c r="X155" s="161"/>
      <c r="Y155" s="161"/>
      <c r="Z155" s="161"/>
      <c r="AA155" s="161"/>
      <c r="AB155" s="161"/>
      <c r="AC155" s="161"/>
      <c r="AD155" s="161"/>
      <c r="AE155" s="161"/>
      <c r="AF155" s="161"/>
      <c r="AG155" s="161"/>
      <c r="AH155" s="161"/>
      <c r="AI155" s="161"/>
      <c r="AJ155" s="161"/>
      <c r="AK155" s="161"/>
      <c r="AL155" s="161"/>
      <c r="AM155" s="161"/>
      <c r="AN155" s="161"/>
    </row>
    <row r="156" spans="1:41" s="161" customFormat="1" ht="20.100000000000001" customHeight="1">
      <c r="A156" s="167" t="s">
        <v>98</v>
      </c>
      <c r="B156" s="168">
        <f>I4</f>
        <v>6.7655057992875934E-3</v>
      </c>
      <c r="C156" s="169">
        <f>I30</f>
        <v>2.6177038525870597E-2</v>
      </c>
      <c r="D156" s="169">
        <f>I56</f>
        <v>6.9059543845300438E-3</v>
      </c>
      <c r="E156" s="169"/>
      <c r="F156" s="169">
        <f>I108</f>
        <v>1.1160544351412335E-2</v>
      </c>
      <c r="G156" s="170"/>
      <c r="H156" s="171"/>
      <c r="I156" s="172"/>
      <c r="J156" s="173"/>
      <c r="K156" s="174">
        <f>MAX(B156:I156,F156)</f>
        <v>2.6177038525870597E-2</v>
      </c>
      <c r="L156" s="161">
        <v>2002</v>
      </c>
      <c r="M156" s="161">
        <v>2003</v>
      </c>
      <c r="N156" s="161">
        <f t="shared" ref="N156:AI156" si="32">+M156+1</f>
        <v>2004</v>
      </c>
      <c r="O156" s="161">
        <f t="shared" si="32"/>
        <v>2005</v>
      </c>
      <c r="P156" s="161">
        <f t="shared" si="32"/>
        <v>2006</v>
      </c>
      <c r="Q156" s="161">
        <f t="shared" si="32"/>
        <v>2007</v>
      </c>
      <c r="R156" s="161">
        <f t="shared" si="32"/>
        <v>2008</v>
      </c>
      <c r="S156" s="161">
        <f t="shared" si="32"/>
        <v>2009</v>
      </c>
      <c r="T156" s="161">
        <f t="shared" si="32"/>
        <v>2010</v>
      </c>
      <c r="U156" s="161">
        <f t="shared" si="32"/>
        <v>2011</v>
      </c>
      <c r="V156" s="161">
        <f t="shared" si="32"/>
        <v>2012</v>
      </c>
      <c r="W156" s="161">
        <f t="shared" si="32"/>
        <v>2013</v>
      </c>
      <c r="X156" s="161">
        <f t="shared" si="32"/>
        <v>2014</v>
      </c>
      <c r="Y156" s="161">
        <f t="shared" si="32"/>
        <v>2015</v>
      </c>
      <c r="Z156" s="161">
        <f t="shared" si="32"/>
        <v>2016</v>
      </c>
      <c r="AA156" s="161">
        <f t="shared" si="32"/>
        <v>2017</v>
      </c>
      <c r="AB156" s="161">
        <f t="shared" si="32"/>
        <v>2018</v>
      </c>
      <c r="AC156" s="161">
        <f t="shared" si="32"/>
        <v>2019</v>
      </c>
      <c r="AD156" s="161">
        <f t="shared" si="32"/>
        <v>2020</v>
      </c>
      <c r="AE156" s="161">
        <f t="shared" si="32"/>
        <v>2021</v>
      </c>
      <c r="AF156" s="161">
        <f t="shared" si="32"/>
        <v>2022</v>
      </c>
      <c r="AG156" s="161">
        <f t="shared" si="32"/>
        <v>2023</v>
      </c>
      <c r="AH156" s="161">
        <f t="shared" si="32"/>
        <v>2024</v>
      </c>
      <c r="AI156" s="161">
        <f t="shared" si="32"/>
        <v>2025</v>
      </c>
    </row>
    <row r="157" spans="1:41" ht="20.100000000000001" customHeight="1">
      <c r="K157" s="161" t="s">
        <v>99</v>
      </c>
      <c r="L157" s="161"/>
      <c r="M157" s="161"/>
      <c r="N157" s="161"/>
      <c r="O157" s="161"/>
      <c r="P157" s="161"/>
      <c r="Q157" s="161">
        <f>+Q154</f>
        <v>21215</v>
      </c>
      <c r="R157" s="162">
        <f>+B11</f>
        <v>21265</v>
      </c>
      <c r="S157" s="162">
        <f>+B12</f>
        <v>21316</v>
      </c>
      <c r="T157" s="162">
        <f>+B13</f>
        <v>21366</v>
      </c>
      <c r="U157" s="162">
        <f>+B14</f>
        <v>21417</v>
      </c>
      <c r="V157" s="162">
        <f>+B15</f>
        <v>21467</v>
      </c>
      <c r="W157" s="162">
        <f>+B16</f>
        <v>21517</v>
      </c>
      <c r="X157" s="162">
        <f>+B17</f>
        <v>21568</v>
      </c>
      <c r="Y157" s="162">
        <f>+B18</f>
        <v>21618</v>
      </c>
      <c r="Z157" s="162">
        <f>+B19</f>
        <v>21669</v>
      </c>
      <c r="AA157" s="162">
        <f>+B20</f>
        <v>21719</v>
      </c>
      <c r="AB157" s="162">
        <f>+B21</f>
        <v>21769</v>
      </c>
      <c r="AC157" s="162">
        <f>+B22</f>
        <v>21820</v>
      </c>
      <c r="AD157" s="162">
        <f>+B23</f>
        <v>21870</v>
      </c>
      <c r="AE157" s="162">
        <f>+B24</f>
        <v>21921</v>
      </c>
      <c r="AF157" s="162">
        <f>+B25</f>
        <v>21971</v>
      </c>
      <c r="AG157" s="162">
        <f>+B26</f>
        <v>22021</v>
      </c>
      <c r="AH157" s="162">
        <f>+B27</f>
        <v>22072</v>
      </c>
      <c r="AI157" s="162">
        <f>+B28</f>
        <v>22122</v>
      </c>
      <c r="AJ157" s="162"/>
      <c r="AK157" s="162"/>
      <c r="AL157" s="162"/>
      <c r="AM157" s="162"/>
      <c r="AN157" s="162"/>
      <c r="AO157" s="161"/>
    </row>
    <row r="158" spans="1:41" ht="20.100000000000001" customHeight="1">
      <c r="K158" s="161" t="s">
        <v>100</v>
      </c>
      <c r="L158" s="161"/>
      <c r="M158" s="161"/>
      <c r="N158" s="161"/>
      <c r="O158" s="161"/>
      <c r="P158" s="161"/>
      <c r="Q158" s="161">
        <f>+Q157</f>
        <v>21215</v>
      </c>
      <c r="R158" s="162">
        <f>+B37</f>
        <v>21127</v>
      </c>
      <c r="S158" s="162">
        <f>+B38</f>
        <v>21136</v>
      </c>
      <c r="T158" s="162">
        <f>+B39</f>
        <v>21145</v>
      </c>
      <c r="U158" s="162">
        <f>+B40</f>
        <v>21154</v>
      </c>
      <c r="V158" s="162">
        <f>+B41</f>
        <v>21163</v>
      </c>
      <c r="W158" s="162">
        <f>+B42</f>
        <v>21172</v>
      </c>
      <c r="X158" s="162">
        <f>+B43</f>
        <v>21181</v>
      </c>
      <c r="Y158" s="162">
        <f>+B44</f>
        <v>21190</v>
      </c>
      <c r="Z158" s="162">
        <f>+B45</f>
        <v>21199</v>
      </c>
      <c r="AA158" s="162">
        <f>+B46</f>
        <v>21209</v>
      </c>
      <c r="AB158" s="162">
        <f>+B47</f>
        <v>21218</v>
      </c>
      <c r="AC158" s="162">
        <f>+B48</f>
        <v>21227</v>
      </c>
      <c r="AD158" s="162">
        <f>+B49</f>
        <v>21236</v>
      </c>
      <c r="AE158" s="162">
        <f>+B50</f>
        <v>21245</v>
      </c>
      <c r="AF158" s="162">
        <f>+B51</f>
        <v>21254</v>
      </c>
      <c r="AG158" s="162">
        <f>+B52</f>
        <v>21263</v>
      </c>
      <c r="AH158" s="162">
        <f>+B53</f>
        <v>21272</v>
      </c>
      <c r="AI158" s="162">
        <f>+B54</f>
        <v>21281</v>
      </c>
      <c r="AJ158" s="162"/>
      <c r="AK158" s="162"/>
      <c r="AL158" s="162"/>
      <c r="AM158" s="162"/>
      <c r="AN158" s="162"/>
      <c r="AO158" s="161"/>
    </row>
    <row r="159" spans="1:41" ht="20.100000000000001" customHeight="1">
      <c r="K159" s="161" t="s">
        <v>101</v>
      </c>
      <c r="L159" s="161"/>
      <c r="M159" s="161"/>
      <c r="N159" s="161"/>
      <c r="O159" s="161"/>
      <c r="P159" s="161"/>
      <c r="Q159" s="161">
        <f>+Q158</f>
        <v>21215</v>
      </c>
      <c r="R159" s="162">
        <f>+B63</f>
        <v>21265</v>
      </c>
      <c r="S159" s="162">
        <f>+B64</f>
        <v>21316</v>
      </c>
      <c r="T159" s="162">
        <f>+B65</f>
        <v>21367</v>
      </c>
      <c r="U159" s="162">
        <f>+B66</f>
        <v>21418</v>
      </c>
      <c r="V159" s="162">
        <f>+B67</f>
        <v>21469</v>
      </c>
      <c r="W159" s="162">
        <f>+B68</f>
        <v>21521</v>
      </c>
      <c r="X159" s="162">
        <f>+B69</f>
        <v>21572</v>
      </c>
      <c r="Y159" s="162">
        <f>+B70</f>
        <v>21624</v>
      </c>
      <c r="Z159" s="162">
        <f>+B71</f>
        <v>21675</v>
      </c>
      <c r="AA159" s="162">
        <f>+B72</f>
        <v>21727</v>
      </c>
      <c r="AB159" s="162">
        <f>+B73</f>
        <v>21779</v>
      </c>
      <c r="AC159" s="162">
        <f>+B74</f>
        <v>21831</v>
      </c>
      <c r="AD159" s="162">
        <f>+B75</f>
        <v>21883</v>
      </c>
      <c r="AE159" s="162">
        <f>+B76</f>
        <v>21936</v>
      </c>
      <c r="AF159" s="162">
        <f>+B77</f>
        <v>21988</v>
      </c>
      <c r="AG159" s="162">
        <f>+B78</f>
        <v>22041</v>
      </c>
      <c r="AH159" s="162">
        <f>+B79</f>
        <v>22093</v>
      </c>
      <c r="AI159" s="162">
        <f>+B80</f>
        <v>22146</v>
      </c>
      <c r="AJ159" s="162"/>
      <c r="AK159" s="162"/>
      <c r="AL159" s="162"/>
      <c r="AM159" s="162"/>
      <c r="AN159" s="162"/>
      <c r="AO159" s="161"/>
    </row>
    <row r="160" spans="1:41" ht="20.100000000000001" customHeight="1">
      <c r="K160" s="161" t="s">
        <v>102</v>
      </c>
      <c r="L160" s="161"/>
      <c r="M160" s="161"/>
      <c r="N160" s="161"/>
      <c r="O160" s="161"/>
      <c r="P160" s="161"/>
      <c r="Q160" s="161">
        <f>+Q159</f>
        <v>21215</v>
      </c>
      <c r="R160" s="162" t="e">
        <f>+B89</f>
        <v>#VALUE!</v>
      </c>
      <c r="S160" s="162" t="e">
        <f>+B90</f>
        <v>#VALUE!</v>
      </c>
      <c r="T160" s="162" t="e">
        <f>+B91</f>
        <v>#VALUE!</v>
      </c>
      <c r="U160" s="162" t="e">
        <f>+B92</f>
        <v>#VALUE!</v>
      </c>
      <c r="V160" s="162" t="e">
        <f>+B93</f>
        <v>#VALUE!</v>
      </c>
      <c r="W160" s="162" t="e">
        <f>+B94</f>
        <v>#VALUE!</v>
      </c>
      <c r="X160" s="162" t="e">
        <f>+B95</f>
        <v>#VALUE!</v>
      </c>
      <c r="Y160" s="162" t="e">
        <f>+B96</f>
        <v>#VALUE!</v>
      </c>
      <c r="Z160" s="162" t="e">
        <f>+B97</f>
        <v>#VALUE!</v>
      </c>
      <c r="AA160" s="162" t="e">
        <f>+B98</f>
        <v>#VALUE!</v>
      </c>
      <c r="AB160" s="162" t="e">
        <f>+B99</f>
        <v>#VALUE!</v>
      </c>
      <c r="AC160" s="162" t="e">
        <f>+B100</f>
        <v>#VALUE!</v>
      </c>
      <c r="AD160" s="162" t="e">
        <f>+B101</f>
        <v>#VALUE!</v>
      </c>
      <c r="AE160" s="162" t="e">
        <f>+B102</f>
        <v>#VALUE!</v>
      </c>
      <c r="AF160" s="162" t="e">
        <f>+B103</f>
        <v>#VALUE!</v>
      </c>
      <c r="AG160" s="162" t="e">
        <f>+B104</f>
        <v>#VALUE!</v>
      </c>
      <c r="AH160" s="162" t="e">
        <f>+B105</f>
        <v>#VALUE!</v>
      </c>
      <c r="AI160" s="162" t="e">
        <f>+B106</f>
        <v>#VALUE!</v>
      </c>
      <c r="AJ160" s="161"/>
      <c r="AK160" s="161"/>
      <c r="AL160" s="161"/>
      <c r="AM160" s="161"/>
      <c r="AN160" s="161"/>
      <c r="AO160" s="161"/>
    </row>
    <row r="161" spans="11:41" ht="20.100000000000001" customHeight="1">
      <c r="K161" s="161" t="s">
        <v>103</v>
      </c>
      <c r="L161" s="161"/>
      <c r="M161" s="161"/>
      <c r="N161" s="161"/>
      <c r="O161" s="161"/>
      <c r="P161" s="161"/>
      <c r="Q161" s="161">
        <f>+Q160</f>
        <v>21215</v>
      </c>
      <c r="R161" s="162">
        <f>+B115</f>
        <v>21127</v>
      </c>
      <c r="S161" s="162">
        <f>+B116</f>
        <v>21136</v>
      </c>
      <c r="T161" s="162">
        <f>+B117</f>
        <v>21145</v>
      </c>
      <c r="U161" s="162">
        <f>+B118</f>
        <v>21154</v>
      </c>
      <c r="V161" s="162">
        <f>+B119</f>
        <v>21163</v>
      </c>
      <c r="W161" s="162">
        <f>+B120</f>
        <v>21172</v>
      </c>
      <c r="X161" s="162">
        <f>+B121</f>
        <v>21181</v>
      </c>
      <c r="Y161" s="162">
        <f>+B122</f>
        <v>21190</v>
      </c>
      <c r="Z161" s="162">
        <f>+B123</f>
        <v>21199</v>
      </c>
      <c r="AA161" s="162">
        <f>+B124</f>
        <v>21209</v>
      </c>
      <c r="AB161" s="162">
        <f>+B125</f>
        <v>21218</v>
      </c>
      <c r="AC161" s="162">
        <f>+B126</f>
        <v>21227</v>
      </c>
      <c r="AD161" s="162">
        <f>+B127</f>
        <v>21236</v>
      </c>
      <c r="AE161" s="162">
        <f>+B128</f>
        <v>21245</v>
      </c>
      <c r="AF161" s="162">
        <f>+B129</f>
        <v>21254</v>
      </c>
      <c r="AG161" s="162">
        <f>+B130</f>
        <v>21263</v>
      </c>
      <c r="AH161" s="162">
        <f>+B131</f>
        <v>21272</v>
      </c>
      <c r="AI161" s="162">
        <f>+B132</f>
        <v>21281</v>
      </c>
      <c r="AJ161" s="162"/>
      <c r="AK161" s="162"/>
      <c r="AL161" s="162"/>
      <c r="AM161" s="162"/>
      <c r="AN161" s="162"/>
      <c r="AO161" s="161"/>
    </row>
    <row r="162" spans="11:41" ht="20.100000000000001" customHeight="1">
      <c r="K162" s="161" t="s">
        <v>95</v>
      </c>
      <c r="L162" s="161"/>
      <c r="M162" s="161"/>
      <c r="N162" s="161"/>
      <c r="O162" s="161"/>
      <c r="P162" s="161"/>
      <c r="Q162" s="161">
        <f>+Q161</f>
        <v>21215</v>
      </c>
      <c r="R162" s="206">
        <f>+H136</f>
        <v>21196</v>
      </c>
      <c r="S162" s="206">
        <f>+H137</f>
        <v>21226</v>
      </c>
      <c r="T162" s="206">
        <f>+H138</f>
        <v>21255.5</v>
      </c>
      <c r="U162" s="206">
        <f>+H139</f>
        <v>21285.5</v>
      </c>
      <c r="V162" s="206">
        <f>+H140</f>
        <v>21315</v>
      </c>
      <c r="W162" s="175">
        <f>+H141</f>
        <v>21344.5</v>
      </c>
      <c r="X162" s="206">
        <f>+H142</f>
        <v>21374.5</v>
      </c>
      <c r="Y162" s="206">
        <f>+H143</f>
        <v>21404</v>
      </c>
      <c r="Z162" s="206">
        <f>+H144</f>
        <v>21434</v>
      </c>
      <c r="AA162" s="206">
        <f>+H145</f>
        <v>21464</v>
      </c>
      <c r="AB162" s="206">
        <f>+H146</f>
        <v>21493.5</v>
      </c>
      <c r="AC162" s="206">
        <f>+H147</f>
        <v>21523.5</v>
      </c>
      <c r="AD162" s="206">
        <f>+H148</f>
        <v>21553</v>
      </c>
      <c r="AE162" s="206">
        <f>+H149</f>
        <v>21583</v>
      </c>
      <c r="AF162" s="206">
        <f>+H150</f>
        <v>21612.5</v>
      </c>
      <c r="AG162" s="206">
        <f>+H151</f>
        <v>21642</v>
      </c>
      <c r="AH162" s="206">
        <f>+H152</f>
        <v>21672</v>
      </c>
      <c r="AI162" s="206">
        <f>+H153</f>
        <v>21701.5</v>
      </c>
      <c r="AJ162" s="161"/>
      <c r="AK162" s="161"/>
      <c r="AL162" s="161"/>
      <c r="AM162" s="161"/>
      <c r="AN162" s="161"/>
      <c r="AO162" s="161" t="s">
        <v>95</v>
      </c>
    </row>
    <row r="163" spans="11:41" ht="20.100000000000001" customHeight="1"/>
    <row r="164" spans="11:41" ht="20.100000000000001" customHeight="1"/>
    <row r="165" spans="11:41" ht="20.100000000000001" customHeight="1"/>
    <row r="166" spans="11:41" ht="20.100000000000001" customHeight="1"/>
    <row r="167" spans="11:41" ht="20.100000000000001" customHeight="1"/>
    <row r="168" spans="11:41" ht="20.100000000000001" customHeight="1"/>
    <row r="169" spans="11:41" ht="20.100000000000001" customHeight="1"/>
    <row r="170" spans="11:41" ht="20.100000000000001" customHeight="1"/>
    <row r="171" spans="11:41" ht="20.100000000000001" customHeight="1"/>
    <row r="172" spans="11:41" ht="20.100000000000001" customHeight="1"/>
    <row r="173" spans="11:41" ht="20.100000000000001" customHeight="1"/>
    <row r="174" spans="11:41" ht="20.100000000000001" customHeight="1"/>
    <row r="175" spans="11:41" ht="20.100000000000001" customHeight="1"/>
    <row r="176" spans="11:41" ht="20.100000000000001" customHeight="1"/>
    <row r="177" ht="20.100000000000001" customHeight="1"/>
    <row r="178" ht="20.100000000000001" customHeight="1"/>
    <row r="179" ht="20.100000000000001" customHeight="1"/>
  </sheetData>
  <phoneticPr fontId="50" type="noConversion"/>
  <pageMargins left="0.74803149606299213" right="0.74803149606299213" top="0.78740157480314965" bottom="0.78740157480314965" header="0.51181102362204722" footer="0.51181102362204722"/>
  <pageSetup paperSize="9" scale="70" fitToHeight="3"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41</vt:i4>
      </vt:variant>
      <vt:variant>
        <vt:lpstr>이름이 지정된 범위</vt:lpstr>
      </vt:variant>
      <vt:variant>
        <vt:i4>71</vt:i4>
      </vt:variant>
    </vt:vector>
  </HeadingPairs>
  <TitlesOfParts>
    <vt:vector size="112" baseType="lpstr">
      <vt:lpstr>과거인구현황</vt:lpstr>
      <vt:lpstr>천곡동20년</vt:lpstr>
      <vt:lpstr>천곡동10</vt:lpstr>
      <vt:lpstr>송정동20년</vt:lpstr>
      <vt:lpstr>송정동10</vt:lpstr>
      <vt:lpstr>송정동5</vt:lpstr>
      <vt:lpstr>북삼동20년</vt:lpstr>
      <vt:lpstr>북삼동10</vt:lpstr>
      <vt:lpstr>북삼동5</vt:lpstr>
      <vt:lpstr>부곡동20년</vt:lpstr>
      <vt:lpstr>부곡동10</vt:lpstr>
      <vt:lpstr>부곡동5</vt:lpstr>
      <vt:lpstr>동호동20년</vt:lpstr>
      <vt:lpstr>동호동10</vt:lpstr>
      <vt:lpstr>동호동5</vt:lpstr>
      <vt:lpstr>발한동20년</vt:lpstr>
      <vt:lpstr>발한동10</vt:lpstr>
      <vt:lpstr>발한동5</vt:lpstr>
      <vt:lpstr>묵호동20년</vt:lpstr>
      <vt:lpstr>묵호동10</vt:lpstr>
      <vt:lpstr>묵호동5</vt:lpstr>
      <vt:lpstr>북평동20년</vt:lpstr>
      <vt:lpstr>북평동10</vt:lpstr>
      <vt:lpstr>북평동5</vt:lpstr>
      <vt:lpstr>망상동20년</vt:lpstr>
      <vt:lpstr>망상동10</vt:lpstr>
      <vt:lpstr>망상동5</vt:lpstr>
      <vt:lpstr>삼화동20년</vt:lpstr>
      <vt:lpstr>삼화동10</vt:lpstr>
      <vt:lpstr>삼화동5</vt:lpstr>
      <vt:lpstr>1.생잔모형법</vt:lpstr>
      <vt:lpstr>2.생잔모형인구</vt:lpstr>
      <vt:lpstr>급수계통별장래인구(출x)</vt:lpstr>
      <vt:lpstr>3.충청남도 인구(2013년)</vt:lpstr>
      <vt:lpstr>3.논산시 인구(2013년)</vt:lpstr>
      <vt:lpstr>생잔율</vt:lpstr>
      <vt:lpstr>2.출산률</vt:lpstr>
      <vt:lpstr>생명표</vt:lpstr>
      <vt:lpstr>1.3.4사회적유입인구산정(46.5외부)</vt:lpstr>
      <vt:lpstr>1.3.4사회적유입인구산정</vt:lpstr>
      <vt:lpstr>2.0계획인구결정</vt:lpstr>
      <vt:lpstr>'1.3.4사회적유입인구산정'!Print_Area</vt:lpstr>
      <vt:lpstr>'1.3.4사회적유입인구산정(46.5외부)'!Print_Area</vt:lpstr>
      <vt:lpstr>'1.생잔모형법'!Print_Area</vt:lpstr>
      <vt:lpstr>'2.0계획인구결정'!Print_Area</vt:lpstr>
      <vt:lpstr>'2.출산률'!Print_Area</vt:lpstr>
      <vt:lpstr>'3.논산시 인구(2013년)'!Print_Area</vt:lpstr>
      <vt:lpstr>'3.충청남도 인구(2013년)'!Print_Area</vt:lpstr>
      <vt:lpstr>과거인구현황!Print_Area</vt:lpstr>
      <vt:lpstr>'급수계통별장래인구(출x)'!Print_Area</vt:lpstr>
      <vt:lpstr>동호동10!Print_Area</vt:lpstr>
      <vt:lpstr>동호동20년!Print_Area</vt:lpstr>
      <vt:lpstr>동호동5!Print_Area</vt:lpstr>
      <vt:lpstr>망상동10!Print_Area</vt:lpstr>
      <vt:lpstr>망상동20년!Print_Area</vt:lpstr>
      <vt:lpstr>망상동5!Print_Area</vt:lpstr>
      <vt:lpstr>묵호동10!Print_Area</vt:lpstr>
      <vt:lpstr>묵호동20년!Print_Area</vt:lpstr>
      <vt:lpstr>묵호동5!Print_Area</vt:lpstr>
      <vt:lpstr>발한동10!Print_Area</vt:lpstr>
      <vt:lpstr>발한동20년!Print_Area</vt:lpstr>
      <vt:lpstr>발한동5!Print_Area</vt:lpstr>
      <vt:lpstr>부곡동10!Print_Area</vt:lpstr>
      <vt:lpstr>부곡동20년!Print_Area</vt:lpstr>
      <vt:lpstr>부곡동5!Print_Area</vt:lpstr>
      <vt:lpstr>북삼동10!Print_Area</vt:lpstr>
      <vt:lpstr>북삼동20년!Print_Area</vt:lpstr>
      <vt:lpstr>북삼동5!Print_Area</vt:lpstr>
      <vt:lpstr>북평동10!Print_Area</vt:lpstr>
      <vt:lpstr>북평동20년!Print_Area</vt:lpstr>
      <vt:lpstr>북평동5!Print_Area</vt:lpstr>
      <vt:lpstr>삼화동10!Print_Area</vt:lpstr>
      <vt:lpstr>삼화동20년!Print_Area</vt:lpstr>
      <vt:lpstr>삼화동5!Print_Area</vt:lpstr>
      <vt:lpstr>송정동10!Print_Area</vt:lpstr>
      <vt:lpstr>송정동20년!Print_Area</vt:lpstr>
      <vt:lpstr>송정동5!Print_Area</vt:lpstr>
      <vt:lpstr>천곡동10!Print_Area</vt:lpstr>
      <vt:lpstr>천곡동20년!Print_Area</vt:lpstr>
      <vt:lpstr>'1.3.4사회적유입인구산정'!Print_Titles</vt:lpstr>
      <vt:lpstr>'2.생잔모형인구'!Print_Titles</vt:lpstr>
      <vt:lpstr>'급수계통별장래인구(출x)'!Print_Titles</vt:lpstr>
      <vt:lpstr>동호동10!Print_Titles</vt:lpstr>
      <vt:lpstr>동호동20년!Print_Titles</vt:lpstr>
      <vt:lpstr>동호동5!Print_Titles</vt:lpstr>
      <vt:lpstr>망상동10!Print_Titles</vt:lpstr>
      <vt:lpstr>망상동20년!Print_Titles</vt:lpstr>
      <vt:lpstr>망상동5!Print_Titles</vt:lpstr>
      <vt:lpstr>묵호동10!Print_Titles</vt:lpstr>
      <vt:lpstr>묵호동20년!Print_Titles</vt:lpstr>
      <vt:lpstr>묵호동5!Print_Titles</vt:lpstr>
      <vt:lpstr>발한동10!Print_Titles</vt:lpstr>
      <vt:lpstr>발한동20년!Print_Titles</vt:lpstr>
      <vt:lpstr>발한동5!Print_Titles</vt:lpstr>
      <vt:lpstr>부곡동10!Print_Titles</vt:lpstr>
      <vt:lpstr>부곡동20년!Print_Titles</vt:lpstr>
      <vt:lpstr>부곡동5!Print_Titles</vt:lpstr>
      <vt:lpstr>북삼동10!Print_Titles</vt:lpstr>
      <vt:lpstr>북삼동20년!Print_Titles</vt:lpstr>
      <vt:lpstr>북삼동5!Print_Titles</vt:lpstr>
      <vt:lpstr>북평동10!Print_Titles</vt:lpstr>
      <vt:lpstr>북평동20년!Print_Titles</vt:lpstr>
      <vt:lpstr>북평동5!Print_Titles</vt:lpstr>
      <vt:lpstr>삼화동10!Print_Titles</vt:lpstr>
      <vt:lpstr>삼화동20년!Print_Titles</vt:lpstr>
      <vt:lpstr>삼화동5!Print_Titles</vt:lpstr>
      <vt:lpstr>생명표!Print_Titles</vt:lpstr>
      <vt:lpstr>송정동10!Print_Titles</vt:lpstr>
      <vt:lpstr>송정동20년!Print_Titles</vt:lpstr>
      <vt:lpstr>송정동5!Print_Titles</vt:lpstr>
      <vt:lpstr>천곡동10!Print_Titles</vt:lpstr>
      <vt:lpstr>천곡동20년!Print_Titles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admin</cp:lastModifiedBy>
  <cp:lastPrinted>2014-07-14T06:51:32Z</cp:lastPrinted>
  <dcterms:created xsi:type="dcterms:W3CDTF">2007-11-27T05:03:04Z</dcterms:created>
  <dcterms:modified xsi:type="dcterms:W3CDTF">2016-04-30T08:46:12Z</dcterms:modified>
</cp:coreProperties>
</file>